
<file path=[Content_Types].xml><?xml version="1.0" encoding="utf-8"?>
<Types xmlns="http://schemas.openxmlformats.org/package/2006/content-types">
  <Override PartName="/xl/charts/chart6.xml" ContentType="application/vnd.openxmlformats-officedocument.drawingml.chart+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5200" windowHeight="11985" tabRatio="721" activeTab="8"/>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Financiar!$A$2:$K$31</definedName>
    <definedName name="_xlnm.Print_Area" localSheetId="2">'Introducerea datelor'!$A$1:$S$148</definedName>
    <definedName name="_xlnm.Print_Area" localSheetId="5">Management!$A$1:$M$34</definedName>
    <definedName name="_xlnm.Print_Area" localSheetId="6">Programatic!$A$1:$Q$30</definedName>
    <definedName name="PrintA">Actions!$A$2:$L$34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Actions!$A$2:$L$6</definedName>
    <definedName name="PrintM">Management!$A$2:$L$36</definedName>
    <definedName name="PrintP">Programatic!$A$2:$P$30</definedName>
    <definedName name="PrintR">Recomandari!$A$2:$N$41</definedName>
    <definedName name="Rating">Setup!$G$9:$G$14</definedName>
    <definedName name="Round">Setup!$D$9:$D$21</definedName>
  </definedNames>
  <calcPr calcId="125725" concurrentCalc="0"/>
</workbook>
</file>

<file path=xl/calcChain.xml><?xml version="1.0" encoding="utf-8"?>
<calcChain xmlns="http://schemas.openxmlformats.org/spreadsheetml/2006/main">
  <c r="D35" i="42"/>
  <c r="B8" i="37"/>
  <c r="M142" i="29"/>
  <c r="N142"/>
  <c r="O142"/>
  <c r="M143"/>
  <c r="N143"/>
  <c r="O143"/>
  <c r="L142"/>
  <c r="L143"/>
  <c r="K142"/>
  <c r="K143"/>
  <c r="J142"/>
  <c r="J143"/>
  <c r="I142"/>
  <c r="I143"/>
  <c r="H142"/>
  <c r="H143"/>
  <c r="E142"/>
  <c r="B142"/>
  <c r="D42" i="42"/>
  <c r="G30" i="37"/>
  <c r="C39" i="29"/>
  <c r="J96"/>
  <c r="I6"/>
  <c r="D63"/>
  <c r="D45"/>
  <c r="D44"/>
  <c r="D43"/>
  <c r="D40"/>
  <c r="D39"/>
  <c r="C44"/>
  <c r="C40"/>
  <c r="D23" i="42"/>
  <c r="H97" i="29"/>
  <c r="G97"/>
  <c r="F97"/>
  <c r="E97"/>
  <c r="D97"/>
  <c r="C97"/>
  <c r="H96"/>
  <c r="G96"/>
  <c r="F96"/>
  <c r="E96"/>
  <c r="D96"/>
  <c r="C96"/>
  <c r="H95"/>
  <c r="G95"/>
  <c r="F95"/>
  <c r="E95"/>
  <c r="D95"/>
  <c r="C95"/>
  <c r="D42"/>
  <c r="C42"/>
  <c r="D41"/>
  <c r="C41"/>
  <c r="H32"/>
  <c r="G32"/>
  <c r="F32"/>
  <c r="E32"/>
  <c r="C32"/>
  <c r="H31"/>
  <c r="G31"/>
  <c r="F31"/>
  <c r="E31"/>
  <c r="D31"/>
  <c r="C31"/>
  <c r="D29" i="42"/>
  <c r="C47" i="29"/>
  <c r="D47"/>
  <c r="B27" i="37"/>
  <c r="D39" i="42"/>
  <c r="Q3" i="37"/>
  <c r="G23"/>
  <c r="G22"/>
  <c r="B20"/>
  <c r="K27" i="30"/>
  <c r="C4" i="37"/>
  <c r="B32" i="29"/>
  <c r="B31"/>
  <c r="E51"/>
  <c r="D38"/>
  <c r="C38"/>
  <c r="G24" i="37"/>
  <c r="B22" i="45"/>
  <c r="C33" i="29"/>
  <c r="D33"/>
  <c r="R30"/>
  <c r="B2" i="45"/>
  <c r="B2" i="39"/>
  <c r="B2" i="42"/>
  <c r="B2" i="37"/>
  <c r="B2" i="35"/>
  <c r="K5" i="30"/>
  <c r="K4"/>
  <c r="L5" i="35"/>
  <c r="L4"/>
  <c r="Q5" i="37"/>
  <c r="Q4"/>
  <c r="M5" i="42"/>
  <c r="M4"/>
  <c r="L5" i="39"/>
  <c r="L4"/>
  <c r="C4"/>
  <c r="C3"/>
  <c r="B3"/>
  <c r="C4" i="42"/>
  <c r="C3"/>
  <c r="B3"/>
  <c r="C3" i="37"/>
  <c r="B3"/>
  <c r="C4" i="35"/>
  <c r="C3"/>
  <c r="B3"/>
  <c r="C4" i="30"/>
  <c r="C3"/>
  <c r="B3"/>
  <c r="B2"/>
  <c r="I9" i="27"/>
  <c r="G9"/>
  <c r="G13"/>
  <c r="G11"/>
  <c r="D11"/>
  <c r="B12"/>
  <c r="D10"/>
  <c r="B10"/>
  <c r="B9"/>
  <c r="B6"/>
  <c r="B3"/>
  <c r="B3" i="32"/>
  <c r="B4" i="1"/>
  <c r="E90" i="29"/>
  <c r="E89"/>
  <c r="C34"/>
  <c r="D34"/>
  <c r="E34"/>
  <c r="F34"/>
  <c r="G34"/>
  <c r="H34"/>
  <c r="D11" i="42"/>
  <c r="J3" i="35"/>
  <c r="L3"/>
  <c r="I3" i="30"/>
  <c r="K3"/>
  <c r="D33" i="42"/>
  <c r="D34"/>
  <c r="D36"/>
  <c r="D37"/>
  <c r="D38"/>
  <c r="D40"/>
  <c r="D41"/>
  <c r="D32"/>
  <c r="D31"/>
  <c r="D30"/>
  <c r="E109" i="29"/>
  <c r="G109"/>
  <c r="I109"/>
  <c r="E108"/>
  <c r="G108"/>
  <c r="I108"/>
  <c r="E110"/>
  <c r="G110"/>
  <c r="I110"/>
  <c r="E111"/>
  <c r="G111"/>
  <c r="I111"/>
  <c r="K30" i="35"/>
  <c r="K31"/>
  <c r="K32"/>
  <c r="K33"/>
  <c r="P143" i="29"/>
  <c r="Q143"/>
  <c r="R143"/>
  <c r="S143"/>
  <c r="L144"/>
  <c r="M144"/>
  <c r="N144"/>
  <c r="O144"/>
  <c r="P144"/>
  <c r="Q144"/>
  <c r="R144"/>
  <c r="S144"/>
  <c r="L145"/>
  <c r="M145"/>
  <c r="N145"/>
  <c r="O145"/>
  <c r="P145"/>
  <c r="Q145"/>
  <c r="R145"/>
  <c r="S145"/>
  <c r="L146"/>
  <c r="M146"/>
  <c r="N146"/>
  <c r="O146"/>
  <c r="P146"/>
  <c r="Q146"/>
  <c r="R146"/>
  <c r="S146"/>
  <c r="L147"/>
  <c r="M147"/>
  <c r="N147"/>
  <c r="O147"/>
  <c r="P147"/>
  <c r="Q147"/>
  <c r="R147"/>
  <c r="S147"/>
  <c r="P142"/>
  <c r="Q142"/>
  <c r="R142"/>
  <c r="S142"/>
  <c r="F144"/>
  <c r="F146"/>
  <c r="F142"/>
  <c r="E144"/>
  <c r="E146"/>
  <c r="B144"/>
  <c r="B146"/>
  <c r="K33"/>
  <c r="K35"/>
  <c r="L33"/>
  <c r="L35"/>
  <c r="M33"/>
  <c r="M35"/>
  <c r="N33"/>
  <c r="N35"/>
  <c r="I34"/>
  <c r="J34"/>
  <c r="K34"/>
  <c r="L34"/>
  <c r="M34"/>
  <c r="N34"/>
  <c r="H29" i="30"/>
  <c r="H28"/>
  <c r="H27"/>
  <c r="D24" i="42"/>
  <c r="D22"/>
  <c r="D21"/>
  <c r="D20"/>
  <c r="D19"/>
  <c r="D14"/>
  <c r="D13"/>
  <c r="D12"/>
  <c r="B25" i="45"/>
  <c r="B23"/>
  <c r="B21"/>
  <c r="B20"/>
  <c r="B19"/>
  <c r="B11"/>
  <c r="B10"/>
  <c r="B9"/>
  <c r="B8"/>
  <c r="B4" i="37"/>
  <c r="B4" i="35"/>
  <c r="B4" i="30"/>
  <c r="G73" i="29"/>
  <c r="E20" i="42"/>
  <c r="G12" i="27"/>
  <c r="H4" i="1"/>
  <c r="K147" i="29"/>
  <c r="K146"/>
  <c r="K145"/>
  <c r="K144"/>
  <c r="C98"/>
  <c r="D98"/>
  <c r="E98"/>
  <c r="F98"/>
  <c r="G98"/>
  <c r="H98"/>
  <c r="I98"/>
  <c r="J98"/>
  <c r="K98"/>
  <c r="L98"/>
  <c r="M98"/>
  <c r="N98"/>
  <c r="G72"/>
  <c r="K28" i="30"/>
  <c r="J28"/>
  <c r="K29"/>
  <c r="J29"/>
  <c r="E53" i="29"/>
  <c r="E52"/>
  <c r="B4" i="39"/>
  <c r="D5"/>
  <c r="E4"/>
  <c r="K5"/>
  <c r="J4"/>
  <c r="L3"/>
  <c r="J3"/>
  <c r="L5" i="42"/>
  <c r="L4"/>
  <c r="E5"/>
  <c r="E4"/>
  <c r="B4"/>
  <c r="M3"/>
  <c r="L3"/>
  <c r="E4" i="37"/>
  <c r="H30" i="35"/>
  <c r="I33"/>
  <c r="I32"/>
  <c r="I31"/>
  <c r="I30"/>
  <c r="B26"/>
  <c r="B13" i="27"/>
  <c r="B11"/>
  <c r="G10"/>
  <c r="D9"/>
  <c r="F6"/>
  <c r="C100" i="29"/>
  <c r="D100"/>
  <c r="E100"/>
  <c r="F100"/>
  <c r="G100"/>
  <c r="H100"/>
  <c r="I100"/>
  <c r="J100"/>
  <c r="K100"/>
  <c r="L100"/>
  <c r="M100"/>
  <c r="N100"/>
  <c r="C99"/>
  <c r="D99"/>
  <c r="E99"/>
  <c r="F99"/>
  <c r="G99"/>
  <c r="H99"/>
  <c r="I99"/>
  <c r="J99"/>
  <c r="K99"/>
  <c r="L99"/>
  <c r="M99"/>
  <c r="N99"/>
  <c r="E79"/>
  <c r="D5" i="35"/>
  <c r="E4"/>
  <c r="K5"/>
  <c r="J4"/>
  <c r="D5" i="37"/>
  <c r="P5"/>
  <c r="P4"/>
  <c r="O3"/>
  <c r="J5" i="30"/>
  <c r="D5"/>
  <c r="I4"/>
  <c r="E4"/>
  <c r="L8" i="37"/>
  <c r="F8"/>
  <c r="J147" i="29"/>
  <c r="J146"/>
  <c r="J145"/>
  <c r="J144"/>
  <c r="I147"/>
  <c r="I146"/>
  <c r="I145"/>
  <c r="I144"/>
  <c r="H147"/>
  <c r="H146"/>
  <c r="H145"/>
  <c r="H144"/>
  <c r="B26" i="37"/>
  <c r="B25"/>
  <c r="B24"/>
  <c r="B23"/>
  <c r="S141" i="29"/>
  <c r="R141"/>
  <c r="Q141"/>
  <c r="P141"/>
  <c r="O141"/>
  <c r="B22" i="37"/>
  <c r="B21"/>
  <c r="E55" i="29"/>
  <c r="N141"/>
  <c r="M141"/>
  <c r="L141"/>
  <c r="K141"/>
  <c r="J141"/>
  <c r="I141"/>
  <c r="H141"/>
  <c r="B36" i="39"/>
  <c r="B34"/>
  <c r="E54" i="29"/>
  <c r="B34" i="35"/>
  <c r="R50" i="29"/>
  <c r="R29"/>
  <c r="Z24" i="37"/>
  <c r="AA24"/>
  <c r="Z23"/>
  <c r="AA23"/>
  <c r="Z22"/>
  <c r="AA22"/>
  <c r="AF21"/>
  <c r="AE21"/>
  <c r="AD21"/>
  <c r="AC21"/>
  <c r="AB21"/>
  <c r="T21"/>
  <c r="U21"/>
  <c r="V21"/>
  <c r="W21"/>
  <c r="X21"/>
  <c r="T22"/>
  <c r="U22"/>
  <c r="V22"/>
  <c r="W22"/>
  <c r="X22"/>
  <c r="T23"/>
  <c r="U23"/>
  <c r="V23"/>
  <c r="W23"/>
  <c r="X23"/>
  <c r="T24"/>
  <c r="U24"/>
  <c r="V24"/>
  <c r="W24"/>
  <c r="X24"/>
  <c r="T25"/>
  <c r="U25"/>
  <c r="V25"/>
  <c r="W25"/>
  <c r="X25"/>
  <c r="U28"/>
  <c r="T26"/>
  <c r="U26"/>
  <c r="V26"/>
  <c r="W26"/>
  <c r="X26"/>
  <c r="T29"/>
  <c r="T27"/>
  <c r="U27"/>
  <c r="V27"/>
  <c r="W27"/>
  <c r="X27"/>
  <c r="B28"/>
  <c r="T28"/>
  <c r="V28"/>
  <c r="X28"/>
  <c r="B29"/>
  <c r="T31"/>
  <c r="U29"/>
  <c r="W29"/>
  <c r="T30"/>
  <c r="U30"/>
  <c r="V30"/>
  <c r="W30"/>
  <c r="X30"/>
  <c r="U31"/>
  <c r="W31"/>
  <c r="T32"/>
  <c r="U32"/>
  <c r="V32"/>
  <c r="W32"/>
  <c r="X32"/>
  <c r="T33"/>
  <c r="U33"/>
  <c r="V33"/>
  <c r="W33"/>
  <c r="X33"/>
  <c r="X31"/>
  <c r="V31"/>
  <c r="X29"/>
  <c r="V29"/>
  <c r="W28"/>
  <c r="E33" i="29"/>
  <c r="F33"/>
  <c r="G33"/>
  <c r="H33"/>
  <c r="I33"/>
  <c r="J33"/>
  <c r="J35"/>
  <c r="C35"/>
  <c r="G26" i="37"/>
  <c r="H26" i="35"/>
  <c r="B7"/>
  <c r="H7"/>
  <c r="H15"/>
  <c r="B15"/>
  <c r="H22" i="30"/>
  <c r="K109" i="29"/>
  <c r="L31" i="35"/>
  <c r="J31"/>
  <c r="J32"/>
  <c r="K110" i="29"/>
  <c r="L32" i="35"/>
  <c r="J33"/>
  <c r="K111" i="29"/>
  <c r="L33" i="35"/>
  <c r="K108" i="29"/>
  <c r="L30" i="35"/>
  <c r="J30"/>
  <c r="D35" i="29"/>
  <c r="Q51"/>
  <c r="F20" i="42"/>
  <c r="R49" i="29"/>
  <c r="B2" i="1"/>
  <c r="AF22" i="37"/>
  <c r="AB22"/>
  <c r="AC22"/>
  <c r="B8" i="30"/>
  <c r="AB24" i="37"/>
  <c r="AC24"/>
  <c r="AE24"/>
  <c r="AF24"/>
  <c r="AD24"/>
  <c r="AE22"/>
  <c r="H8" i="30"/>
  <c r="AD22" i="37"/>
  <c r="G25"/>
  <c r="G27"/>
  <c r="G29"/>
  <c r="AB23"/>
  <c r="AC23"/>
  <c r="AE23"/>
  <c r="AF23"/>
  <c r="AD23"/>
  <c r="B22" i="30"/>
  <c r="E35" i="29"/>
  <c r="R31"/>
  <c r="R32"/>
  <c r="F35"/>
  <c r="R33"/>
  <c r="G35"/>
  <c r="R35"/>
  <c r="F47"/>
  <c r="I35"/>
  <c r="R34"/>
  <c r="H35"/>
  <c r="O31"/>
</calcChain>
</file>

<file path=xl/comments1.xml><?xml version="1.0" encoding="utf-8"?>
<comments xmlns="http://schemas.openxmlformats.org/spreadsheetml/2006/main">
  <authors>
    <author>mgleixner</author>
    <author>molszak</author>
    <author>F station</author>
  </authors>
  <commentList>
    <comment ref="B30" authorId="0">
      <text>
        <r>
          <rPr>
            <sz val="8"/>
            <color indexed="81"/>
            <rFont val="Tahoma"/>
            <family val="2"/>
            <charset val="204"/>
          </rPr>
          <t>To define your periods (eg. P1, P2, P3 etc or P9, P10, P11 etc) you need to unprotect the cells.</t>
        </r>
      </text>
    </comment>
    <comment ref="B72" authorId="1">
      <text>
        <r>
          <rPr>
            <b/>
            <sz val="8"/>
            <color indexed="81"/>
            <rFont val="Tahoma"/>
            <family val="2"/>
            <charset val="204"/>
          </rPr>
          <t xml:space="preserve">If data are not available, do not enter zeros; rather, leave the cells in the table blank. </t>
        </r>
      </text>
    </comment>
    <comment ref="B73" authorId="1">
      <text>
        <r>
          <rPr>
            <b/>
            <sz val="8"/>
            <color indexed="81"/>
            <rFont val="Tahoma"/>
            <family val="2"/>
            <charset val="204"/>
          </rPr>
          <t>If data are not available, do not enter zeros; rather, leave the cells in this table blank.</t>
        </r>
      </text>
    </comment>
    <comment ref="B79" authorId="0">
      <text>
        <r>
          <rPr>
            <sz val="8"/>
            <color indexed="81"/>
            <rFont val="Tahoma"/>
            <family val="2"/>
            <charset val="204"/>
          </rPr>
          <t xml:space="preserve">If data are not available, do not enter zeros; rather, leave the cells in this table blank. </t>
        </r>
      </text>
    </comment>
    <comment ref="B94" authorId="0">
      <text>
        <r>
          <rPr>
            <sz val="8"/>
            <color indexed="81"/>
            <rFont val="Tahoma"/>
            <family val="2"/>
            <charset val="204"/>
          </rPr>
          <t>To define your periods (eg. P1, P2, P3 etc or P9, P10, P11 etc) you need to unprotect the cells.</t>
        </r>
      </text>
    </comment>
    <comment ref="N125" authorId="2">
      <text>
        <r>
          <rPr>
            <b/>
            <sz val="9"/>
            <color indexed="81"/>
            <rFont val="Tahoma"/>
            <family val="2"/>
            <charset val="204"/>
          </rPr>
          <t>F station:</t>
        </r>
        <r>
          <rPr>
            <sz val="9"/>
            <color indexed="81"/>
            <rFont val="Tahoma"/>
            <family val="2"/>
            <charset val="204"/>
          </rPr>
          <t xml:space="preserve">
incepind cu a. 2013 indicatorul este cumulativ anual</t>
        </r>
      </text>
    </comment>
    <comment ref="N127" authorId="2">
      <text>
        <r>
          <rPr>
            <b/>
            <sz val="9"/>
            <color indexed="81"/>
            <rFont val="Tahoma"/>
            <family val="2"/>
            <charset val="204"/>
          </rPr>
          <t>F station:</t>
        </r>
        <r>
          <rPr>
            <sz val="9"/>
            <color indexed="81"/>
            <rFont val="Tahoma"/>
            <family val="2"/>
            <charset val="204"/>
          </rPr>
          <t xml:space="preserve">
incepind cu a. 2013 indicatorul este cumulativ anual</t>
        </r>
      </text>
    </comment>
    <comment ref="N129" authorId="2">
      <text>
        <r>
          <rPr>
            <b/>
            <sz val="9"/>
            <color indexed="81"/>
            <rFont val="Tahoma"/>
            <family val="2"/>
            <charset val="204"/>
          </rPr>
          <t>F station:</t>
        </r>
        <r>
          <rPr>
            <sz val="9"/>
            <color indexed="81"/>
            <rFont val="Tahoma"/>
            <family val="2"/>
            <charset val="204"/>
          </rPr>
          <t xml:space="preserve">
incepind cu a. 2013 indicatorul este cumulativ anual</t>
        </r>
      </text>
    </comment>
    <comment ref="N131" authorId="2">
      <text>
        <r>
          <rPr>
            <b/>
            <sz val="9"/>
            <color indexed="81"/>
            <rFont val="Tahoma"/>
            <family val="2"/>
            <charset val="204"/>
          </rPr>
          <t>F station:</t>
        </r>
        <r>
          <rPr>
            <sz val="9"/>
            <color indexed="81"/>
            <rFont val="Tahoma"/>
            <family val="2"/>
            <charset val="204"/>
          </rPr>
          <t xml:space="preserve">
incepind cu a. 2013 indicatorul este cumulativ anual</t>
        </r>
      </text>
    </comment>
  </commentList>
</comments>
</file>

<file path=xl/comments2.xml><?xml version="1.0" encoding="utf-8"?>
<comments xmlns="http://schemas.openxmlformats.org/spreadsheetml/2006/main">
  <authors>
    <author>ZIT</author>
  </authors>
  <commentList>
    <comment ref="I11" authorId="0">
      <text>
        <r>
          <rPr>
            <b/>
            <sz val="9"/>
            <color indexed="81"/>
            <rFont val="Tahoma"/>
            <family val="2"/>
            <charset val="204"/>
          </rPr>
          <t>ZIT:</t>
        </r>
        <r>
          <rPr>
            <sz val="9"/>
            <color indexed="81"/>
            <rFont val="Tahoma"/>
            <family val="2"/>
            <charset val="204"/>
          </rPr>
          <t xml:space="preserve">
Este vorba despre auto-rating, in baza tuturor indicatorilor: financiari, programatici, management. Acesta urmeaza a fi aprobat de FG </t>
        </r>
      </text>
    </comment>
  </commentList>
</comments>
</file>

<file path=xl/sharedStrings.xml><?xml version="1.0" encoding="utf-8"?>
<sst xmlns="http://schemas.openxmlformats.org/spreadsheetml/2006/main" count="684" uniqueCount="545">
  <si>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</si>
  <si>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</si>
  <si>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</si>
  <si>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</si>
  <si>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</si>
  <si>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</si>
  <si>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</si>
  <si>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</si>
  <si>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</si>
  <si>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</si>
  <si>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</si>
  <si>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</si>
  <si>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</si>
  <si>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</si>
  <si>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</si>
  <si>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</si>
  <si>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</si>
  <si>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</si>
  <si>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</si>
  <si>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</si>
  <si>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</si>
  <si>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</si>
  <si>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</si>
  <si>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</si>
  <si>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</si>
  <si>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</si>
  <si>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</si>
  <si>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</si>
  <si>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</si>
  <si>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</si>
  <si>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</si>
  <si>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</si>
  <si>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</si>
  <si>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</si>
  <si>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</si>
  <si>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</si>
  <si>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</si>
  <si>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</si>
  <si>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</si>
  <si>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</si>
  <si>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</si>
  <si>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</si>
  <si>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</si>
  <si>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</si>
  <si>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</si>
  <si>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</si>
  <si>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</si>
  <si>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</si>
  <si>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</si>
  <si>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</si>
  <si>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</si>
  <si>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</si>
  <si>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</si>
  <si>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</si>
  <si>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</si>
  <si>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</si>
  <si>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</si>
  <si>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</si>
  <si>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</si>
  <si>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</si>
  <si>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</si>
  <si>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</si>
  <si>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</si>
  <si>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</si>
  <si>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</si>
  <si>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</si>
  <si>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</si>
  <si>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</si>
  <si>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</si>
  <si>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</si>
  <si>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</si>
  <si>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</si>
  <si>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</si>
  <si>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</si>
  <si>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</si>
  <si>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</si>
  <si>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</si>
  <si>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</si>
  <si>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</si>
  <si>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</si>
  <si>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</si>
  <si>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</si>
  <si>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</si>
  <si>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</si>
  <si>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</si>
  <si>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</si>
  <si>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</si>
  <si>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</si>
  <si>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</si>
  <si>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</si>
  <si>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</si>
  <si>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</si>
  <si>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</si>
  <si>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</si>
  <si>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</si>
  <si>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</si>
  <si>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</si>
  <si>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</si>
  <si>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</si>
  <si>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</si>
  <si>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</si>
  <si>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</si>
  <si>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</si>
  <si>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</si>
  <si>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</si>
  <si>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</si>
  <si>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</si>
  <si>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</si>
  <si>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</si>
  <si>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</si>
  <si>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</si>
  <si>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</si>
  <si>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</si>
  <si>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</si>
  <si>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</si>
  <si>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</si>
  <si>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</si>
  <si>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</si>
  <si>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</si>
  <si>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</si>
  <si>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</si>
  <si>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</si>
  <si>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</si>
  <si>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</si>
  <si>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</si>
  <si>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</si>
  <si>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</si>
  <si>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</si>
  <si>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</si>
  <si>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</si>
  <si>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</si>
  <si>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</si>
  <si>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</si>
  <si>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</si>
  <si>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</si>
  <si>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</si>
  <si>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</si>
  <si>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</si>
  <si>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</si>
  <si>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</si>
  <si>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</si>
  <si>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</si>
  <si>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</si>
  <si>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</si>
  <si>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</si>
  <si>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</si>
  <si>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</si>
  <si>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</si>
  <si>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</si>
  <si>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</si>
  <si>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</si>
  <si>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</si>
  <si>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</si>
  <si>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</si>
  <si>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</si>
  <si>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</si>
  <si>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</si>
  <si>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</si>
  <si>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</si>
  <si>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</si>
  <si>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</si>
  <si>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</si>
  <si>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</si>
  <si>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</si>
  <si>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</si>
  <si>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</si>
  <si>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</si>
  <si>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</si>
  <si>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</si>
  <si>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</si>
  <si>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</si>
  <si>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</si>
  <si>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</si>
  <si>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</si>
  <si>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</si>
  <si>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</si>
  <si>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</si>
  <si>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</si>
  <si>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</si>
  <si>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</si>
  <si>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</si>
  <si>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</si>
  <si>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</si>
  <si>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</si>
  <si>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</si>
  <si>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</si>
  <si>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</si>
  <si>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</si>
  <si>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</si>
  <si>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</si>
  <si>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</si>
  <si>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</si>
  <si>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</si>
  <si>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</si>
  <si>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</si>
  <si>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</si>
  <si>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</si>
  <si>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</si>
  <si>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</si>
  <si>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</si>
  <si>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</si>
  <si>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</si>
  <si>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</si>
  <si>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</si>
  <si>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</si>
  <si>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</si>
  <si>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</si>
  <si>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</si>
  <si>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</si>
  <si>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</si>
  <si>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</si>
  <si>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</si>
  <si>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</si>
  <si>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</si>
  <si>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</si>
  <si>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</si>
  <si>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</si>
  <si>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</si>
  <si>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</si>
  <si>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</si>
  <si>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</si>
  <si>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</si>
  <si>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</si>
  <si>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</si>
  <si>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</si>
  <si>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</si>
  <si>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</si>
  <si>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</si>
  <si>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</si>
  <si>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</si>
  <si>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</si>
  <si>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</si>
  <si>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</si>
  <si>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</si>
  <si>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</si>
  <si>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</si>
  <si>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</si>
  <si>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</si>
  <si>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</si>
  <si>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</si>
  <si>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</si>
  <si>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</si>
  <si>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</si>
  <si>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</si>
  <si>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</si>
  <si>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</si>
  <si>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</si>
  <si>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</si>
  <si>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Principal Recipient:</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</si>
  <si>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</si>
  <si>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</si>
  <si>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</si>
  <si>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</si>
  <si>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</si>
  <si>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</si>
  <si>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</si>
  <si>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</si>
  <si>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</si>
  <si>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</si>
  <si>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</si>
  <si>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</si>
  <si>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</si>
  <si>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</si>
  <si>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</si>
  <si>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</si>
  <si>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</si>
  <si>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</si>
  <si>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Person Responsible</t>
  </si>
  <si>
    <t>LFA</t>
  </si>
  <si>
    <t xml:space="preserve">Date </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</si>
  <si>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</si>
  <si>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</si>
  <si>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</si>
  <si>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</si>
  <si>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</si>
  <si>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</si>
  <si>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Key Recommendations from Oversight Group(s)</t>
  </si>
  <si>
    <t>Current  Reporting  Period</t>
  </si>
  <si>
    <t>Previous  Reporting  Period</t>
  </si>
  <si>
    <t xml:space="preserve">Last fund disbursement: Calendar days </t>
  </si>
  <si>
    <t>E-PAP</t>
  </si>
  <si>
    <t>Al/Lum</t>
  </si>
  <si>
    <t>TB nutri'l supplements</t>
  </si>
  <si>
    <t>Recommendations</t>
  </si>
  <si>
    <t>P1 - trend</t>
  </si>
  <si>
    <t>P2 - trend</t>
  </si>
  <si>
    <t>P3 - trend</t>
  </si>
  <si>
    <t>Set-up = List of validation for Grant Detail page</t>
  </si>
  <si>
    <t>Action Taken</t>
  </si>
  <si>
    <t>Phase:</t>
  </si>
  <si>
    <t>Round:</t>
  </si>
  <si>
    <t>Code</t>
  </si>
  <si>
    <t>Grant No.</t>
  </si>
  <si>
    <t>Total Funding</t>
  </si>
  <si>
    <t>Difference between current stock and safety stock</t>
  </si>
  <si>
    <t>Months of safety stock</t>
  </si>
  <si>
    <t>0% - 59%</t>
  </si>
  <si>
    <t>60% - 89%</t>
  </si>
  <si>
    <t>&gt; 90%</t>
  </si>
  <si>
    <t>Actions to Implement / Previous Period</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</si>
  <si>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</si>
  <si>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</si>
  <si>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</si>
  <si>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</si>
  <si>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</si>
  <si>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</si>
  <si>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</si>
  <si>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</si>
  <si>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</si>
  <si>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</si>
  <si>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</si>
  <si>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</si>
  <si>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</si>
  <si>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</si>
  <si>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</si>
  <si>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</si>
  <si>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</si>
  <si>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</si>
  <si>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</si>
  <si>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</si>
  <si>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Decisions and Actions</t>
  </si>
  <si>
    <t>Please Select</t>
  </si>
  <si>
    <t>TOP 3</t>
  </si>
  <si>
    <t>SSR to SR</t>
  </si>
  <si>
    <t>SRs to PR</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</si>
  <si>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</si>
  <si>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</si>
  <si>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</si>
  <si>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</si>
  <si>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</si>
  <si>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 xml:space="preserve">Financial Information: </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</si>
  <si>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</si>
  <si>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</si>
  <si>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</si>
  <si>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</si>
  <si>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</si>
  <si>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</si>
  <si>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</si>
  <si>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Impact</t>
  </si>
  <si>
    <t>1,2,3</t>
  </si>
  <si>
    <r>
      <t>P1 (</t>
    </r>
    <r>
      <rPr>
        <b/>
        <sz val="11"/>
        <color indexed="17"/>
        <rFont val="Calibri"/>
        <family val="2"/>
        <charset val="204"/>
      </rPr>
      <t>Q2.2010</t>
    </r>
    <r>
      <rPr>
        <b/>
        <sz val="11"/>
        <color indexed="8"/>
        <rFont val="Calibri"/>
        <family val="2"/>
      </rPr>
      <t>)</t>
    </r>
  </si>
  <si>
    <r>
      <t>P2 (</t>
    </r>
    <r>
      <rPr>
        <b/>
        <sz val="11"/>
        <color indexed="17"/>
        <rFont val="Calibri"/>
        <family val="2"/>
        <charset val="204"/>
      </rPr>
      <t>Q3-4.2010</t>
    </r>
    <r>
      <rPr>
        <b/>
        <sz val="11"/>
        <color indexed="8"/>
        <rFont val="Calibri"/>
        <family val="2"/>
      </rPr>
      <t>)</t>
    </r>
  </si>
  <si>
    <r>
      <t xml:space="preserve">P3 </t>
    </r>
    <r>
      <rPr>
        <sz val="11"/>
        <color indexed="8"/>
        <rFont val="Calibri"/>
        <family val="2"/>
      </rPr>
      <t>(</t>
    </r>
    <r>
      <rPr>
        <b/>
        <sz val="11"/>
        <color indexed="17"/>
        <rFont val="Calibri"/>
        <family val="2"/>
        <charset val="204"/>
      </rPr>
      <t>Q1-2.2011</t>
    </r>
    <r>
      <rPr>
        <sz val="11"/>
        <color indexed="8"/>
        <rFont val="Calibri"/>
        <family val="2"/>
      </rPr>
      <t>)</t>
    </r>
  </si>
  <si>
    <r>
      <t>P4 (</t>
    </r>
    <r>
      <rPr>
        <b/>
        <sz val="11"/>
        <color indexed="17"/>
        <rFont val="Calibri"/>
        <family val="2"/>
        <charset val="204"/>
      </rPr>
      <t>Q3-4.2011</t>
    </r>
    <r>
      <rPr>
        <b/>
        <sz val="11"/>
        <color indexed="8"/>
        <rFont val="Calibri"/>
        <family val="2"/>
      </rPr>
      <t>)</t>
    </r>
  </si>
  <si>
    <t>P5 (Q1-2.2012)</t>
  </si>
  <si>
    <t>P6 (Q3-4.2012)</t>
  </si>
  <si>
    <t xml:space="preserve">Impact </t>
  </si>
  <si>
    <t>PI "CIMU HSRP"</t>
  </si>
  <si>
    <t>Scaling up Access to Prevention, Treatment and Care under the National Program for Prevention and Control of HIV/AIDS/STIs 2006-2010 and reducing morbidity, mortality and HIV-related impact on people living with HIV/AIDS, 2010-2014</t>
  </si>
  <si>
    <t>Numerator: Number of infants born to HIV infected mothers who are HIV infected from the annual cohort // Numărul copiilor nascuti din mame HIV-pozitive care sunt infectați din cohorta anuală
Denominator: Total number of infants born to HIV infected mothers during the year // Numărul total de copii nascuți din mame HIV pozitive pe parcursul anului</t>
  </si>
  <si>
    <t xml:space="preserve">Numerator: Number of people continuously on antiretroviral therapy at 12 months after initiating treatment. Indicator definition. // Numărul persoanelor aflaţi continuu în tratament antiretroviral timp de 12 luni de la demararea acestuia                     
Denominator: Total number of people (adults and children) who initiated antiretroviral therapy in the start-up group 12 months earlier. //  Numitor: Numărul total al persoanelor (adulţi şi copii) care au demarat tratamentul antiretroviral cu 12 luni în urmă                    
</t>
  </si>
  <si>
    <t xml:space="preserve">Numerator: Number of pregnant women reached with voluntary testing and counseling services (at least once during pregnancy) and who know their test results. // Numărător: Numărul femeilor gravide care au beneficiat de servicii de consiliere şi testare voluntară (cel puţin odată pe parcursul sarcinii) şi care î-şi cunosc rezultatul.  
Denominator: Number of pregnant women who have undertaken HIV test during pregnancy (at least once).  // Numitor: Numărul femeilor gravide care au făcut testul HIV pe parcursul sarcinii (cel puţin o dată) 
</t>
  </si>
  <si>
    <t>Register of new HIV infection cases and pregnant women's health cards // Registrele cazurilor noi de HIV infecție și cartela medicală a gravidei</t>
  </si>
  <si>
    <t>Registers of patients on treatment and patients' health cards // Registrele pacienților în tratament și cartela medicală a pacientului</t>
  </si>
  <si>
    <t>Electronic reports of VCT rooms at the national level // rapoartele electronice generate de baza de date CTV</t>
  </si>
  <si>
    <t>Periodicitatea măsurării</t>
  </si>
  <si>
    <t>cumulativ anual</t>
  </si>
  <si>
    <t xml:space="preserve">cumulativ pe perioada programului </t>
  </si>
  <si>
    <t>Sursa datelor</t>
  </si>
  <si>
    <t>Target // Ținta</t>
  </si>
  <si>
    <t>Achieved // Realizat</t>
  </si>
  <si>
    <t>Code / codul</t>
  </si>
  <si>
    <r>
      <t xml:space="preserve">Programmatic Indicators (from Performance Framework) </t>
    </r>
    <r>
      <rPr>
        <b/>
        <sz val="18"/>
        <color indexed="62"/>
        <rFont val="Calibri"/>
        <family val="2"/>
        <charset val="204"/>
      </rPr>
      <t>// Indicatori programatici</t>
    </r>
  </si>
  <si>
    <r>
      <rPr>
        <b/>
        <sz val="11"/>
        <rFont val="Arial"/>
        <family val="2"/>
        <charset val="204"/>
      </rPr>
      <t>1.1 Number and percentage of pregnant women reached with voluntary testing and counseling services and who know their results</t>
    </r>
    <r>
      <rPr>
        <b/>
        <sz val="11"/>
        <color indexed="56"/>
        <rFont val="Arial"/>
        <family val="2"/>
      </rPr>
      <t>. // Numărul si procentul femeilor gravide care au beneficiat de servicii de consiliere şi testare voluntara şi îşi cunosc rezultatul</t>
    </r>
  </si>
  <si>
    <r>
      <rPr>
        <b/>
        <sz val="11"/>
        <rFont val="Arial"/>
        <family val="2"/>
        <charset val="204"/>
      </rPr>
      <t>2.1 Number of people with advanced HIV infection that have started antiretroviral combination therapy</t>
    </r>
    <r>
      <rPr>
        <b/>
        <sz val="11"/>
        <color indexed="56"/>
        <rFont val="Arial"/>
        <family val="2"/>
      </rPr>
      <t xml:space="preserve"> // Numărul pesoanelor cu infecţia HIV/SIDA avansată care au initiat tratament antiretroviral combinat</t>
    </r>
  </si>
  <si>
    <r>
      <rPr>
        <b/>
        <sz val="11"/>
        <rFont val="Arial"/>
        <family val="2"/>
        <charset val="204"/>
      </rPr>
      <t>2.3 Number and percentage of PLWHA screened for TB</t>
    </r>
    <r>
      <rPr>
        <b/>
        <sz val="11"/>
        <color indexed="56"/>
        <rFont val="Arial"/>
        <family val="2"/>
      </rPr>
      <t xml:space="preserve"> // Numărul şi procentul persoanelor care trăiesc cu HIV/SIDA testate pentru TB</t>
    </r>
  </si>
  <si>
    <r>
      <rPr>
        <b/>
        <sz val="11"/>
        <rFont val="Arial"/>
        <family val="2"/>
        <charset val="204"/>
      </rPr>
      <t>1,2,3 Number of healthcare providers trained</t>
    </r>
    <r>
      <rPr>
        <b/>
        <sz val="11"/>
        <color indexed="56"/>
        <rFont val="Arial"/>
        <family val="2"/>
      </rPr>
      <t xml:space="preserve"> // Numărul prestatorilor de servicii medicale instruiţi</t>
    </r>
  </si>
  <si>
    <r>
      <rPr>
        <sz val="11"/>
        <rFont val="Arial"/>
        <family val="2"/>
        <charset val="204"/>
      </rPr>
      <t>Numerator: Number of injecting drug users (IDUs) reached with prevention programmes based on harm reduction strategy</t>
    </r>
    <r>
      <rPr>
        <sz val="11"/>
        <color indexed="56"/>
        <rFont val="Arial"/>
        <family val="2"/>
      </rPr>
      <t xml:space="preserve"> // Numărător: Numărul Consumatorilor de Droguri intravenos (CDI) acoperiţi cu programe de prevenţie bazate pe strategia de reducere a riscurilor.               
</t>
    </r>
    <r>
      <rPr>
        <sz val="11"/>
        <rFont val="Arial"/>
        <family val="2"/>
        <charset val="204"/>
      </rPr>
      <t>Denominator: Estimated number of injecting drug users (IDUs) (as per World Bank estimations).</t>
    </r>
    <r>
      <rPr>
        <sz val="11"/>
        <color indexed="56"/>
        <rFont val="Arial"/>
        <family val="2"/>
      </rPr>
      <t xml:space="preserve"> // Numitor: Numărul estimat al consumatorilor de droguri intravenos (CDI) (conform estimărilor BM).</t>
    </r>
  </si>
  <si>
    <r>
      <rPr>
        <sz val="11"/>
        <rFont val="Arial"/>
        <family val="2"/>
        <charset val="204"/>
      </rPr>
      <t>Numerator: Number of commercial sex workers (CSWs) reached with prevention programmes based on harm reduction strategy.</t>
    </r>
    <r>
      <rPr>
        <sz val="11"/>
        <color indexed="56"/>
        <rFont val="Arial"/>
        <family val="2"/>
      </rPr>
      <t xml:space="preserve"> //  Numărător: Numărul persoanelor ce practică sexul comercial (LSC) acoperite cu programe de prevenţie bazate pe strategia de reducere a riscurilor.               
</t>
    </r>
    <r>
      <rPr>
        <sz val="11"/>
        <rFont val="Arial"/>
        <family val="2"/>
        <charset val="204"/>
      </rPr>
      <t xml:space="preserve">
Denominator: Estimated number of commercial sex workers (CSWs) (as per World Bank estimation). </t>
    </r>
    <r>
      <rPr>
        <sz val="11"/>
        <color indexed="56"/>
        <rFont val="Arial"/>
        <family val="2"/>
      </rPr>
      <t xml:space="preserve">// Numitor: Numărul estimat al persoanelor ce practică sexul comercial (LSC).  
</t>
    </r>
  </si>
  <si>
    <r>
      <rPr>
        <sz val="11"/>
        <rFont val="Arial"/>
        <family val="2"/>
        <charset val="204"/>
      </rPr>
      <t>Numerator: Number of lesbian, gay, bi-sexual and trans-sexual reached with prevention programmes based on harm reduction strategy.</t>
    </r>
    <r>
      <rPr>
        <sz val="11"/>
        <color indexed="56"/>
        <rFont val="Arial"/>
        <family val="2"/>
      </rPr>
      <t xml:space="preserve"> // Numărător: Numărul lesbienilor, gheilor, bisexualilor şi transsexualilor acoperiţi cu programe de prevenţie bazate pe strategia de reducere a riscurilor.              
</t>
    </r>
    <r>
      <rPr>
        <sz val="11"/>
        <rFont val="Arial"/>
        <family val="2"/>
        <charset val="204"/>
      </rPr>
      <t xml:space="preserve">
Denominator: Estimated number of lesbian, gay, bi-sexual and trans-sexual (as per World Bank estimations).</t>
    </r>
    <r>
      <rPr>
        <sz val="11"/>
        <color indexed="56"/>
        <rFont val="Arial"/>
        <family val="2"/>
      </rPr>
      <t xml:space="preserve"> //  Numitor: Numărul estimat al lesbienilor, gheilor, bisexualilor şi transsexualilor.</t>
    </r>
  </si>
  <si>
    <r>
      <rPr>
        <sz val="11"/>
        <rFont val="Arial"/>
        <family val="2"/>
        <charset val="204"/>
      </rPr>
      <t>Numerator: Number of IDUs covered with substitution treatment to prevent transmission of HIV.</t>
    </r>
    <r>
      <rPr>
        <sz val="11"/>
        <color indexed="56"/>
        <rFont val="Arial"/>
        <family val="2"/>
      </rPr>
      <t xml:space="preserve"> // Numătrător: Numărul Consumatorilor de Droguri intravenos care beneficiază de tratament de substituție
</t>
    </r>
    <r>
      <rPr>
        <sz val="11"/>
        <rFont val="Arial"/>
        <family val="2"/>
        <charset val="204"/>
      </rPr>
      <t>Denominator: none</t>
    </r>
    <r>
      <rPr>
        <sz val="11"/>
        <color indexed="56"/>
        <rFont val="Arial"/>
        <family val="2"/>
      </rPr>
      <t xml:space="preserve"> // Numitor: N/A.</t>
    </r>
  </si>
  <si>
    <r>
      <rPr>
        <sz val="11"/>
        <rFont val="Arial"/>
        <family val="2"/>
        <charset val="204"/>
      </rPr>
      <t>Numerator: Number of people with advanced HIV infection, who have started antiretroviral combination therapy during the reporting period.</t>
    </r>
    <r>
      <rPr>
        <sz val="11"/>
        <color indexed="56"/>
        <rFont val="Arial"/>
        <family val="2"/>
      </rPr>
      <t xml:space="preserve"> // Numitor: Numărul pesoanelor cu infecţia HIV/SIDA avansată care au initiat tratament antiretroviral combinat
</t>
    </r>
    <r>
      <rPr>
        <sz val="11"/>
        <rFont val="Arial"/>
        <family val="2"/>
        <charset val="204"/>
      </rPr>
      <t>Denominator: none</t>
    </r>
    <r>
      <rPr>
        <sz val="11"/>
        <color indexed="56"/>
        <rFont val="Arial"/>
        <family val="2"/>
      </rPr>
      <t xml:space="preserve"> // Numitor: N/A.</t>
    </r>
  </si>
  <si>
    <r>
      <rPr>
        <sz val="11"/>
        <rFont val="Arial"/>
        <family val="2"/>
        <charset val="204"/>
      </rPr>
      <t>Numerator: Numerator Number of people living with HIV/AIDS screened for Tuberculoses.</t>
    </r>
    <r>
      <rPr>
        <sz val="11"/>
        <color indexed="56"/>
        <rFont val="Arial"/>
        <family val="2"/>
      </rPr>
      <t xml:space="preserve"> // Numărător: Numărul Persoanleor care trăiesc cu HIV/SIDA care au fost testaţi la TB 
</t>
    </r>
    <r>
      <rPr>
        <sz val="11"/>
        <rFont val="Arial"/>
        <family val="2"/>
        <charset val="204"/>
      </rPr>
      <t xml:space="preserve">
Denominator: Number of HIV cases on evidence at the end of reported year.</t>
    </r>
    <r>
      <rPr>
        <sz val="11"/>
        <color indexed="56"/>
        <rFont val="Arial"/>
        <family val="2"/>
      </rPr>
      <t xml:space="preserve"> // Numitor: Numărul Persoanleor care trăiesc cu HIV/SIDA care se află în evidenţă la sfîrşitul anului raportat. </t>
    </r>
  </si>
  <si>
    <r>
      <rPr>
        <sz val="11"/>
        <rFont val="Arial"/>
        <family val="2"/>
        <charset val="204"/>
      </rPr>
      <t>Numerator: Number of healthcare providers trained in PMTCT, VCT services, youth friendly services provisions second generation surveillance, tolerance towards PLWHA, SYMETA.</t>
    </r>
    <r>
      <rPr>
        <sz val="11"/>
        <color indexed="56"/>
        <rFont val="Arial"/>
        <family val="2"/>
      </rPr>
      <t xml:space="preserve"> // Numărător: Numărul prestatorilor de servicii medicale instruiţi în prevenirea transmiterii infecției HIV de la mamă la făt, serviciile CTV, servicii prietenoase tinerilor, supravegherea de a doua generație, toleranța față de PTHS, SYMETA.
</t>
    </r>
    <r>
      <rPr>
        <sz val="11"/>
        <rFont val="Arial"/>
        <family val="2"/>
        <charset val="204"/>
      </rPr>
      <t xml:space="preserve">
Numitor:</t>
    </r>
    <r>
      <rPr>
        <sz val="11"/>
        <color indexed="56"/>
        <rFont val="Arial"/>
        <family val="2"/>
      </rPr>
      <t xml:space="preserve"> N/A</t>
    </r>
  </si>
  <si>
    <r>
      <rPr>
        <sz val="11"/>
        <rFont val="Arial"/>
        <family val="2"/>
        <charset val="204"/>
      </rPr>
      <t xml:space="preserve">List of participants in the training </t>
    </r>
    <r>
      <rPr>
        <sz val="11"/>
        <color indexed="56"/>
        <rFont val="Arial"/>
        <family val="2"/>
      </rPr>
      <t>// Listele participanților la instruiri</t>
    </r>
  </si>
  <si>
    <r>
      <rPr>
        <sz val="11"/>
        <rFont val="Arial"/>
        <family val="2"/>
        <charset val="204"/>
      </rPr>
      <t>Health cards of patients on evidence with HIV infection, registers of HIV patients tested for TB</t>
    </r>
    <r>
      <rPr>
        <sz val="11"/>
        <color indexed="56"/>
        <rFont val="Arial"/>
        <family val="2"/>
      </rPr>
      <t xml:space="preserve"> // Cartelele medicale ale pacienților HIV infectați aflați la evidență testați la TB</t>
    </r>
  </si>
  <si>
    <r>
      <rPr>
        <sz val="11"/>
        <rFont val="Arial"/>
        <family val="2"/>
        <charset val="204"/>
      </rPr>
      <t>Regsters and health cards of IDUs on ARV treatment</t>
    </r>
    <r>
      <rPr>
        <sz val="11"/>
        <color indexed="56"/>
        <rFont val="Arial"/>
        <family val="2"/>
      </rPr>
      <t xml:space="preserve"> // Registrele și cartelele medicale ale UDI care beneficiază de tratament ARV</t>
    </r>
  </si>
  <si>
    <r>
      <rPr>
        <sz val="11"/>
        <rFont val="Arial"/>
        <family val="2"/>
        <charset val="204"/>
      </rPr>
      <t>Regsters and health cards of IDUs on substitution treatment</t>
    </r>
    <r>
      <rPr>
        <sz val="11"/>
        <color indexed="56"/>
        <rFont val="Arial"/>
        <family val="2"/>
      </rPr>
      <t xml:space="preserve"> // Registrele și cartelele medicale ale UDI care beneficiază de tratament de substituție</t>
    </r>
  </si>
  <si>
    <r>
      <rPr>
        <sz val="11"/>
        <rFont val="Arial"/>
        <family val="2"/>
        <charset val="204"/>
      </rPr>
      <t>Registers of LGBT who have benefited from certain services</t>
    </r>
    <r>
      <rPr>
        <sz val="11"/>
        <color indexed="56"/>
        <rFont val="Arial"/>
        <family val="2"/>
      </rPr>
      <t xml:space="preserve"> // Registrele LGBT care au beneficiat de anumite servicii</t>
    </r>
  </si>
  <si>
    <r>
      <rPr>
        <sz val="11"/>
        <rFont val="Arial"/>
        <family val="2"/>
        <charset val="204"/>
      </rPr>
      <t xml:space="preserve">Registers of CSWs who have benefited from certain services </t>
    </r>
    <r>
      <rPr>
        <sz val="11"/>
        <color indexed="56"/>
        <rFont val="Arial"/>
        <family val="2"/>
      </rPr>
      <t>// Registrele LSC care au beneficiat de anumite servicii</t>
    </r>
  </si>
  <si>
    <r>
      <rPr>
        <sz val="11"/>
        <rFont val="Arial"/>
        <family val="2"/>
        <charset val="204"/>
      </rPr>
      <t xml:space="preserve">Registers of IDUs who have benefited from certain services </t>
    </r>
    <r>
      <rPr>
        <sz val="11"/>
        <color indexed="56"/>
        <rFont val="Arial"/>
        <family val="2"/>
      </rPr>
      <t>// Registrele UDI care au beneficiat de anumite servicii</t>
    </r>
  </si>
  <si>
    <r>
      <rPr>
        <sz val="10"/>
        <rFont val="Arial"/>
        <family val="2"/>
        <charset val="204"/>
      </rPr>
      <t>Percentage of infants born to HIV infected mothers who are HIV infected</t>
    </r>
    <r>
      <rPr>
        <sz val="10"/>
        <color indexed="56"/>
        <rFont val="Arial"/>
        <family val="2"/>
        <charset val="204"/>
      </rPr>
      <t xml:space="preserve"> // Procentul copiilor HIV pozitivi născuţi de către mame HIV pozitive</t>
    </r>
  </si>
  <si>
    <r>
      <rPr>
        <sz val="10"/>
        <rFont val="Arial"/>
        <family val="2"/>
        <charset val="204"/>
      </rPr>
      <t>Percentage of adults and children with HIV known to be on treatment 12 months after initiation of antiretroviral therapy</t>
    </r>
    <r>
      <rPr>
        <sz val="10"/>
        <color indexed="56"/>
        <rFont val="Arial"/>
        <family val="2"/>
        <charset val="204"/>
      </rPr>
      <t xml:space="preserve"> // Procentul adulţilor şi copiilor HIV infectaţi care se află în tratament 12 luni după iniţierea tratamentului antiretroviral </t>
    </r>
  </si>
  <si>
    <r>
      <rPr>
        <sz val="10"/>
        <rFont val="Arial"/>
        <family val="2"/>
        <charset val="204"/>
      </rPr>
      <t xml:space="preserve">Number and percentage of pregnant women reached with voluntary testing and counseling services and who know their results. </t>
    </r>
    <r>
      <rPr>
        <sz val="10"/>
        <color indexed="56"/>
        <rFont val="Arial"/>
        <family val="2"/>
        <charset val="204"/>
      </rPr>
      <t>// Numărul și procentul femeilor gravide acoperite de servicii de testare și consiliere și care-și cunosc rezultatul</t>
    </r>
  </si>
  <si>
    <r>
      <rPr>
        <sz val="10"/>
        <rFont val="Arial"/>
        <family val="2"/>
        <charset val="204"/>
      </rPr>
      <t xml:space="preserve">Number and percentage of injecting drug users (IDUs) reached with prevention programmes </t>
    </r>
    <r>
      <rPr>
        <sz val="10"/>
        <color indexed="56"/>
        <rFont val="Arial"/>
        <family val="2"/>
        <charset val="204"/>
      </rPr>
      <t xml:space="preserve"> // Numărul şi procentul utilizatorilor de droguri injectabile (UDI) cuprinşi în programele de prevenire</t>
    </r>
  </si>
  <si>
    <r>
      <rPr>
        <sz val="10"/>
        <rFont val="Arial"/>
        <family val="2"/>
        <charset val="204"/>
      </rPr>
      <t>Number and percentage of commercial sex workers (CSWs) reached with outreach programmes</t>
    </r>
    <r>
      <rPr>
        <sz val="10"/>
        <color indexed="56"/>
        <rFont val="Arial"/>
        <family val="2"/>
        <charset val="204"/>
      </rPr>
      <t xml:space="preserve"> // Numărul şi procentul lucratoarelor sexului comercial (LSC) cuprinse în  programele de prevenire în teren</t>
    </r>
  </si>
  <si>
    <r>
      <rPr>
        <sz val="10"/>
        <rFont val="Arial"/>
        <family val="2"/>
        <charset val="204"/>
      </rPr>
      <t>Number and percentage of lesbian, gay, bi-sexual and trans-sexual reached with outreach programmes</t>
    </r>
    <r>
      <rPr>
        <sz val="10"/>
        <color indexed="56"/>
        <rFont val="Arial"/>
        <family val="2"/>
        <charset val="204"/>
      </rPr>
      <t xml:space="preserve"> // Numărul şi procentul lesbienelor, gay-lor, bisexualilor si trans-sexualilor cuprinşi în  programele de prevenire în teren</t>
    </r>
  </si>
  <si>
    <r>
      <rPr>
        <sz val="10"/>
        <rFont val="Arial"/>
        <family val="2"/>
        <charset val="204"/>
      </rPr>
      <t>Number of drug users reached with drug substitution therapy</t>
    </r>
    <r>
      <rPr>
        <sz val="10"/>
        <color indexed="56"/>
        <rFont val="Arial"/>
        <family val="2"/>
        <charset val="204"/>
      </rPr>
      <t xml:space="preserve">  // Numărul utilizatorilor de droguri care beneficiază de tratament de substituţie  </t>
    </r>
  </si>
  <si>
    <r>
      <rPr>
        <sz val="10"/>
        <rFont val="Arial"/>
        <family val="2"/>
        <charset val="204"/>
      </rPr>
      <t>Number of people with advanced HIV infection that have started antiretroviral combination therapy</t>
    </r>
    <r>
      <rPr>
        <sz val="10"/>
        <color indexed="56"/>
        <rFont val="Arial"/>
        <family val="2"/>
        <charset val="204"/>
      </rPr>
      <t xml:space="preserve"> // Numărul pesoanelor cu infecţia HIV/SIDA avansată care au initiat tratament antiretroviral combinat</t>
    </r>
  </si>
  <si>
    <r>
      <rPr>
        <sz val="10"/>
        <rFont val="Arial"/>
        <family val="2"/>
        <charset val="204"/>
      </rPr>
      <t>Number and percentage of PLWHA screened for TB</t>
    </r>
    <r>
      <rPr>
        <sz val="10"/>
        <color indexed="56"/>
        <rFont val="Arial"/>
        <family val="2"/>
        <charset val="204"/>
      </rPr>
      <t xml:space="preserve"> // Numărul şi procentul persoanelor care trăiesc cu HIV/SIDA testate pentru TB</t>
    </r>
  </si>
  <si>
    <r>
      <rPr>
        <sz val="10"/>
        <rFont val="Arial"/>
        <family val="2"/>
        <charset val="204"/>
      </rPr>
      <t>Number of healthcare providers trained</t>
    </r>
    <r>
      <rPr>
        <sz val="10"/>
        <color indexed="56"/>
        <rFont val="Arial"/>
        <family val="2"/>
        <charset val="204"/>
      </rPr>
      <t xml:space="preserve"> // Numărul prestatorilor de servicii medicale instruiţi</t>
    </r>
  </si>
  <si>
    <t xml:space="preserve"> </t>
  </si>
  <si>
    <t>Acces la prevenire si testare</t>
  </si>
  <si>
    <t>Sporire accesului educational a populatiei afectate de HIV/SIDA la servicii sociale si de sanatate</t>
  </si>
  <si>
    <t>COORDONARE IMBUNATATITA SI PARTENERIAT</t>
  </si>
  <si>
    <t>De a imbunatati performanta programului prin imbunatatirea infrastructurii</t>
  </si>
  <si>
    <t xml:space="preserve">Utilizarea dobinzii </t>
  </si>
  <si>
    <t>F1: Bugetul și debursările de către Fondul Global</t>
  </si>
  <si>
    <t>F2: Bugetul și cheltuielile actuale după Obiectivele Grantului</t>
  </si>
  <si>
    <t>Obiectivele Grantului</t>
  </si>
  <si>
    <t>F3: Debursări și cheltuieli</t>
  </si>
  <si>
    <t>Către perioada de raportare</t>
  </si>
  <si>
    <t>Perioada de raportare curentă</t>
  </si>
  <si>
    <t xml:space="preserve">F4: Ultima perioadă de raportare și debursare a RP </t>
  </si>
  <si>
    <t>Ultima debursare a surselor: Număr de zile calendaristice</t>
  </si>
  <si>
    <t>Preconizat (zile)</t>
  </si>
  <si>
    <t>Actual (zile)</t>
  </si>
  <si>
    <t>Zile necesare pentru remiterea PU/DR final către ALF</t>
  </si>
  <si>
    <t>Zile necesare pentru debursare către RP</t>
  </si>
  <si>
    <t>Zile necesare pentru debursare către SR</t>
  </si>
  <si>
    <t>Informația pe Management:</t>
  </si>
  <si>
    <t xml:space="preserve">      Întroduceți datele pentru management în celulele albastre</t>
  </si>
  <si>
    <t xml:space="preserve">M1: Statutul Condițiilor Precedente și a Acțiunilor Prestabilite în Timp </t>
  </si>
  <si>
    <t>Finisate</t>
  </si>
  <si>
    <t>Ne finisate, dar realizarea  în conformitate cu planul</t>
  </si>
  <si>
    <t>Ne finisate, și au depășit planul de realizare</t>
  </si>
  <si>
    <t>Condiții Precedente (CP)</t>
  </si>
  <si>
    <t>Acțiuni Prestabilite în Timp (TBA)</t>
  </si>
  <si>
    <t xml:space="preserve">M2: Statutul pozițiilor cheie a RP </t>
  </si>
  <si>
    <t>Planificate</t>
  </si>
  <si>
    <t>Completate</t>
  </si>
  <si>
    <t>Vacante</t>
  </si>
  <si>
    <t>IP UCIMP RSS</t>
  </si>
  <si>
    <t xml:space="preserve">M3: Aranjamente contractuale (SR) </t>
  </si>
  <si>
    <t>M4: Numărul rapoartelor complete recepționate la timp</t>
  </si>
  <si>
    <t>Identificați</t>
  </si>
  <si>
    <t>Evaluați</t>
  </si>
  <si>
    <t>Aprobați</t>
  </si>
  <si>
    <t>Contracte semnate</t>
  </si>
  <si>
    <t>Au recepționat surse</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</si>
  <si>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</si>
  <si>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</si>
  <si>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</si>
  <si>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</si>
  <si>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</si>
  <si>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</si>
  <si>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</si>
  <si>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</si>
  <si>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</si>
  <si>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</si>
  <si>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 Include numai EFR categoriile 4 și 5  (Produse medicale și Echipamente medicale &amp; Medicamente și Produse farmaceutice)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</si>
  <si>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</si>
  <si>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</si>
  <si>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</si>
  <si>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</si>
  <si>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</si>
  <si>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</si>
  <si>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</si>
  <si>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</si>
  <si>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</si>
  <si>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</si>
  <si>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</si>
  <si>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Informația Programatică:</t>
  </si>
  <si>
    <t>Indicatori de Program  (Performance Framework )</t>
  </si>
  <si>
    <t xml:space="preserve">Direct rezulta din activitatea FG? </t>
  </si>
  <si>
    <t>Tabelul este în mod automat reînnoit. Nu necesită introducerea datelor și/sau informației.</t>
  </si>
  <si>
    <t>Direct rezulta din activitatea FG?</t>
  </si>
  <si>
    <t>Perioada Raportată</t>
  </si>
  <si>
    <t>Buget Cumulativ</t>
  </si>
  <si>
    <t>Debursări cumulative</t>
  </si>
  <si>
    <t>Informația despre indicatori</t>
  </si>
  <si>
    <t>Informația despre perioada raportată</t>
  </si>
  <si>
    <t>Informație despre Grant</t>
  </si>
  <si>
    <t>Țara:</t>
  </si>
  <si>
    <t>No. Grantului :</t>
  </si>
  <si>
    <t>Recipientul Principal:</t>
  </si>
  <si>
    <t>Data Demarării (zz/ll/aa):</t>
  </si>
  <si>
    <t>Ultimul Rating:</t>
  </si>
  <si>
    <t>Numele Grantului:</t>
  </si>
  <si>
    <t>Componenta:</t>
  </si>
  <si>
    <t>Runda:</t>
  </si>
  <si>
    <t>Agentul Local:</t>
  </si>
  <si>
    <t>MOL-H-PCIMU</t>
  </si>
  <si>
    <t>Suma totală:</t>
  </si>
  <si>
    <t>Faza:</t>
  </si>
  <si>
    <t xml:space="preserve">Introduceți datele bazîndu-vă de celulele codificate prin culoare </t>
  </si>
  <si>
    <t xml:space="preserve">Informația Financiară: </t>
  </si>
  <si>
    <t xml:space="preserve">Informația pe Management: </t>
  </si>
  <si>
    <t xml:space="preserve">Informația Programatică: </t>
  </si>
  <si>
    <t xml:space="preserve">Introduceți datele financiare în celulele colorate în oranj </t>
  </si>
  <si>
    <t>Data de introducere a informației:</t>
  </si>
  <si>
    <t>De la:</t>
  </si>
  <si>
    <t>Pînă la:</t>
  </si>
  <si>
    <t>Perioada de Raportare:</t>
  </si>
  <si>
    <t>Pregătit de către:</t>
  </si>
  <si>
    <t>Valuta Grantului</t>
  </si>
  <si>
    <t>Debursat de către Fondul Global</t>
  </si>
  <si>
    <t xml:space="preserve">Cheltuielile și debursările RP </t>
  </si>
  <si>
    <t>Debursări către SR</t>
  </si>
  <si>
    <t>Cheltuielile SR</t>
  </si>
  <si>
    <t xml:space="preserve">conform planului si cererii de debursare </t>
  </si>
  <si>
    <t xml:space="preserve">conform cererii de debursare din partea RP </t>
  </si>
  <si>
    <t>Nu sunt probleme în aranjamentele contractuale cu SR</t>
  </si>
  <si>
    <t>Nu sunt condiții precedente neîndeplinite de către RP</t>
  </si>
  <si>
    <t>Tatiana Vinicenco</t>
  </si>
  <si>
    <t>&gt;80</t>
  </si>
  <si>
    <r>
      <t xml:space="preserve">50.2% of PLWHA have been screened for tuberculosis during year 2012. In absolute figures this represents 2,409 PLWHA (1,725 from the right bank and 684 from the left bank) from the total of 4,800 PLWHA (3,278 on the right bank and 1,522 on the left bank) on evidence at the end of year 2012.
</t>
    </r>
    <r>
      <rPr>
        <sz val="8"/>
        <color theme="4" tint="-0.249977111117893"/>
        <rFont val="Calibri"/>
        <family val="2"/>
        <charset val="204"/>
      </rPr>
      <t>//50.2% din PTHS au fost testați la TB pe parcursul anului 2012. În cifre absolute aceasta constituie 2,409 PTHS (1,725 pe malul drept și 684 pe malul stîng) din totalul de 4,800 PTHS (3,278 de pe malul drept și 1,522 de pe malul stîng) aflați la evidență la finele anului 2012.</t>
    </r>
  </si>
  <si>
    <r>
      <t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t>
    </r>
    <r>
      <rPr>
        <sz val="8"/>
        <color indexed="62"/>
        <rFont val="Calibri"/>
        <family val="2"/>
        <charset val="204"/>
      </rPr>
      <t xml:space="preserve">//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t>
    </r>
    <r>
      <rPr>
        <sz val="8"/>
        <color indexed="8"/>
        <rFont val="Calibri"/>
        <family val="2"/>
      </rPr>
      <t xml:space="preserve">
</t>
    </r>
  </si>
  <si>
    <r>
      <t xml:space="preserve">During 2012 the number of pregnant women that benefited from VCT services and who know their results amounted at 26,787 from 44987 cases. This represents 59.5% of the women who have undertaken an HIV test. during pregnancy, at least once (26.787/44,987). Activities under this indicator are partially supported by the current GF Grant.
</t>
    </r>
    <r>
      <rPr>
        <sz val="8"/>
        <color theme="4" tint="-0.249977111117893"/>
        <rFont val="Calibri"/>
        <family val="2"/>
        <charset val="204"/>
      </rPr>
      <t>// Numărul femeilor gravide care au beneficiat de servicii CTV pe parcursul 2012  și care-și cunoșteau rezultatul a constituit 26,787 din 44987 cazuri. Aceasta reprezintă 59.5% din femeile care s-au testat la HIV pe parcursul sarcinii (cel puțin o dată). Activitățile ce țin de acest indicator sunt parțial acoperite din sursele grantului FG.</t>
    </r>
  </si>
  <si>
    <t>n/a</t>
  </si>
  <si>
    <t>Numerator: Number of HIV-positive pregnant women who received a ARV prophylaxis treatment to reduce the likelihood of MTCT in accordance with nationally approved treatment protocols. 
Denominator: Number of HIV positive pregnant women detected during the reporting period.</t>
  </si>
  <si>
    <t>HIV infected pregnant women's health cards.</t>
  </si>
  <si>
    <r>
      <rPr>
        <b/>
        <sz val="11"/>
        <rFont val="Arial"/>
        <family val="2"/>
        <charset val="204"/>
      </rPr>
      <t>1.1 Number and percentage of injecting drug users (IDUs) reached with prevention programmes</t>
    </r>
    <r>
      <rPr>
        <b/>
        <sz val="11"/>
        <color indexed="56"/>
        <rFont val="Arial"/>
        <family val="2"/>
      </rPr>
      <t xml:space="preserve"> // Numărul şi procentul utilizatorilor de droguri injectabile (UDI) cuprinşi în programele de prevenire</t>
    </r>
  </si>
  <si>
    <r>
      <rPr>
        <b/>
        <sz val="11"/>
        <rFont val="Arial"/>
        <family val="2"/>
        <charset val="204"/>
      </rPr>
      <t>1.3 Number and percentage of commercial sex workers (CSWs) reached with outreach programmes</t>
    </r>
    <r>
      <rPr>
        <b/>
        <sz val="11"/>
        <color indexed="56"/>
        <rFont val="Arial"/>
        <family val="2"/>
      </rPr>
      <t xml:space="preserve"> // Numărul şi procentul lucratoarelor sexului comercial (LSC) cuprinse în  programele de prevenire în teren</t>
    </r>
  </si>
  <si>
    <r>
      <rPr>
        <b/>
        <sz val="11"/>
        <rFont val="Arial"/>
        <family val="2"/>
        <charset val="204"/>
      </rPr>
      <t>1.4 Number and percentage of lesbian, gay, bi-sexual and trans-sexual reached with outreach programmes</t>
    </r>
    <r>
      <rPr>
        <b/>
        <sz val="11"/>
        <color indexed="56"/>
        <rFont val="Arial"/>
        <family val="2"/>
      </rPr>
      <t xml:space="preserve"> // Numărul şi procentul lesbienelor, gay-lor, bisexualilor si trans-sexualilor cuprinşi în  programele de prevenire în teren</t>
    </r>
  </si>
  <si>
    <r>
      <rPr>
        <b/>
        <sz val="11"/>
        <rFont val="Arial"/>
        <family val="2"/>
        <charset val="204"/>
      </rPr>
      <t>1.2 Number of drug users reached with drug substitution therapy</t>
    </r>
    <r>
      <rPr>
        <b/>
        <sz val="11"/>
        <color indexed="56"/>
        <rFont val="Arial"/>
        <family val="2"/>
      </rPr>
      <t xml:space="preserve"> // Numărul utilizatorilor de droguri care beneficiază de tratament de substituţie </t>
    </r>
  </si>
  <si>
    <r>
      <rPr>
        <b/>
        <sz val="11"/>
        <rFont val="Arial"/>
        <family val="2"/>
        <charset val="204"/>
      </rPr>
      <t>Percentage of infants born to HIV infected mothers who are HIV infected</t>
    </r>
    <r>
      <rPr>
        <b/>
        <sz val="11"/>
        <color indexed="56"/>
        <rFont val="Arial"/>
        <family val="2"/>
      </rPr>
      <t xml:space="preserve"> // Procentul copiilor HIV pozitivi născuţi de către mame HIV pozitive</t>
    </r>
  </si>
  <si>
    <r>
      <rPr>
        <b/>
        <sz val="11"/>
        <rFont val="Arial"/>
        <family val="2"/>
        <charset val="204"/>
      </rPr>
      <t>Percentage of adults and children with HIV known to be on treatment 12 months after initiation of antiretroviral therapy</t>
    </r>
    <r>
      <rPr>
        <b/>
        <sz val="11"/>
        <color indexed="56"/>
        <rFont val="Arial"/>
        <family val="2"/>
      </rPr>
      <t xml:space="preserve"> // Procentul adulţilor şi copiilor HIV infectaţi care se află în tratament 12 luni după iniţierea tratamentului antiretroviral </t>
    </r>
  </si>
  <si>
    <r>
      <rPr>
        <b/>
        <sz val="11"/>
        <rFont val="Arial"/>
        <family val="2"/>
        <charset val="204"/>
      </rPr>
      <t xml:space="preserve">2.2 % of HIV-positive pregnant women who received ARV treatment to reduce the risk of mother-to-child transmission </t>
    </r>
    <r>
      <rPr>
        <b/>
        <sz val="11"/>
        <color theme="4" tint="-0.499984740745262"/>
        <rFont val="Arial"/>
        <family val="2"/>
        <charset val="204"/>
      </rPr>
      <t>// Procentul gravidelor HIV+ care au primit tratament ARV pentru a preveni transmiterea infectiei de la mama la fat</t>
    </r>
  </si>
  <si>
    <t xml:space="preserve"> Definiție (conform Planului M&amp;E, 2012)</t>
  </si>
  <si>
    <t>P7 (Q1-2.2013)</t>
  </si>
  <si>
    <t>Faza 2</t>
  </si>
  <si>
    <t>Managementul proiectului</t>
  </si>
  <si>
    <t>Angajamente Faza 1</t>
  </si>
  <si>
    <t>Pentru toate produsele medicale si medicamente sunt incheiate contracte si vor fi livrate catre beneficiar conform schemelor de distirbutie planificate de catre beneficiar.</t>
  </si>
  <si>
    <t>N/A</t>
  </si>
  <si>
    <t>Nu au fost inregistrate lipsuri de medicamente ARV sau intreruperi de tratament. De mentionat ca incepind cu anul 2013 (necesitatile pentru a. 2014), achizitionarea de preparate ARV, inclusiv acoperirea necesitatilor privind tratamentului PMTCT, se va efectua din 2 surse: grantul FG si bugetul de stat. Pentru agentia de achizitie a medicamentului va fi o experienta noua, implicind necesitatea identificarii mecanismelor de achizionare aplicabile.</t>
  </si>
  <si>
    <t>Raportul de Progres final a fost remis Agentului Local al FG si către Secretariatul Fondului Global, in vederea accesarii următoarei debursari de surse.</t>
  </si>
  <si>
    <t xml:space="preserve">personal adițional a fost angajat in trimestrul 1, 2013, in vederea suplinirii functiei de specialist procurari in cadrul componentei HIV </t>
  </si>
  <si>
    <t>P8 (Q3-4.2014)</t>
  </si>
  <si>
    <t>P8 (Q3-4.2013)</t>
  </si>
  <si>
    <t>SR a remis rapoartele trimestriale în timp util conform acordurilor de sub-recipient.</t>
  </si>
  <si>
    <t>Datele pt. a. 2013 urmeaza a fi raportate la 15 august 2014, in conformitate cu cadrul de performanta agreat cu FG</t>
  </si>
  <si>
    <t>Datele pt. a. 2013 urmeaza a fi raportate la 15 august 2014, , in conformitate cu cadrul de performanta agreat cu FG</t>
  </si>
  <si>
    <t xml:space="preserve">Catre finele a. 2013 numarul persoanelor care au initiat tratamentul ARV de la inceputul programului a constituit 3,274. Numarul pacienților în tratament ARV la 31 decembrie 2013 a fost de 2,493: 1,693 pe malul drept (1.113 in SDMC, 476 - in ISMP SM Balti, 41 - in IMSP SR Cahul, 63 - in Institutiile Penitenciare) și 800 - pe malul stîng. Aceasta include 82 copii (38 - in SDMC, 21 - in IMSP SM Balti, 6 - in IMSP SR Cahul si 17 - pe malul sting). </t>
  </si>
  <si>
    <t xml:space="preserve">Rezultatul cumulativ de 8,712 nu include și baseline. 980 de beneficiari noi au fost incluși în programe de asistență pe parcursul semestrului raportat. În total se implementează 7 proiecte (inclusiv unl în Tiraspol) care acoperă atît sectorul civil (5 proiecte) cît și cel penitenciar (2 proiecte), în cadrul cărora se implementează activități de prevenire (educație de la egal la egal, schimb de seringi, distribuire de prezervative, activități educative, distribuire de materiale informaționale, servicii de consiliere etc.) 
Proiectele din sectorul civil sunt regionale, acoperind de la 2 la 6 raioane. Sectorul penitenciar acoperă 9 instituții penitenciare de pe malul drept (Pruncul, Rusca, Cricova - 2 penitenciare, Branesti, Soroca, Leova, Balti și Taraclia) si 3 penitenciare de pe malul sting (Grigoriopol, s. Glinoe si Tiraspol). 
Indicatorul nu include beneficiarii din institutiile penitenciare acoperite cu programe de reducere a riscurilor in cadrul proiectului. Numarul estimativ de beneficiari acoperiti fiind estimat la 930.
Activitatile implementate in cadrul programelor de reducere a riscurilor sunt acoperite in special din sursele grantului.
</t>
  </si>
  <si>
    <r>
      <rPr>
        <sz val="8"/>
        <color indexed="62"/>
        <rFont val="Calibri"/>
        <family val="2"/>
        <charset val="204"/>
      </rPr>
      <t>Rezultatul cumulativ de 2,704 nu include și baseline. 233 de beneficiari noi au fost incluși în programe de asistență pe parcursul semestrului raportat. În total se implementează 3 proiecte, unul în Chișinău, unul în Orhei și unul - în regiunea de nord acoperind regiunile Bălți și Ungheni. Serviciile acordate în cadrul acestor proiecte includ educație de la egal la egal, distribuire de prezervative, activități educative și distribuire de materiale informaționale, servicii de consiliere, managementul BTS etc.) . Activitatile implementate in cadrul programelor de rducere a riscurilor sunt sustinute in special din contul grantului FG.
NB: Indicatorul raportat la 30 iunie a fost corectat: 7172 din 14768 (14.7%) LSC acoperite de programe de rerducere a riscurilor, cu un nivel de atingere a obiectivului de 77% (86%) raportate in cadrul dashboardului precedent.</t>
    </r>
    <r>
      <rPr>
        <sz val="8"/>
        <color indexed="8"/>
        <rFont val="Calibri"/>
        <family val="2"/>
      </rPr>
      <t xml:space="preserve">
</t>
    </r>
  </si>
  <si>
    <r>
      <rPr>
        <sz val="8"/>
        <color indexed="62"/>
        <rFont val="Calibri"/>
        <family val="2"/>
        <charset val="204"/>
      </rPr>
      <t>Rezultatul cumulativ de 1.685 nu include și baseline. 400 de beneficiari noi au fost incluși în programe de asistență pe parcursul semestrului I 2013. Serviciile (educație de la egal la egal, distribuire de prezervative, activități educative și distribuire de materiale informaționale, servicii de consiliere, managementul BTS etc.) sunt acordate în cadrul unui proiect localizat în Chișinău, acoperind beneficiari Chisinau, Balti si Tiraspol.
 Activitatile implementate in cadrul programelor de rducere a riscurilor sunt sustinute in special din contul grantului FG.</t>
    </r>
    <r>
      <rPr>
        <sz val="8"/>
        <color indexed="8"/>
        <rFont val="Calibri"/>
        <family val="2"/>
      </rPr>
      <t xml:space="preserve">
</t>
    </r>
  </si>
  <si>
    <t xml:space="preserve">Terapia de substituție cu metadona se implementează prin intermediul a 3 proiecte (toate pe malul drept): 2 în sectorul civil (Dispensarul Narcologic Republican în Chișinău și Spitalul Municipal Bălți) și 1 - în sectorul penitenciar (Departamentul Instituțiilor Penitenciare în 7 instituții penitenciare: Pruncul, Cricova Rusca, Branesti, Soroca, Balti and Chisinau). Incepind cu a. 2014 proiectul urmeaza a fi extins in 4 penitenciare
50 beneficiari noi au fost incluși în program pe parcursul semestrului II 2013. Numărul beneficiarilor permanenți incadrati in TSM la 31 decembrie 2013 a fost de 337, inclusiv 62 beneficiari din sectorul penitenciar, 203 - în Dispensarul Narcologic Republican și 72 - în Spitalul Municipal Bălți. </t>
  </si>
  <si>
    <t>Catre finele a. 2013 numarul persoanelor care au initiat tratamentul ARV de la inceputul programului a constituit 3,274. Numarul pacienților în tratament ARV la 31 decembrie 2013 a fost de 2,493: 1,693 pe malul drept (1.113 in SDMC, 476 - in ISMP SM Balti, 41 - in IMSP SR Cahul, 63 - in Institutiile Penitenciare) și 800 - pe malul stîng. Aceasta include 82 copii (38 - in SDMC, 21 - in IMSP SM Balti, 6 - in IMSP SR Cahul si 17 - pe malul sting). 
Pina la finele a. 2013 toate cheltuielile aferente achizitiei de preparate ARV au fost acoperite din sursele FG. Incepind cu a. 2014 Ministerul Sanatatii si-a asumat acoperirea tratamentului tuturor persoanelor de pe malul drept inrolate in TARV pe parcursul anului.</t>
  </si>
  <si>
    <t>% of HIV-positive pregnant women who received ARV treatment to reduce the risk of mother-to-child transmission // Procentul gravidelor HIV+ care au primit tratament ARV pentru a preveni transmiterea infectiei de la mama la fat</t>
  </si>
  <si>
    <t>Pe parcursul a. 2013 153 femei gravide HIV+ au nascut. Din acestea 145 au beneficiat de TARV in vederea prevenirii transmiterii infectiei HIV de la mama la fat: 135 au primit TARV complet, 8 - incomplet, 2 - TARV de urgenta la nastere si 8 - nu au primit tratament.</t>
  </si>
  <si>
    <t>Implementarea Grantului este in conformitate cu planul de lucru. Nivelul de debursare si atingere a tintelor sunt satisfacatoare. Rating-ul general de implementare a Grantului este A2</t>
  </si>
  <si>
    <r>
      <t xml:space="preserve">Rezultatul cumulativ de 8,712 nu include și baseline. 980 de beneficiari noi au fost incluși în programe de asistență pe parcursul semestrului raportat. 
Indicatorul nu include beneficiarii din institutiile penitenciare acoperite cu programe de reducere a riscurilor in cadrul proiectului, numarul estimativ de beneficiari acoperiti fiind estimat la 930.
</t>
    </r>
    <r>
      <rPr>
        <sz val="8"/>
        <color rgb="FFFF0000"/>
        <rFont val="Calibri"/>
        <family val="2"/>
        <charset val="204"/>
      </rPr>
      <t>NB: Incepind cu 2013, indicatorul este cumulativ anual. Pina la finele a. 2012 indicatorul era cumulativ pe perioada programului.</t>
    </r>
  </si>
  <si>
    <t>&lt;3%</t>
  </si>
  <si>
    <r>
      <t>P1 (</t>
    </r>
    <r>
      <rPr>
        <b/>
        <sz val="10"/>
        <color indexed="17"/>
        <rFont val="Calibri"/>
        <family val="2"/>
      </rPr>
      <t>Q2.2010</t>
    </r>
    <r>
      <rPr>
        <b/>
        <sz val="10"/>
        <color indexed="8"/>
        <rFont val="Calibri"/>
        <family val="2"/>
      </rPr>
      <t>)</t>
    </r>
  </si>
  <si>
    <r>
      <t>P2 (</t>
    </r>
    <r>
      <rPr>
        <b/>
        <sz val="10"/>
        <color indexed="17"/>
        <rFont val="Calibri"/>
        <family val="2"/>
      </rPr>
      <t>Q3-4.2010</t>
    </r>
    <r>
      <rPr>
        <b/>
        <sz val="10"/>
        <color indexed="8"/>
        <rFont val="Calibri"/>
        <family val="2"/>
      </rPr>
      <t>)</t>
    </r>
  </si>
  <si>
    <r>
      <t xml:space="preserve">P3 </t>
    </r>
    <r>
      <rPr>
        <sz val="10"/>
        <color indexed="8"/>
        <rFont val="Calibri"/>
        <family val="2"/>
      </rPr>
      <t>(</t>
    </r>
    <r>
      <rPr>
        <b/>
        <sz val="10"/>
        <color indexed="17"/>
        <rFont val="Calibri"/>
        <family val="2"/>
      </rPr>
      <t>Q1-2.2011</t>
    </r>
    <r>
      <rPr>
        <sz val="10"/>
        <color indexed="8"/>
        <rFont val="Calibri"/>
        <family val="2"/>
      </rPr>
      <t>)</t>
    </r>
  </si>
  <si>
    <r>
      <t>P4 (</t>
    </r>
    <r>
      <rPr>
        <b/>
        <sz val="10"/>
        <color indexed="17"/>
        <rFont val="Calibri"/>
        <family val="2"/>
      </rPr>
      <t>Q3-4.2011</t>
    </r>
    <r>
      <rPr>
        <b/>
        <sz val="10"/>
        <color indexed="8"/>
        <rFont val="Calibri"/>
        <family val="2"/>
      </rPr>
      <t>)</t>
    </r>
  </si>
  <si>
    <r>
      <t xml:space="preserve">P5 </t>
    </r>
    <r>
      <rPr>
        <b/>
        <sz val="10"/>
        <color rgb="FF00B050"/>
        <rFont val="Calibri"/>
        <family val="2"/>
      </rPr>
      <t>(Q1-2.2012)</t>
    </r>
  </si>
  <si>
    <r>
      <t xml:space="preserve">P6 </t>
    </r>
    <r>
      <rPr>
        <b/>
        <sz val="10"/>
        <color rgb="FF00B050"/>
        <rFont val="Calibri"/>
        <family val="2"/>
      </rPr>
      <t>(Q3-4.2012)</t>
    </r>
  </si>
  <si>
    <r>
      <t xml:space="preserve">P7 </t>
    </r>
    <r>
      <rPr>
        <b/>
        <sz val="10"/>
        <color rgb="FF00B050"/>
        <rFont val="Calibri"/>
        <family val="2"/>
      </rPr>
      <t>(Q1-Q2.2013)</t>
    </r>
  </si>
  <si>
    <r>
      <t xml:space="preserve">P8 </t>
    </r>
    <r>
      <rPr>
        <b/>
        <sz val="10"/>
        <color rgb="FF00B050"/>
        <rFont val="Calibri"/>
        <family val="2"/>
      </rPr>
      <t>(Q3-Q4.2013)</t>
    </r>
  </si>
  <si>
    <t>Da</t>
  </si>
  <si>
    <r>
      <t xml:space="preserve">Variația resurselor cheltuite în comparație cu cele planificate pentru perioada cumulativă (1 aprilie 2010 - 31 decembrie 2013) este dificil de reflectat dat fiind modificarea monedei de evidență - de la USD (etapa I de implementare) la EUR (începînd cu 1 ianuarie 2013). Potrivit estimărilor, valorificarea cumulativă a resurselor financiare este de 98%, cu o variație cumulativă de  137,737 EUR.
Variația pentru perioada raportată constituie o supra-valorificare de 103,372 EUR, in legatura cu: 
</t>
    </r>
    <r>
      <rPr>
        <u/>
        <sz val="8"/>
        <rFont val="Calibri"/>
        <family val="2"/>
        <charset val="204"/>
      </rPr>
      <t>Supracheltuieli</t>
    </r>
    <r>
      <rPr>
        <sz val="8"/>
        <rFont val="Calibri"/>
        <family val="2"/>
        <charset val="204"/>
      </rPr>
      <t xml:space="preserve"> de (-) EUR 253,813 cauzate de: (a) plati in avans efectuate pentru periade viitoare in cadrul programelor de prevenirea a riscurilor (- EUR 138,797); (b) plati in avans pentru recuperearea intirzierilor din perioadele anterioare (-EUR 53,085), inclusiv: procurarea de metadona (-EUR 29,435), procurarea laptelui praf (-EUR 20,528), mentenanta SIME/HIV M&amp;E (-EUR 3,122); (c) activitati nebugetate legate de angajamentele din perioada I a grantului consolidat (-EUR 51,458), inclusiv: Reducerea riscului de contaminare a singelui (-EUR 3,060), mentenanta softului LSC&amp;MSM (-EUR 757), costuri PSM legate de preservative si ARV (-EUR 17,785), costuri de audit pr SR (2% SFM) (-EUR 3,123), teste rapide la saliva (-EUR 26,733); (d) activitati nebugetate acoperite din dobinda (-EUR 4,478); (e) preturi mai mari legate de managementul proiectului (-EUR 2,609) si costuri PSM legate de ARV (-EUR 3,416).
</t>
    </r>
    <r>
      <rPr>
        <u/>
        <sz val="8"/>
        <rFont val="Calibri"/>
        <family val="2"/>
        <charset val="204"/>
      </rPr>
      <t>Cheltuieli sub cele planificate</t>
    </r>
    <r>
      <rPr>
        <sz val="8"/>
        <rFont val="Calibri"/>
        <family val="2"/>
        <charset val="204"/>
      </rPr>
      <t xml:space="preserve"> (EUR 357,185), in legatura cu: (a) intirzieri in implementare, prevazute a fi achitate in perioadele viitoare (EUR 194,638), inclusiv in legatura cu: procurarea preparatelor ARV (EUR 69,312), procurarea testelor pentru monitorizarea pacientilor HIV+ (PCR&amp;CD4) (EUR 121,087), participarea la evenimente si conferinte international (EUR 2,000); (b) economii (EUR 194,638), inclusiv in legatura cu: auditarea SR (SFM 2%) (EUR 4,658), consultantul national TI (EUR 1,969), procurarea de ARV (EUR 151,552), cheltuieli de management a proiectului (EUR 6,607).
   </t>
    </r>
  </si>
</sst>
</file>

<file path=xl/styles.xml><?xml version="1.0" encoding="utf-8"?>
<styleSheet xmlns="http://schemas.openxmlformats.org/spreadsheetml/2006/main">
  <numFmts count="12">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0"/>
    <numFmt numFmtId="171" formatCode="[$-409]d/mmm/yyyy;@"/>
    <numFmt numFmtId="172" formatCode="[$$-409]#,##0_);\([$$-409]#,##0\)"/>
    <numFmt numFmtId="173" formatCode="#,##0.0"/>
    <numFmt numFmtId="174" formatCode="0.0%"/>
  </numFmts>
  <fonts count="163">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44"/>
      <name val="Calibri"/>
      <family val="2"/>
      <charset val="204"/>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b/>
      <sz val="11"/>
      <color indexed="17"/>
      <name val="Calibri"/>
      <family val="2"/>
      <charset val="204"/>
    </font>
    <font>
      <sz val="8"/>
      <color indexed="8"/>
      <name val="Calibri"/>
      <family val="2"/>
      <charset val="204"/>
    </font>
    <font>
      <b/>
      <sz val="11"/>
      <color indexed="56"/>
      <name val="Arial"/>
      <family val="2"/>
    </font>
    <font>
      <sz val="11"/>
      <color indexed="56"/>
      <name val="Arial"/>
      <family val="2"/>
    </font>
    <font>
      <sz val="10"/>
      <color indexed="56"/>
      <name val="Arial"/>
      <family val="2"/>
      <charset val="204"/>
    </font>
    <font>
      <sz val="8"/>
      <color indexed="62"/>
      <name val="Calibri"/>
      <family val="2"/>
      <charset val="204"/>
    </font>
    <font>
      <b/>
      <sz val="18"/>
      <color indexed="62"/>
      <name val="Calibri"/>
      <family val="2"/>
      <charset val="204"/>
    </font>
    <font>
      <b/>
      <sz val="11"/>
      <name val="Arial"/>
      <family val="2"/>
      <charset val="204"/>
    </font>
    <font>
      <sz val="11"/>
      <name val="Arial"/>
      <family val="2"/>
      <charset val="204"/>
    </font>
    <font>
      <sz val="11"/>
      <color theme="1"/>
      <name val="Calibri"/>
      <family val="2"/>
      <scheme val="minor"/>
    </font>
    <font>
      <sz val="11"/>
      <color rgb="FF002060"/>
      <name val="Arial"/>
      <family val="2"/>
    </font>
    <font>
      <b/>
      <sz val="11"/>
      <color rgb="FF002060"/>
      <name val="Arial"/>
      <family val="2"/>
    </font>
    <font>
      <sz val="10"/>
      <color rgb="FF002060"/>
      <name val="Arial"/>
      <family val="2"/>
      <charset val="204"/>
    </font>
    <font>
      <sz val="11"/>
      <color rgb="FF002060"/>
      <name val="Arial"/>
      <family val="2"/>
      <charset val="204"/>
    </font>
    <font>
      <b/>
      <sz val="11"/>
      <color rgb="FF002060"/>
      <name val="Calibri"/>
      <family val="2"/>
      <charset val="204"/>
    </font>
    <font>
      <b/>
      <sz val="12"/>
      <color rgb="FF002060"/>
      <name val="Calibri"/>
      <family val="2"/>
      <charset val="204"/>
    </font>
    <font>
      <b/>
      <sz val="11"/>
      <color rgb="FF002060"/>
      <name val="Arial"/>
      <family val="2"/>
      <charset val="204"/>
    </font>
    <font>
      <sz val="11"/>
      <color rgb="FFFF0000"/>
      <name val="Calibri"/>
      <family val="2"/>
      <scheme val="minor"/>
    </font>
    <font>
      <b/>
      <sz val="8"/>
      <color theme="3" tint="-0.249977111117893"/>
      <name val="Calibri"/>
      <family val="2"/>
      <charset val="204"/>
    </font>
    <font>
      <sz val="8"/>
      <color theme="3" tint="-0.249977111117893"/>
      <name val="Calibri"/>
      <family val="2"/>
    </font>
    <font>
      <sz val="8"/>
      <color theme="4" tint="-0.249977111117893"/>
      <name val="Calibri"/>
      <family val="2"/>
      <charset val="204"/>
    </font>
    <font>
      <sz val="11"/>
      <color theme="9" tint="-0.249977111117893"/>
      <name val="Calibri"/>
      <family val="2"/>
    </font>
    <font>
      <b/>
      <sz val="10"/>
      <name val="Arial"/>
      <family val="2"/>
      <charset val="204"/>
    </font>
    <font>
      <b/>
      <sz val="10"/>
      <color theme="1"/>
      <name val="Arial"/>
      <family val="2"/>
      <charset val="204"/>
    </font>
    <font>
      <sz val="9"/>
      <color indexed="81"/>
      <name val="Tahoma"/>
      <family val="2"/>
      <charset val="204"/>
    </font>
    <font>
      <b/>
      <sz val="9"/>
      <color indexed="81"/>
      <name val="Tahoma"/>
      <family val="2"/>
      <charset val="204"/>
    </font>
    <font>
      <b/>
      <sz val="11"/>
      <color theme="4" tint="-0.499984740745262"/>
      <name val="Arial"/>
      <family val="2"/>
      <charset val="204"/>
    </font>
    <font>
      <sz val="11"/>
      <name val="Calibri"/>
      <family val="2"/>
      <scheme val="minor"/>
    </font>
    <font>
      <sz val="11"/>
      <color rgb="FFFF0000"/>
      <name val="Calibri"/>
      <family val="2"/>
    </font>
    <font>
      <sz val="8"/>
      <color rgb="FFFF0000"/>
      <name val="Calibri"/>
      <family val="2"/>
      <charset val="204"/>
    </font>
    <font>
      <sz val="9"/>
      <color indexed="8"/>
      <name val="Calibri"/>
      <family val="2"/>
    </font>
    <font>
      <sz val="8"/>
      <name val="Calibri"/>
      <family val="2"/>
      <charset val="204"/>
    </font>
    <font>
      <sz val="11"/>
      <name val="Calibri"/>
      <family val="2"/>
      <charset val="204"/>
      <scheme val="minor"/>
    </font>
    <font>
      <b/>
      <sz val="10"/>
      <color indexed="17"/>
      <name val="Calibri"/>
      <family val="2"/>
    </font>
    <font>
      <b/>
      <sz val="10"/>
      <color rgb="FF00B050"/>
      <name val="Calibri"/>
      <family val="2"/>
    </font>
    <font>
      <u/>
      <sz val="8"/>
      <name val="Calibri"/>
      <family val="2"/>
      <charset val="204"/>
    </font>
  </fonts>
  <fills count="44">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solid">
        <fgColor indexed="43"/>
        <bgColor indexed="52"/>
      </patternFill>
    </fill>
    <fill>
      <patternFill patternType="gray0625">
        <f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
      <patternFill patternType="solid">
        <fgColor rgb="FF00B0F0"/>
        <bgColor indexed="64"/>
      </patternFill>
    </fill>
    <fill>
      <patternFill patternType="solid">
        <fgColor theme="6" tint="0.79998168889431442"/>
        <bgColor indexed="51"/>
      </patternFill>
    </fill>
    <fill>
      <patternFill patternType="gray0625">
        <fgColor indexed="52"/>
        <bgColor theme="6" tint="0.79998168889431442"/>
      </patternFill>
    </fill>
    <fill>
      <patternFill patternType="solid">
        <fgColor rgb="FFFB5513"/>
        <bgColor indexed="64"/>
      </patternFill>
    </fill>
    <fill>
      <patternFill patternType="solid">
        <fgColor indexed="65"/>
        <bgColor indexed="64"/>
      </patternFill>
    </fill>
    <fill>
      <patternFill patternType="gray125">
        <fgColor indexed="51"/>
        <bgColor indexed="43"/>
      </patternFill>
    </fill>
    <fill>
      <patternFill patternType="gray125">
        <fgColor indexed="52"/>
        <bgColor indexed="43"/>
      </patternFill>
    </fill>
    <fill>
      <patternFill patternType="solid">
        <fgColor theme="9" tint="-0.249977111117893"/>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medium">
        <color indexed="51"/>
      </right>
      <top style="thin">
        <color indexed="64"/>
      </top>
      <bottom style="medium">
        <color indexed="5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right style="thin">
        <color indexed="64"/>
      </right>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57"/>
      </left>
      <right style="hair">
        <color indexed="57"/>
      </right>
      <top style="medium">
        <color indexed="57"/>
      </top>
      <bottom style="medium">
        <color indexed="57"/>
      </bottom>
      <diagonal/>
    </border>
    <border>
      <left style="thin">
        <color indexed="64"/>
      </left>
      <right style="thin">
        <color indexed="64"/>
      </right>
      <top style="thin">
        <color indexed="64"/>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51"/>
      </top>
      <bottom style="thin">
        <color indexed="64"/>
      </bottom>
      <diagonal/>
    </border>
    <border>
      <left/>
      <right/>
      <top style="medium">
        <color rgb="FFFFC000"/>
      </top>
      <bottom/>
      <diagonal/>
    </border>
    <border>
      <left style="thin">
        <color indexed="64"/>
      </left>
      <right style="medium">
        <color indexed="51"/>
      </right>
      <top style="thin">
        <color indexed="64"/>
      </top>
      <bottom style="medium">
        <color rgb="FFFFC000"/>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69"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0" fillId="0" borderId="4" applyNumberFormat="0" applyFill="0" applyAlignment="0" applyProtection="0"/>
    <xf numFmtId="0" fontId="71"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6" fillId="0" borderId="0"/>
    <xf numFmtId="43" fontId="136" fillId="0" borderId="0"/>
    <xf numFmtId="43" fontId="136" fillId="0" borderId="0"/>
    <xf numFmtId="43" fontId="136" fillId="0" borderId="0"/>
    <xf numFmtId="0" fontId="64"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6"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6" fillId="0" borderId="9" applyNumberFormat="0" applyFill="0" applyAlignment="0" applyProtection="0"/>
    <xf numFmtId="0" fontId="72" fillId="0" borderId="0" applyNumberFormat="0" applyFill="0" applyBorder="0" applyAlignment="0" applyProtection="0"/>
  </cellStyleXfs>
  <cellXfs count="997">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6" fillId="0" borderId="0" xfId="49" applyProtection="1"/>
    <xf numFmtId="43" fontId="15" fillId="0" borderId="0" xfId="49" applyFont="1" applyProtection="1"/>
    <xf numFmtId="0" fontId="18" fillId="0" borderId="0" xfId="49" applyNumberFormat="1" applyFont="1" applyBorder="1" applyProtection="1"/>
    <xf numFmtId="43" fontId="136" fillId="0" borderId="0" xfId="51" applyProtection="1"/>
    <xf numFmtId="43" fontId="136" fillId="0" borderId="0" xfId="51" applyFill="1" applyBorder="1" applyAlignment="1" applyProtection="1">
      <alignment horizontal="left"/>
    </xf>
    <xf numFmtId="0" fontId="0" fillId="0" borderId="0" xfId="0" applyFill="1" applyBorder="1" applyProtection="1"/>
    <xf numFmtId="43" fontId="136"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5"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5"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6" fillId="0" borderId="0" xfId="61" applyFill="1" applyBorder="1" applyAlignment="1" applyProtection="1">
      <alignment vertical="center"/>
      <protection locked="0"/>
    </xf>
    <xf numFmtId="164"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6"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6" fillId="0" borderId="0" xfId="49" applyFont="1" applyProtection="1"/>
    <xf numFmtId="43" fontId="66" fillId="0" borderId="0" xfId="51" applyFont="1" applyProtection="1"/>
    <xf numFmtId="0" fontId="66" fillId="0" borderId="10" xfId="0" applyFont="1" applyFill="1" applyBorder="1" applyAlignment="1" applyProtection="1">
      <alignment horizontal="center"/>
    </xf>
    <xf numFmtId="0" fontId="66" fillId="0" borderId="10" xfId="0" applyFont="1" applyFill="1" applyBorder="1" applyProtection="1"/>
    <xf numFmtId="43" fontId="66" fillId="0" borderId="10" xfId="51" applyFont="1" applyBorder="1" applyProtection="1"/>
    <xf numFmtId="0" fontId="67" fillId="0" borderId="10" xfId="0" applyFont="1" applyBorder="1" applyAlignment="1" applyProtection="1">
      <alignment horizontal="left" indent="1"/>
    </xf>
    <xf numFmtId="0" fontId="68" fillId="0" borderId="10" xfId="0" applyFont="1" applyBorder="1"/>
    <xf numFmtId="0" fontId="69" fillId="19" borderId="10" xfId="0" applyFont="1" applyFill="1" applyBorder="1" applyAlignment="1" applyProtection="1">
      <alignment horizontal="center"/>
    </xf>
    <xf numFmtId="0" fontId="69"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59" fillId="0" borderId="0" xfId="48" applyFont="1" applyFill="1" applyAlignment="1">
      <alignment vertical="center"/>
    </xf>
    <xf numFmtId="0" fontId="14" fillId="0" borderId="0" xfId="0" applyFont="1"/>
    <xf numFmtId="0" fontId="45" fillId="0" borderId="0" xfId="0" applyFont="1" applyFill="1"/>
    <xf numFmtId="0" fontId="75" fillId="19" borderId="12" xfId="0" applyFont="1" applyFill="1" applyBorder="1" applyAlignment="1">
      <alignment vertical="center"/>
    </xf>
    <xf numFmtId="0" fontId="73" fillId="0" borderId="0" xfId="53" applyNumberFormat="1" applyFont="1" applyFill="1" applyBorder="1" applyAlignment="1">
      <alignment horizontal="center" vertical="center" wrapText="1"/>
    </xf>
    <xf numFmtId="0" fontId="73"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78" fillId="20" borderId="0" xfId="0" applyNumberFormat="1" applyFont="1" applyFill="1" applyBorder="1" applyAlignment="1">
      <alignment horizontal="center"/>
    </xf>
    <xf numFmtId="0" fontId="78" fillId="0" borderId="0" xfId="0" applyFont="1" applyFill="1" applyBorder="1" applyAlignment="1" applyProtection="1">
      <alignment horizontal="left"/>
    </xf>
    <xf numFmtId="0" fontId="79"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6"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6"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5"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0" fontId="14" fillId="0" borderId="23" xfId="0" applyFont="1" applyBorder="1" applyAlignment="1" applyProtection="1">
      <alignment horizontal="center"/>
    </xf>
    <xf numFmtId="1" fontId="21" fillId="20" borderId="24" xfId="0" applyNumberFormat="1" applyFont="1" applyFill="1" applyBorder="1" applyAlignment="1" applyProtection="1">
      <alignment horizontal="center"/>
    </xf>
    <xf numFmtId="0" fontId="14" fillId="0" borderId="25" xfId="0" applyFont="1" applyBorder="1" applyAlignment="1" applyProtection="1">
      <alignment horizontal="center"/>
    </xf>
    <xf numFmtId="1" fontId="21" fillId="20" borderId="26" xfId="0" applyNumberFormat="1" applyFont="1" applyFill="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96" fillId="0" borderId="0" xfId="28" applyFont="1" applyFill="1" applyBorder="1" applyProtection="1"/>
    <xf numFmtId="43" fontId="0" fillId="0" borderId="0" xfId="0" applyNumberFormat="1" applyFill="1" applyBorder="1" applyProtection="1"/>
    <xf numFmtId="43" fontId="65" fillId="0" borderId="28" xfId="61" applyFont="1" applyFill="1" applyBorder="1" applyAlignment="1" applyProtection="1"/>
    <xf numFmtId="43" fontId="39" fillId="0" borderId="28" xfId="61" applyFont="1" applyFill="1" applyBorder="1" applyAlignment="1" applyProtection="1">
      <alignment vertical="center"/>
    </xf>
    <xf numFmtId="3" fontId="64" fillId="22" borderId="10" xfId="0" applyNumberFormat="1" applyFont="1" applyFill="1" applyBorder="1" applyAlignment="1" applyProtection="1">
      <alignment vertical="center"/>
      <protection locked="0"/>
    </xf>
    <xf numFmtId="3" fontId="64" fillId="22" borderId="31"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5"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5"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4" fillId="0" borderId="0" xfId="0" applyFont="1" applyBorder="1" applyAlignment="1" applyProtection="1">
      <alignment horizontal="left" vertical="center"/>
    </xf>
    <xf numFmtId="0" fontId="44" fillId="0" borderId="0" xfId="0" applyFont="1" applyBorder="1" applyAlignment="1" applyProtection="1">
      <alignment horizontal="left"/>
    </xf>
    <xf numFmtId="166" fontId="44" fillId="0" borderId="0" xfId="0" applyNumberFormat="1" applyFont="1" applyBorder="1" applyAlignment="1" applyProtection="1">
      <alignment horizontal="left"/>
    </xf>
    <xf numFmtId="0" fontId="45" fillId="0" borderId="0" xfId="0" applyFont="1" applyProtection="1"/>
    <xf numFmtId="0" fontId="46" fillId="0" borderId="0" xfId="0" applyFont="1" applyFill="1" applyBorder="1" applyProtection="1"/>
    <xf numFmtId="0" fontId="47" fillId="0" borderId="0" xfId="0" applyFont="1" applyFill="1" applyBorder="1" applyProtection="1"/>
    <xf numFmtId="0" fontId="49" fillId="0" borderId="0" xfId="0" applyFont="1" applyFill="1" applyBorder="1" applyAlignment="1" applyProtection="1">
      <alignment horizontal="right"/>
    </xf>
    <xf numFmtId="0" fontId="50"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1" fillId="20" borderId="0" xfId="0" applyFont="1" applyFill="1" applyBorder="1" applyAlignment="1" applyProtection="1">
      <alignment horizontal="left" vertical="center"/>
    </xf>
    <xf numFmtId="3" fontId="56" fillId="0" borderId="0" xfId="0" applyNumberFormat="1" applyFont="1" applyFill="1" applyBorder="1" applyAlignment="1" applyProtection="1">
      <alignment horizontal="right" vertical="center"/>
    </xf>
    <xf numFmtId="0" fontId="57" fillId="20" borderId="0" xfId="0" applyFont="1" applyFill="1" applyBorder="1" applyAlignment="1" applyProtection="1">
      <alignment horizontal="left" vertical="center"/>
    </xf>
    <xf numFmtId="168" fontId="51" fillId="20" borderId="0" xfId="0" applyNumberFormat="1" applyFont="1" applyFill="1" applyBorder="1" applyAlignment="1" applyProtection="1">
      <alignment vertical="center"/>
    </xf>
    <xf numFmtId="0" fontId="52" fillId="20" borderId="0" xfId="0" applyNumberFormat="1" applyFont="1" applyFill="1" applyBorder="1" applyAlignment="1" applyProtection="1">
      <alignment horizontal="right"/>
    </xf>
    <xf numFmtId="0" fontId="61" fillId="20" borderId="0" xfId="0" applyFont="1" applyFill="1" applyBorder="1" applyAlignment="1" applyProtection="1">
      <alignment horizontal="center" vertical="center"/>
    </xf>
    <xf numFmtId="0" fontId="53" fillId="20" borderId="0" xfId="0" applyFont="1" applyFill="1" applyBorder="1" applyAlignment="1" applyProtection="1">
      <alignment horizontal="center" vertical="center"/>
    </xf>
    <xf numFmtId="167" fontId="51" fillId="20" borderId="0" xfId="56" applyNumberFormat="1" applyFont="1" applyFill="1" applyBorder="1" applyAlignment="1" applyProtection="1">
      <alignment horizontal="right"/>
    </xf>
    <xf numFmtId="9" fontId="54" fillId="20" borderId="0" xfId="0" applyNumberFormat="1" applyFont="1" applyFill="1" applyBorder="1" applyProtection="1"/>
    <xf numFmtId="0" fontId="55" fillId="20" borderId="0" xfId="0" applyFont="1" applyFill="1" applyBorder="1" applyAlignment="1" applyProtection="1">
      <alignment horizontal="center" vertical="center"/>
    </xf>
    <xf numFmtId="9" fontId="54" fillId="20" borderId="0" xfId="0" applyNumberFormat="1" applyFont="1" applyFill="1" applyBorder="1" applyAlignment="1" applyProtection="1">
      <alignment horizontal="left"/>
    </xf>
    <xf numFmtId="0" fontId="62"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right" vertical="center" indent="1"/>
    </xf>
    <xf numFmtId="0" fontId="52" fillId="0" borderId="32" xfId="0" applyNumberFormat="1" applyFont="1" applyFill="1" applyBorder="1" applyAlignment="1" applyProtection="1">
      <alignment horizontal="right"/>
    </xf>
    <xf numFmtId="0" fontId="52" fillId="0" borderId="33" xfId="0" applyNumberFormat="1" applyFont="1" applyFill="1" applyBorder="1" applyAlignment="1" applyProtection="1">
      <alignment horizontal="right"/>
    </xf>
    <xf numFmtId="0" fontId="52" fillId="0" borderId="34" xfId="0" applyNumberFormat="1" applyFont="1" applyFill="1" applyBorder="1" applyAlignment="1" applyProtection="1">
      <alignment horizontal="right"/>
    </xf>
    <xf numFmtId="0" fontId="60" fillId="0" borderId="0" xfId="0" applyFont="1" applyFill="1" applyBorder="1" applyAlignment="1" applyProtection="1">
      <alignment horizontal="center"/>
    </xf>
    <xf numFmtId="0" fontId="52" fillId="0" borderId="0" xfId="0" applyNumberFormat="1" applyFont="1" applyFill="1" applyBorder="1" applyAlignment="1" applyProtection="1">
      <alignment horizontal="right"/>
    </xf>
    <xf numFmtId="0" fontId="61" fillId="0" borderId="0" xfId="0" applyFont="1" applyFill="1" applyBorder="1" applyAlignment="1" applyProtection="1">
      <alignment horizontal="center" vertical="center"/>
    </xf>
    <xf numFmtId="9" fontId="63" fillId="0" borderId="0" xfId="0" applyNumberFormat="1" applyFont="1" applyFill="1" applyBorder="1" applyAlignment="1" applyProtection="1"/>
    <xf numFmtId="9" fontId="63" fillId="0" borderId="0" xfId="0" applyNumberFormat="1" applyFont="1" applyFill="1" applyBorder="1" applyAlignment="1" applyProtection="1">
      <alignment horizontal="center"/>
    </xf>
    <xf numFmtId="0" fontId="52" fillId="0" borderId="35" xfId="0" applyNumberFormat="1" applyFont="1" applyFill="1" applyBorder="1" applyAlignment="1" applyProtection="1">
      <alignment horizontal="right"/>
    </xf>
    <xf numFmtId="9" fontId="54" fillId="0" borderId="0" xfId="0" applyNumberFormat="1" applyFont="1" applyFill="1" applyBorder="1" applyProtection="1"/>
    <xf numFmtId="0" fontId="52" fillId="0" borderId="36" xfId="0" applyNumberFormat="1" applyFont="1" applyFill="1" applyBorder="1" applyAlignment="1" applyProtection="1">
      <alignment horizontal="right"/>
    </xf>
    <xf numFmtId="0" fontId="52" fillId="0" borderId="37" xfId="0" applyNumberFormat="1" applyFont="1" applyFill="1" applyBorder="1" applyAlignment="1" applyProtection="1">
      <alignment horizontal="right"/>
    </xf>
    <xf numFmtId="0" fontId="34" fillId="0" borderId="38" xfId="0" applyNumberFormat="1" applyFont="1" applyFill="1" applyBorder="1" applyAlignment="1" applyProtection="1">
      <alignment vertical="center"/>
    </xf>
    <xf numFmtId="0" fontId="34" fillId="0" borderId="39" xfId="0" applyNumberFormat="1" applyFont="1" applyFill="1" applyBorder="1" applyAlignment="1" applyProtection="1">
      <alignment vertical="center"/>
    </xf>
    <xf numFmtId="0" fontId="34" fillId="0" borderId="40" xfId="0" applyNumberFormat="1" applyFont="1" applyFill="1" applyBorder="1" applyAlignment="1" applyProtection="1">
      <alignment vertical="center"/>
    </xf>
    <xf numFmtId="0" fontId="66"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5" fontId="6" fillId="0" borderId="0" xfId="28" applyNumberFormat="1" applyFont="1" applyFill="1" applyBorder="1" applyAlignment="1" applyProtection="1">
      <protection locked="0"/>
    </xf>
    <xf numFmtId="165"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4" fontId="15" fillId="20" borderId="0" xfId="0" applyNumberFormat="1" applyFont="1" applyFill="1"/>
    <xf numFmtId="165" fontId="15" fillId="20" borderId="0" xfId="0" applyNumberFormat="1" applyFont="1" applyFill="1"/>
    <xf numFmtId="3" fontId="15" fillId="20" borderId="0" xfId="0" applyNumberFormat="1" applyFont="1" applyFill="1" applyProtection="1"/>
    <xf numFmtId="164"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41" xfId="0" applyFont="1" applyFill="1" applyBorder="1" applyAlignment="1" applyProtection="1">
      <alignment horizontal="center" wrapText="1"/>
    </xf>
    <xf numFmtId="0" fontId="0" fillId="0" borderId="42"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0" fillId="0" borderId="0" xfId="0" applyFont="1"/>
    <xf numFmtId="43" fontId="14" fillId="0" borderId="0" xfId="0" applyNumberFormat="1" applyFont="1" applyAlignment="1" applyProtection="1">
      <alignment horizontal="center"/>
    </xf>
    <xf numFmtId="43" fontId="20" fillId="0" borderId="43" xfId="58" applyFont="1" applyBorder="1" applyAlignment="1" applyProtection="1">
      <alignment horizontal="right"/>
    </xf>
    <xf numFmtId="0" fontId="12" fillId="0" borderId="0" xfId="0" applyFont="1"/>
    <xf numFmtId="0" fontId="0" fillId="20" borderId="0" xfId="0" applyFill="1" applyProtection="1"/>
    <xf numFmtId="0" fontId="0" fillId="20" borderId="44" xfId="0" applyFill="1" applyBorder="1" applyProtection="1"/>
    <xf numFmtId="43" fontId="86" fillId="0" borderId="0" xfId="0" applyNumberFormat="1" applyFont="1"/>
    <xf numFmtId="0" fontId="86" fillId="0" borderId="0" xfId="0" applyFont="1"/>
    <xf numFmtId="43" fontId="0" fillId="0" borderId="0" xfId="0" quotePrefix="1" applyNumberFormat="1"/>
    <xf numFmtId="43" fontId="0" fillId="0" borderId="0" xfId="0" applyNumberFormat="1"/>
    <xf numFmtId="0" fontId="34" fillId="0" borderId="45" xfId="0" applyNumberFormat="1" applyFont="1" applyFill="1" applyBorder="1" applyAlignment="1" applyProtection="1">
      <alignment vertical="center"/>
    </xf>
    <xf numFmtId="43" fontId="136" fillId="0" borderId="0" xfId="52" applyFill="1" applyBorder="1" applyAlignment="1" applyProtection="1">
      <alignment horizontal="center"/>
    </xf>
    <xf numFmtId="0" fontId="34" fillId="0" borderId="0" xfId="0" quotePrefix="1" applyFont="1" applyProtection="1"/>
    <xf numFmtId="0" fontId="61" fillId="0" borderId="29" xfId="0" applyFont="1" applyBorder="1" applyAlignment="1">
      <alignment horizontal="justify" vertical="center" wrapText="1"/>
    </xf>
    <xf numFmtId="0" fontId="61" fillId="0" borderId="46" xfId="0" applyFont="1" applyBorder="1" applyAlignment="1">
      <alignment horizontal="justify" vertical="center" wrapText="1"/>
    </xf>
    <xf numFmtId="0" fontId="61" fillId="0" borderId="47" xfId="0" applyFont="1" applyBorder="1" applyAlignment="1">
      <alignment horizontal="justify" vertical="center" wrapText="1"/>
    </xf>
    <xf numFmtId="0" fontId="85" fillId="0" borderId="46" xfId="0" applyFont="1" applyBorder="1" applyAlignment="1">
      <alignment horizontal="justify" vertical="center" wrapText="1"/>
    </xf>
    <xf numFmtId="43" fontId="88" fillId="0" borderId="28" xfId="61" applyFont="1" applyFill="1" applyBorder="1" applyAlignment="1" applyProtection="1"/>
    <xf numFmtId="43" fontId="9" fillId="0" borderId="28" xfId="61" applyFont="1" applyFill="1" applyBorder="1" applyAlignment="1" applyProtection="1">
      <alignment vertical="center"/>
    </xf>
    <xf numFmtId="3" fontId="64" fillId="23" borderId="10" xfId="0" applyNumberFormat="1" applyFont="1" applyFill="1" applyBorder="1" applyAlignment="1" applyProtection="1">
      <alignment vertical="center"/>
      <protection locked="0"/>
    </xf>
    <xf numFmtId="0" fontId="84" fillId="0" borderId="29" xfId="0" applyFont="1" applyBorder="1" applyAlignment="1">
      <alignment vertical="center" wrapText="1"/>
    </xf>
    <xf numFmtId="0" fontId="84" fillId="0" borderId="46" xfId="0" applyFont="1" applyBorder="1" applyAlignment="1">
      <alignment vertical="center" wrapText="1"/>
    </xf>
    <xf numFmtId="0" fontId="2" fillId="0" borderId="48" xfId="0" applyFont="1" applyFill="1" applyBorder="1" applyAlignment="1" applyProtection="1">
      <alignment horizontal="center"/>
    </xf>
    <xf numFmtId="0" fontId="1" fillId="0" borderId="0" xfId="0" applyFont="1"/>
    <xf numFmtId="0" fontId="90" fillId="0" borderId="0" xfId="0" applyFont="1"/>
    <xf numFmtId="0" fontId="61" fillId="0" borderId="29" xfId="0" applyFont="1" applyBorder="1" applyAlignment="1" applyProtection="1">
      <alignment horizontal="justify" vertical="center" wrapText="1"/>
      <protection locked="0"/>
    </xf>
    <xf numFmtId="0" fontId="85" fillId="0" borderId="46" xfId="0" applyFont="1" applyBorder="1" applyAlignment="1" applyProtection="1">
      <alignment horizontal="justify" vertical="center" wrapText="1"/>
      <protection locked="0"/>
    </xf>
    <xf numFmtId="0" fontId="85" fillId="0" borderId="47" xfId="0" applyFont="1" applyBorder="1" applyAlignment="1" applyProtection="1">
      <alignment horizontal="justify" vertical="center" wrapText="1"/>
      <protection locked="0"/>
    </xf>
    <xf numFmtId="43" fontId="92" fillId="0" borderId="28" xfId="61" applyFont="1" applyFill="1" applyBorder="1" applyAlignment="1" applyProtection="1">
      <alignment vertical="center"/>
    </xf>
    <xf numFmtId="0" fontId="91"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9"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5" fontId="0" fillId="0" borderId="0" xfId="0" applyNumberFormat="1" applyProtection="1"/>
    <xf numFmtId="0" fontId="61" fillId="0" borderId="29" xfId="0" applyFont="1" applyBorder="1" applyAlignment="1" applyProtection="1">
      <alignment horizontal="left" vertical="center" wrapText="1"/>
      <protection locked="0"/>
    </xf>
    <xf numFmtId="0" fontId="61" fillId="0" borderId="46" xfId="0" applyFont="1" applyBorder="1" applyAlignment="1" applyProtection="1">
      <alignment horizontal="left" vertical="center" wrapText="1"/>
      <protection locked="0"/>
    </xf>
    <xf numFmtId="0" fontId="61" fillId="0" borderId="47"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98" fillId="0" borderId="0" xfId="0" applyFont="1" applyFill="1" applyBorder="1" applyAlignment="1" applyProtection="1">
      <alignment horizontal="right"/>
    </xf>
    <xf numFmtId="43" fontId="99" fillId="0" borderId="14" xfId="61" applyFont="1" applyFill="1" applyBorder="1" applyAlignment="1" applyProtection="1">
      <alignment horizontal="left" vertical="center"/>
    </xf>
    <xf numFmtId="0" fontId="100" fillId="0" borderId="0" xfId="0" applyFont="1" applyFill="1" applyBorder="1" applyProtection="1"/>
    <xf numFmtId="0" fontId="98" fillId="0" borderId="0" xfId="0" applyFont="1" applyBorder="1" applyProtection="1"/>
    <xf numFmtId="3" fontId="6" fillId="0" borderId="0" xfId="0" applyNumberFormat="1" applyFont="1" applyAlignment="1" applyProtection="1">
      <alignment horizontal="right"/>
    </xf>
    <xf numFmtId="15" fontId="97" fillId="0" borderId="0" xfId="0" applyNumberFormat="1" applyFont="1" applyFill="1" applyBorder="1" applyAlignment="1" applyProtection="1">
      <alignment horizontal="left"/>
    </xf>
    <xf numFmtId="0" fontId="104" fillId="0" borderId="0" xfId="0" applyFont="1" applyFill="1" applyBorder="1" applyAlignment="1" applyProtection="1">
      <alignment horizontal="center" wrapText="1"/>
    </xf>
    <xf numFmtId="0" fontId="98" fillId="0" borderId="0" xfId="0" applyFont="1" applyFill="1" applyBorder="1" applyAlignment="1" applyProtection="1">
      <alignment horizontal="center"/>
    </xf>
    <xf numFmtId="0" fontId="0" fillId="0" borderId="0" xfId="0" quotePrefix="1" applyProtection="1"/>
    <xf numFmtId="15" fontId="32" fillId="0" borderId="50"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10" fillId="0" borderId="0" xfId="0" applyFont="1" applyBorder="1" applyAlignment="1" applyProtection="1">
      <alignment horizontal="right"/>
    </xf>
    <xf numFmtId="0" fontId="110" fillId="0" borderId="0" xfId="0" applyFont="1" applyAlignment="1" applyProtection="1">
      <alignment horizontal="right"/>
    </xf>
    <xf numFmtId="0" fontId="110" fillId="0" borderId="51" xfId="0" applyFont="1" applyBorder="1" applyAlignment="1" applyProtection="1">
      <alignment horizontal="right"/>
    </xf>
    <xf numFmtId="43" fontId="109" fillId="0" borderId="0" xfId="39" applyFont="1" applyFill="1" applyAlignment="1" applyProtection="1">
      <alignment vertical="center"/>
    </xf>
    <xf numFmtId="0" fontId="110" fillId="0" borderId="0" xfId="0" applyFont="1" applyProtection="1"/>
    <xf numFmtId="0" fontId="110"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98" fillId="0" borderId="0" xfId="0" applyNumberFormat="1" applyFont="1" applyFill="1" applyBorder="1" applyAlignment="1" applyProtection="1">
      <alignment horizontal="center"/>
    </xf>
    <xf numFmtId="0" fontId="0" fillId="0" borderId="0" xfId="0" applyFill="1" applyBorder="1" applyProtection="1">
      <protection locked="0"/>
    </xf>
    <xf numFmtId="0" fontId="95" fillId="0" borderId="0" xfId="0" applyFont="1" applyFill="1" applyBorder="1" applyAlignment="1" applyProtection="1">
      <alignment horizontal="center" vertical="center"/>
    </xf>
    <xf numFmtId="0" fontId="6" fillId="0" borderId="52" xfId="0" applyFont="1" applyBorder="1" applyAlignment="1" applyProtection="1"/>
    <xf numFmtId="0" fontId="6" fillId="0" borderId="53" xfId="0" applyFont="1" applyBorder="1" applyAlignment="1" applyProtection="1"/>
    <xf numFmtId="0" fontId="25" fillId="0" borderId="54" xfId="0" applyFont="1" applyBorder="1" applyAlignment="1" applyProtection="1">
      <alignment vertical="distributed"/>
    </xf>
    <xf numFmtId="15" fontId="27" fillId="0" borderId="55"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5" fillId="0" borderId="0" xfId="0" applyFont="1" applyFill="1" applyBorder="1" applyAlignment="1" applyProtection="1">
      <alignment horizontal="left"/>
      <protection locked="0"/>
    </xf>
    <xf numFmtId="0" fontId="102" fillId="0" borderId="0" xfId="0" applyFont="1" applyFill="1" applyBorder="1" applyAlignment="1" applyProtection="1">
      <alignment horizontal="center" vertical="center"/>
    </xf>
    <xf numFmtId="0" fontId="26" fillId="0" borderId="56"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7" xfId="0" applyNumberFormat="1" applyFont="1" applyFill="1" applyBorder="1" applyAlignment="1" applyProtection="1">
      <alignment horizontal="center"/>
    </xf>
    <xf numFmtId="0" fontId="32" fillId="25" borderId="58" xfId="0" applyFont="1" applyFill="1" applyBorder="1" applyAlignment="1" applyProtection="1">
      <alignment horizontal="centerContinuous"/>
    </xf>
    <xf numFmtId="15" fontId="106" fillId="0" borderId="42" xfId="0" applyNumberFormat="1" applyFont="1" applyFill="1" applyBorder="1" applyAlignment="1" applyProtection="1">
      <alignment horizontal="center" wrapText="1"/>
    </xf>
    <xf numFmtId="15" fontId="106" fillId="0" borderId="59" xfId="0" applyNumberFormat="1" applyFont="1" applyFill="1" applyBorder="1" applyAlignment="1" applyProtection="1">
      <alignment horizontal="center" wrapText="1"/>
    </xf>
    <xf numFmtId="0" fontId="37" fillId="0" borderId="56" xfId="0" applyFont="1" applyFill="1" applyBorder="1" applyAlignment="1" applyProtection="1">
      <alignment horizontal="center"/>
    </xf>
    <xf numFmtId="0" fontId="37" fillId="0" borderId="60" xfId="0" applyFont="1" applyFill="1" applyBorder="1" applyAlignment="1" applyProtection="1">
      <alignment horizontal="center"/>
    </xf>
    <xf numFmtId="0" fontId="32" fillId="25" borderId="61"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97" fillId="0" borderId="0" xfId="0" applyFont="1" applyFill="1" applyBorder="1" applyAlignment="1" applyProtection="1">
      <alignment horizontal="center"/>
    </xf>
    <xf numFmtId="0" fontId="103"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9"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2" xfId="0" applyBorder="1" applyAlignment="1" applyProtection="1">
      <alignment horizontal="center"/>
    </xf>
    <xf numFmtId="0" fontId="0" fillId="0" borderId="42" xfId="0" applyFill="1" applyBorder="1" applyAlignment="1" applyProtection="1">
      <alignment horizontal="center"/>
    </xf>
    <xf numFmtId="0" fontId="1" fillId="0" borderId="41" xfId="0" applyFont="1" applyFill="1" applyBorder="1" applyAlignment="1" applyProtection="1">
      <alignment horizontal="center" wrapText="1"/>
    </xf>
    <xf numFmtId="0" fontId="0" fillId="0" borderId="41" xfId="0" applyBorder="1" applyAlignment="1">
      <alignment horizontal="center" wrapText="1"/>
    </xf>
    <xf numFmtId="0" fontId="28" fillId="0" borderId="41" xfId="0" applyFont="1" applyBorder="1" applyAlignment="1">
      <alignment horizontal="center" wrapText="1"/>
    </xf>
    <xf numFmtId="0" fontId="1" fillId="0" borderId="59" xfId="0" applyFont="1" applyFill="1" applyBorder="1" applyAlignment="1" applyProtection="1">
      <alignment horizontal="center" wrapText="1"/>
    </xf>
    <xf numFmtId="3" fontId="64" fillId="23" borderId="31" xfId="0" applyNumberFormat="1" applyFont="1" applyFill="1" applyBorder="1" applyAlignment="1" applyProtection="1">
      <alignment vertical="center"/>
      <protection locked="0"/>
    </xf>
    <xf numFmtId="3" fontId="64" fillId="23" borderId="10" xfId="0" applyNumberFormat="1" applyFont="1" applyFill="1" applyBorder="1" applyAlignment="1" applyProtection="1">
      <alignment horizontal="right" vertical="center"/>
      <protection locked="0"/>
    </xf>
    <xf numFmtId="0" fontId="73" fillId="0" borderId="63" xfId="0" applyFont="1" applyFill="1" applyBorder="1" applyAlignment="1" applyProtection="1">
      <alignment horizontal="center" vertical="center"/>
    </xf>
    <xf numFmtId="43" fontId="111" fillId="0" borderId="20" xfId="61" applyFont="1" applyFill="1" applyBorder="1" applyAlignment="1" applyProtection="1">
      <alignment vertical="center"/>
    </xf>
    <xf numFmtId="43" fontId="106" fillId="0" borderId="0" xfId="0" applyNumberFormat="1" applyFont="1" applyBorder="1" applyAlignment="1" applyProtection="1">
      <alignment vertical="center" wrapText="1"/>
    </xf>
    <xf numFmtId="0" fontId="106" fillId="0" borderId="0" xfId="0" applyFont="1" applyFill="1" applyBorder="1" applyAlignment="1" applyProtection="1">
      <alignment wrapText="1"/>
    </xf>
    <xf numFmtId="43" fontId="20" fillId="0" borderId="43" xfId="58" applyFont="1" applyFill="1" applyBorder="1" applyAlignment="1" applyProtection="1">
      <alignment horizontal="right"/>
    </xf>
    <xf numFmtId="0" fontId="28" fillId="0" borderId="64" xfId="0" applyFont="1" applyFill="1" applyBorder="1" applyAlignment="1" applyProtection="1">
      <alignment wrapText="1"/>
    </xf>
    <xf numFmtId="0" fontId="34" fillId="0" borderId="65" xfId="0" applyFont="1" applyFill="1" applyBorder="1" applyAlignment="1" applyProtection="1">
      <alignment horizontal="center" wrapText="1"/>
    </xf>
    <xf numFmtId="0" fontId="21" fillId="20" borderId="29" xfId="0" applyFont="1" applyFill="1" applyBorder="1" applyAlignment="1" applyProtection="1"/>
    <xf numFmtId="0" fontId="21" fillId="20" borderId="66" xfId="0" applyFont="1" applyFill="1" applyBorder="1" applyAlignment="1" applyProtection="1"/>
    <xf numFmtId="0" fontId="28" fillId="0" borderId="0" xfId="0" applyFont="1" applyFill="1" applyBorder="1" applyAlignment="1" applyProtection="1">
      <alignment wrapText="1"/>
    </xf>
    <xf numFmtId="9" fontId="108"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8" xfId="0" applyFill="1" applyBorder="1" applyProtection="1"/>
    <xf numFmtId="43" fontId="112" fillId="0" borderId="28" xfId="61" applyFont="1" applyFill="1" applyBorder="1" applyAlignment="1" applyProtection="1">
      <alignment vertical="center"/>
    </xf>
    <xf numFmtId="0" fontId="0" fillId="0" borderId="28" xfId="0" applyBorder="1" applyProtection="1"/>
    <xf numFmtId="0" fontId="0" fillId="0" borderId="28" xfId="0" applyBorder="1"/>
    <xf numFmtId="9" fontId="15" fillId="0" borderId="0" xfId="56" applyFont="1" applyProtection="1"/>
    <xf numFmtId="14" fontId="24" fillId="24" borderId="43" xfId="58" applyNumberFormat="1" applyFont="1" applyFill="1" applyBorder="1" applyAlignment="1" applyProtection="1">
      <alignment horizontal="center" vertical="center"/>
    </xf>
    <xf numFmtId="43" fontId="24" fillId="24" borderId="43" xfId="58" applyFont="1" applyFill="1" applyBorder="1" applyAlignment="1" applyProtection="1">
      <alignment horizontal="center" vertical="center"/>
    </xf>
    <xf numFmtId="15" fontId="24" fillId="24" borderId="43" xfId="58" applyNumberFormat="1" applyFont="1" applyFill="1" applyBorder="1" applyAlignment="1" applyProtection="1">
      <alignment horizontal="center" vertical="center"/>
    </xf>
    <xf numFmtId="171" fontId="24" fillId="24" borderId="43" xfId="58" applyNumberFormat="1" applyFont="1" applyFill="1" applyBorder="1" applyAlignment="1" applyProtection="1">
      <alignment horizontal="center"/>
    </xf>
    <xf numFmtId="3" fontId="24" fillId="24" borderId="43" xfId="58" applyNumberFormat="1" applyFont="1" applyFill="1" applyBorder="1" applyAlignment="1" applyProtection="1">
      <alignment horizontal="center"/>
    </xf>
    <xf numFmtId="43" fontId="24" fillId="24"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43" fontId="86" fillId="0" borderId="0" xfId="0" applyNumberFormat="1" applyFont="1" applyAlignment="1"/>
    <xf numFmtId="0" fontId="34" fillId="0" borderId="41" xfId="0" applyFont="1" applyFill="1" applyBorder="1" applyAlignment="1" applyProtection="1">
      <alignment horizontal="center" wrapText="1"/>
    </xf>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9"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4" borderId="10" xfId="0" applyNumberFormat="1" applyFill="1" applyBorder="1" applyProtection="1">
      <protection locked="0"/>
    </xf>
    <xf numFmtId="3" fontId="0" fillId="0" borderId="10" xfId="0" applyNumberFormat="1" applyFill="1" applyBorder="1" applyProtection="1"/>
    <xf numFmtId="3" fontId="0" fillId="24" borderId="68" xfId="0" applyNumberFormat="1" applyFill="1" applyBorder="1" applyProtection="1">
      <protection locked="0"/>
    </xf>
    <xf numFmtId="170" fontId="21" fillId="20" borderId="0" xfId="0" applyNumberFormat="1" applyFont="1" applyFill="1"/>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25" borderId="10" xfId="0" applyNumberFormat="1" applyFill="1" applyBorder="1" applyAlignment="1" applyProtection="1">
      <alignment horizontal="center"/>
      <protection locked="0"/>
    </xf>
    <xf numFmtId="1" fontId="0" fillId="25" borderId="57"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4" fontId="32" fillId="19" borderId="71" xfId="0" applyNumberFormat="1" applyFont="1" applyFill="1" applyBorder="1" applyAlignment="1" applyProtection="1">
      <alignment horizontal="center"/>
      <protection locked="0"/>
    </xf>
    <xf numFmtId="164" fontId="32" fillId="19" borderId="72" xfId="0" applyNumberFormat="1" applyFont="1" applyFill="1" applyBorder="1" applyAlignment="1" applyProtection="1">
      <alignment horizontal="center"/>
      <protection locked="0"/>
    </xf>
    <xf numFmtId="164" fontId="32" fillId="19" borderId="73" xfId="0" applyNumberFormat="1" applyFont="1" applyFill="1" applyBorder="1" applyAlignment="1" applyProtection="1">
      <alignment horizontal="center"/>
      <protection locked="0"/>
    </xf>
    <xf numFmtId="164" fontId="32" fillId="19" borderId="74" xfId="0" applyNumberFormat="1" applyFont="1" applyFill="1" applyBorder="1" applyAlignment="1" applyProtection="1">
      <alignment horizontal="center"/>
      <protection locked="0"/>
    </xf>
    <xf numFmtId="164" fontId="32" fillId="19" borderId="75" xfId="0" applyNumberFormat="1" applyFont="1" applyFill="1" applyBorder="1" applyAlignment="1" applyProtection="1">
      <alignment horizontal="center"/>
      <protection locked="0"/>
    </xf>
    <xf numFmtId="0" fontId="0" fillId="0" borderId="76" xfId="0" applyFill="1" applyBorder="1" applyAlignment="1" applyProtection="1">
      <alignment horizontal="center"/>
    </xf>
    <xf numFmtId="43" fontId="35" fillId="0" borderId="0" xfId="0" applyNumberFormat="1" applyFont="1"/>
    <xf numFmtId="0" fontId="0" fillId="0" borderId="0" xfId="0" applyBorder="1" applyAlignment="1">
      <alignment horizontal="left"/>
    </xf>
    <xf numFmtId="43" fontId="1" fillId="0" borderId="43" xfId="58" applyFont="1" applyBorder="1" applyAlignment="1" applyProtection="1">
      <alignment horizontal="right"/>
    </xf>
    <xf numFmtId="43" fontId="120" fillId="0" borderId="0" xfId="51" applyFont="1" applyFill="1" applyBorder="1" applyProtection="1"/>
    <xf numFmtId="3" fontId="28" fillId="25" borderId="71" xfId="0" applyNumberFormat="1" applyFont="1" applyFill="1" applyBorder="1" applyAlignment="1" applyProtection="1">
      <protection locked="0"/>
    </xf>
    <xf numFmtId="3" fontId="28" fillId="25" borderId="77"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9"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21" fillId="25" borderId="79" xfId="28" applyNumberFormat="1" applyFont="1" applyFill="1" applyBorder="1" applyAlignment="1" applyProtection="1">
      <protection locked="0"/>
    </xf>
    <xf numFmtId="164" fontId="14" fillId="19" borderId="81" xfId="0" applyNumberFormat="1" applyFont="1" applyFill="1" applyBorder="1" applyAlignment="1" applyProtection="1">
      <alignment horizontal="center"/>
      <protection locked="0"/>
    </xf>
    <xf numFmtId="164" fontId="14" fillId="19" borderId="82"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1" fillId="25" borderId="83" xfId="28" applyNumberFormat="1" applyFont="1" applyFill="1" applyBorder="1" applyAlignment="1" applyProtection="1">
      <protection locked="0"/>
    </xf>
    <xf numFmtId="3" fontId="1" fillId="25" borderId="83" xfId="28" applyNumberFormat="1" applyFont="1" applyFill="1" applyBorder="1" applyProtection="1">
      <protection locked="0"/>
    </xf>
    <xf numFmtId="49" fontId="25" fillId="0" borderId="84" xfId="0" applyNumberFormat="1" applyFont="1" applyFill="1" applyBorder="1" applyAlignment="1" applyProtection="1">
      <alignment vertical="center" wrapText="1"/>
    </xf>
    <xf numFmtId="0" fontId="87" fillId="0" borderId="85" xfId="0" applyNumberFormat="1" applyFont="1" applyFill="1" applyBorder="1" applyAlignment="1" applyProtection="1">
      <alignment horizontal="center" vertical="center" wrapText="1"/>
    </xf>
    <xf numFmtId="0" fontId="87" fillId="0" borderId="86" xfId="0" applyNumberFormat="1" applyFont="1" applyFill="1" applyBorder="1" applyAlignment="1" applyProtection="1">
      <alignment horizontal="center" vertical="center" wrapText="1"/>
    </xf>
    <xf numFmtId="49" fontId="26" fillId="0" borderId="87" xfId="0" applyNumberFormat="1" applyFont="1" applyFill="1" applyBorder="1" applyAlignment="1" applyProtection="1">
      <alignment wrapText="1"/>
      <protection locked="0"/>
    </xf>
    <xf numFmtId="3" fontId="1" fillId="25" borderId="88" xfId="28" applyNumberFormat="1" applyFont="1" applyFill="1" applyBorder="1" applyProtection="1">
      <protection locked="0"/>
    </xf>
    <xf numFmtId="49" fontId="26" fillId="0" borderId="87" xfId="0" applyNumberFormat="1" applyFont="1" applyFill="1" applyBorder="1" applyAlignment="1" applyProtection="1">
      <protection locked="0"/>
    </xf>
    <xf numFmtId="0" fontId="26" fillId="0" borderId="87" xfId="0" applyFont="1" applyFill="1" applyBorder="1" applyAlignment="1" applyProtection="1">
      <alignment wrapText="1"/>
      <protection locked="0"/>
    </xf>
    <xf numFmtId="0" fontId="0" fillId="0" borderId="89" xfId="0" applyBorder="1" applyAlignment="1" applyProtection="1"/>
    <xf numFmtId="3" fontId="0" fillId="0" borderId="90" xfId="0" applyNumberFormat="1" applyBorder="1" applyProtection="1"/>
    <xf numFmtId="3" fontId="0" fillId="0" borderId="91"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8" xfId="0" applyNumberFormat="1" applyFill="1" applyBorder="1" applyAlignment="1" applyProtection="1">
      <alignment horizontal="left"/>
      <protection locked="0"/>
    </xf>
    <xf numFmtId="0" fontId="0" fillId="24" borderId="68" xfId="0" applyNumberFormat="1" applyFill="1" applyBorder="1" applyProtection="1">
      <protection locked="0"/>
    </xf>
    <xf numFmtId="0" fontId="0" fillId="24" borderId="68" xfId="0" applyNumberFormat="1" applyFill="1" applyBorder="1" applyAlignment="1" applyProtection="1">
      <alignment horizontal="center"/>
      <protection locked="0"/>
    </xf>
    <xf numFmtId="43" fontId="136" fillId="25" borderId="92" xfId="61" applyFill="1" applyBorder="1" applyAlignment="1" applyProtection="1">
      <alignment vertical="center"/>
    </xf>
    <xf numFmtId="0" fontId="0" fillId="22" borderId="93" xfId="0" applyFill="1" applyBorder="1"/>
    <xf numFmtId="0" fontId="0" fillId="0" borderId="20" xfId="0" applyBorder="1" applyProtection="1"/>
    <xf numFmtId="43" fontId="39" fillId="24" borderId="94" xfId="61" applyFont="1" applyFill="1" applyBorder="1" applyAlignment="1" applyProtection="1">
      <alignment horizontal="center" vertical="center"/>
    </xf>
    <xf numFmtId="43" fontId="39" fillId="0" borderId="95" xfId="61"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0" fillId="0" borderId="0" xfId="0" applyNumberFormat="1" applyFill="1" applyBorder="1" applyProtection="1">
      <protection locked="0"/>
    </xf>
    <xf numFmtId="3" fontId="64" fillId="0" borderId="10" xfId="0" applyNumberFormat="1" applyFont="1" applyFill="1" applyBorder="1" applyAlignment="1" applyProtection="1">
      <alignment vertical="center"/>
    </xf>
    <xf numFmtId="3" fontId="64" fillId="0" borderId="98" xfId="0" applyNumberFormat="1" applyFont="1" applyFill="1" applyBorder="1" applyAlignment="1" applyProtection="1">
      <alignment vertical="center"/>
    </xf>
    <xf numFmtId="167" fontId="0" fillId="0" borderId="10" xfId="0" applyNumberFormat="1" applyFill="1" applyBorder="1" applyAlignment="1" applyProtection="1">
      <alignment horizontal="center"/>
    </xf>
    <xf numFmtId="167" fontId="15" fillId="27" borderId="99" xfId="0" applyNumberFormat="1" applyFont="1" applyFill="1" applyBorder="1" applyAlignment="1" applyProtection="1">
      <alignment horizontal="center"/>
    </xf>
    <xf numFmtId="167" fontId="21" fillId="27" borderId="99" xfId="0" applyNumberFormat="1" applyFont="1" applyFill="1" applyBorder="1" applyAlignment="1" applyProtection="1">
      <alignment horizontal="center"/>
    </xf>
    <xf numFmtId="49" fontId="80" fillId="0" borderId="10" xfId="0" applyNumberFormat="1" applyFont="1" applyBorder="1" applyAlignment="1" applyProtection="1">
      <alignment horizontal="center"/>
      <protection locked="0"/>
    </xf>
    <xf numFmtId="43" fontId="66" fillId="0" borderId="10" xfId="51" applyFont="1" applyBorder="1" applyAlignment="1" applyProtection="1">
      <alignment horizontal="center"/>
    </xf>
    <xf numFmtId="0" fontId="66" fillId="0" borderId="10" xfId="0" applyFont="1" applyBorder="1" applyAlignment="1" applyProtection="1">
      <alignment horizontal="center"/>
    </xf>
    <xf numFmtId="0" fontId="73" fillId="0" borderId="100" xfId="0" applyFont="1" applyFill="1" applyBorder="1" applyAlignment="1" applyProtection="1">
      <alignment horizontal="center" vertical="center" wrapText="1"/>
    </xf>
    <xf numFmtId="0" fontId="73" fillId="0" borderId="101" xfId="0" applyFont="1" applyFill="1" applyBorder="1" applyAlignment="1" applyProtection="1">
      <alignment horizontal="center"/>
    </xf>
    <xf numFmtId="0" fontId="73" fillId="0" borderId="102" xfId="0" applyFont="1" applyFill="1" applyBorder="1" applyAlignment="1" applyProtection="1">
      <alignment horizontal="center"/>
    </xf>
    <xf numFmtId="0" fontId="73" fillId="0" borderId="103" xfId="0" applyNumberFormat="1" applyFont="1" applyFill="1" applyBorder="1" applyAlignment="1" applyProtection="1">
      <alignment horizontal="center"/>
    </xf>
    <xf numFmtId="0" fontId="73" fillId="0" borderId="104" xfId="0" applyNumberFormat="1" applyFont="1" applyFill="1" applyBorder="1" applyAlignment="1" applyProtection="1">
      <alignment horizontal="center"/>
    </xf>
    <xf numFmtId="0" fontId="73" fillId="0" borderId="104" xfId="0" applyNumberFormat="1" applyFont="1" applyFill="1" applyBorder="1" applyAlignment="1" applyProtection="1">
      <alignment horizontal="center" vertical="center"/>
    </xf>
    <xf numFmtId="0" fontId="73" fillId="0" borderId="105" xfId="0" applyNumberFormat="1" applyFont="1" applyFill="1" applyBorder="1" applyAlignment="1" applyProtection="1">
      <alignment horizontal="center" vertical="center"/>
    </xf>
    <xf numFmtId="0" fontId="77" fillId="0" borderId="106" xfId="0" applyNumberFormat="1" applyFont="1" applyFill="1" applyBorder="1" applyAlignment="1" applyProtection="1">
      <alignment horizontal="center" vertical="center"/>
    </xf>
    <xf numFmtId="0" fontId="77" fillId="0" borderId="107" xfId="0" applyNumberFormat="1" applyFont="1" applyFill="1" applyBorder="1" applyAlignment="1" applyProtection="1">
      <alignment horizontal="center" vertical="center"/>
    </xf>
    <xf numFmtId="0" fontId="77" fillId="0" borderId="108" xfId="0" applyNumberFormat="1" applyFont="1" applyFill="1" applyBorder="1" applyAlignment="1" applyProtection="1">
      <alignment horizontal="center" vertical="center"/>
    </xf>
    <xf numFmtId="0" fontId="73" fillId="0" borderId="109" xfId="0" applyFont="1" applyFill="1" applyBorder="1" applyAlignment="1" applyProtection="1">
      <alignment horizontal="center" vertical="center"/>
    </xf>
    <xf numFmtId="0" fontId="73" fillId="0" borderId="110" xfId="0" applyFont="1" applyFill="1" applyBorder="1" applyAlignment="1" applyProtection="1">
      <alignment horizontal="center" vertical="center"/>
    </xf>
    <xf numFmtId="0" fontId="73" fillId="0" borderId="111" xfId="0" applyFont="1" applyFill="1" applyBorder="1" applyAlignment="1" applyProtection="1">
      <alignment horizontal="center" vertical="center"/>
    </xf>
    <xf numFmtId="0" fontId="73"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4" fontId="14" fillId="19" borderId="110" xfId="0" applyNumberFormat="1" applyFont="1" applyFill="1" applyBorder="1" applyAlignment="1" applyProtection="1">
      <alignment horizontal="center"/>
      <protection locked="0"/>
    </xf>
    <xf numFmtId="164" fontId="14" fillId="19" borderId="114" xfId="0" applyNumberFormat="1" applyFont="1" applyFill="1" applyBorder="1" applyAlignment="1" applyProtection="1">
      <alignment horizontal="center"/>
      <protection locked="0"/>
    </xf>
    <xf numFmtId="167" fontId="0" fillId="20" borderId="10" xfId="0" applyNumberFormat="1" applyFill="1" applyBorder="1" applyAlignment="1" applyProtection="1">
      <alignment horizontal="center"/>
    </xf>
    <xf numFmtId="167" fontId="0" fillId="0" borderId="10" xfId="0" applyNumberFormat="1" applyBorder="1" applyAlignment="1" applyProtection="1">
      <alignment horizontal="center"/>
    </xf>
    <xf numFmtId="167" fontId="0" fillId="20" borderId="68" xfId="0" applyNumberFormat="1" applyFill="1" applyBorder="1" applyAlignment="1" applyProtection="1">
      <alignment horizontal="center"/>
    </xf>
    <xf numFmtId="167" fontId="0" fillId="0" borderId="68" xfId="0" applyNumberFormat="1" applyBorder="1" applyAlignment="1" applyProtection="1">
      <alignment horizontal="center"/>
    </xf>
    <xf numFmtId="3" fontId="64" fillId="28" borderId="10" xfId="0" applyNumberFormat="1" applyFont="1" applyFill="1" applyBorder="1" applyAlignment="1" applyProtection="1">
      <alignment vertical="center"/>
      <protection locked="0"/>
    </xf>
    <xf numFmtId="3" fontId="64" fillId="28" borderId="31" xfId="0" applyNumberFormat="1" applyFont="1" applyFill="1" applyBorder="1" applyAlignment="1" applyProtection="1">
      <alignment vertical="center"/>
      <protection locked="0"/>
    </xf>
    <xf numFmtId="3" fontId="64" fillId="23" borderId="31" xfId="0" applyNumberFormat="1" applyFont="1" applyFill="1" applyBorder="1" applyAlignment="1" applyProtection="1">
      <alignment horizontal="right" vertical="center"/>
      <protection locked="0"/>
    </xf>
    <xf numFmtId="3" fontId="64" fillId="23" borderId="98" xfId="0" applyNumberFormat="1" applyFont="1" applyFill="1" applyBorder="1" applyAlignment="1" applyProtection="1">
      <alignment horizontal="right" vertical="center"/>
      <protection locked="0"/>
    </xf>
    <xf numFmtId="3" fontId="64" fillId="23" borderId="115" xfId="0" applyNumberFormat="1" applyFont="1" applyFill="1" applyBorder="1" applyAlignment="1" applyProtection="1">
      <alignment horizontal="right" vertical="center"/>
      <protection locked="0"/>
    </xf>
    <xf numFmtId="3" fontId="64" fillId="29" borderId="10" xfId="0" applyNumberFormat="1" applyFont="1" applyFill="1" applyBorder="1" applyAlignment="1" applyProtection="1">
      <alignment vertical="center"/>
    </xf>
    <xf numFmtId="0" fontId="0" fillId="0" borderId="239" xfId="0" applyBorder="1"/>
    <xf numFmtId="0" fontId="0" fillId="0" borderId="68" xfId="0" applyNumberFormat="1" applyFill="1" applyBorder="1" applyProtection="1"/>
    <xf numFmtId="3" fontId="0" fillId="0" borderId="68" xfId="0" applyNumberFormat="1" applyFill="1" applyBorder="1" applyProtection="1"/>
    <xf numFmtId="167" fontId="0" fillId="0" borderId="68" xfId="0" applyNumberFormat="1" applyFill="1" applyBorder="1" applyAlignment="1" applyProtection="1">
      <alignment horizontal="center"/>
    </xf>
    <xf numFmtId="0" fontId="0" fillId="0" borderId="60" xfId="0" applyBorder="1" applyAlignment="1" applyProtection="1">
      <alignment horizontal="center" wrapText="1"/>
    </xf>
    <xf numFmtId="3" fontId="1" fillId="0" borderId="68" xfId="28" applyNumberFormat="1" applyFont="1" applyFill="1" applyBorder="1" applyAlignment="1" applyProtection="1">
      <alignment horizontal="right"/>
    </xf>
    <xf numFmtId="3" fontId="0" fillId="0" borderId="68" xfId="0" applyNumberFormat="1" applyBorder="1" applyAlignment="1" applyProtection="1">
      <alignment horizontal="right" wrapText="1"/>
    </xf>
    <xf numFmtId="0" fontId="0" fillId="35" borderId="26" xfId="0" applyNumberFormat="1" applyFill="1" applyBorder="1" applyAlignment="1" applyProtection="1">
      <alignment horizontal="center"/>
      <protection locked="0"/>
    </xf>
    <xf numFmtId="3" fontId="0" fillId="24" borderId="58" xfId="0" applyNumberFormat="1" applyFill="1" applyBorder="1" applyAlignment="1" applyProtection="1">
      <alignment horizontal="right" wrapText="1"/>
      <protection locked="0"/>
    </xf>
    <xf numFmtId="3" fontId="0" fillId="0" borderId="58" xfId="0" applyNumberFormat="1" applyBorder="1" applyAlignment="1" applyProtection="1">
      <alignment horizontal="right" wrapText="1"/>
    </xf>
    <xf numFmtId="3" fontId="0" fillId="0" borderId="61" xfId="0" applyNumberFormat="1" applyBorder="1" applyAlignment="1" applyProtection="1">
      <alignment horizontal="right" wrapText="1"/>
    </xf>
    <xf numFmtId="167" fontId="0" fillId="0" borderId="58" xfId="0" applyNumberFormat="1" applyFill="1" applyBorder="1" applyProtection="1"/>
    <xf numFmtId="167" fontId="0" fillId="0" borderId="61" xfId="0" applyNumberFormat="1" applyFill="1" applyBorder="1" applyProtection="1"/>
    <xf numFmtId="3" fontId="64" fillId="0" borderId="31" xfId="0" applyNumberFormat="1" applyFont="1" applyFill="1" applyBorder="1" applyAlignment="1" applyProtection="1">
      <alignment vertical="center"/>
    </xf>
    <xf numFmtId="3" fontId="64" fillId="29" borderId="31" xfId="0" applyNumberFormat="1" applyFont="1" applyFill="1" applyBorder="1" applyAlignment="1" applyProtection="1">
      <alignment vertical="center"/>
    </xf>
    <xf numFmtId="3" fontId="64" fillId="0" borderId="240"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3" fontId="64" fillId="28" borderId="10" xfId="0" applyNumberFormat="1" applyFont="1" applyFill="1" applyBorder="1" applyAlignment="1" applyProtection="1">
      <alignment horizontal="center" vertical="center"/>
      <protection locked="0"/>
    </xf>
    <xf numFmtId="3" fontId="2" fillId="23" borderId="10" xfId="0" applyNumberFormat="1" applyFont="1" applyFill="1" applyBorder="1" applyAlignment="1" applyProtection="1">
      <alignment horizontal="center" vertical="center"/>
      <protection locked="0"/>
    </xf>
    <xf numFmtId="3" fontId="64" fillId="23"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protection locked="0"/>
    </xf>
    <xf numFmtId="49" fontId="26" fillId="0" borderId="87" xfId="0" applyNumberFormat="1" applyFont="1" applyFill="1" applyBorder="1" applyAlignment="1" applyProtection="1">
      <alignment horizontal="justify" wrapText="1"/>
      <protection locked="0"/>
    </xf>
    <xf numFmtId="0" fontId="137" fillId="22" borderId="29" xfId="0" applyFont="1" applyFill="1" applyBorder="1" applyAlignment="1">
      <alignment horizontal="justify" vertical="center" wrapText="1"/>
    </xf>
    <xf numFmtId="0" fontId="138" fillId="22" borderId="46" xfId="0" applyFont="1" applyFill="1" applyBorder="1" applyAlignment="1">
      <alignment horizontal="justify" vertical="center" wrapText="1"/>
    </xf>
    <xf numFmtId="0" fontId="138" fillId="22" borderId="47" xfId="0" applyFont="1" applyFill="1" applyBorder="1" applyAlignment="1">
      <alignment horizontal="justify" vertical="center" wrapText="1"/>
    </xf>
    <xf numFmtId="0" fontId="137" fillId="22" borderId="29" xfId="0" applyFont="1" applyFill="1" applyBorder="1" applyAlignment="1">
      <alignment horizontal="left" vertical="center" wrapText="1"/>
    </xf>
    <xf numFmtId="0" fontId="137" fillId="22" borderId="46" xfId="0" applyFont="1" applyFill="1" applyBorder="1" applyAlignment="1">
      <alignment horizontal="left" vertical="center" wrapText="1"/>
    </xf>
    <xf numFmtId="0" fontId="137" fillId="22" borderId="47" xfId="0" applyFont="1" applyFill="1" applyBorder="1" applyAlignment="1">
      <alignment horizontal="left" vertical="center" wrapText="1"/>
    </xf>
    <xf numFmtId="0" fontId="137" fillId="0" borderId="46" xfId="0" applyFont="1" applyBorder="1" applyAlignment="1" applyProtection="1">
      <alignment horizontal="left" vertical="center" wrapText="1"/>
      <protection locked="0"/>
    </xf>
    <xf numFmtId="0" fontId="137" fillId="0" borderId="47" xfId="0" applyFont="1" applyBorder="1" applyAlignment="1" applyProtection="1">
      <alignment horizontal="left" vertical="center" wrapText="1"/>
      <protection locked="0"/>
    </xf>
    <xf numFmtId="0" fontId="139" fillId="0" borderId="10" xfId="0" applyFont="1" applyFill="1" applyBorder="1" applyAlignment="1" applyProtection="1">
      <alignment horizontal="center"/>
    </xf>
    <xf numFmtId="3" fontId="64" fillId="23" borderId="10" xfId="0" quotePrefix="1" applyNumberFormat="1" applyFont="1" applyFill="1" applyBorder="1" applyAlignment="1" applyProtection="1">
      <alignment horizontal="center" vertical="center"/>
      <protection locked="0"/>
    </xf>
    <xf numFmtId="3" fontId="28" fillId="0" borderId="10" xfId="0" applyNumberFormat="1" applyFont="1" applyBorder="1" applyAlignment="1" applyProtection="1">
      <alignment horizontal="center" vertical="center" wrapText="1"/>
    </xf>
    <xf numFmtId="1" fontId="2" fillId="28" borderId="10" xfId="0" quotePrefix="1" applyNumberFormat="1" applyFont="1" applyFill="1" applyBorder="1" applyAlignment="1" applyProtection="1">
      <alignment horizontal="center" vertical="center"/>
      <protection locked="0"/>
    </xf>
    <xf numFmtId="0" fontId="0" fillId="0" borderId="21" xfId="0" applyBorder="1" applyAlignment="1" applyProtection="1">
      <alignment horizontal="center"/>
    </xf>
    <xf numFmtId="0" fontId="140" fillId="0" borderId="29" xfId="0" applyFont="1" applyBorder="1" applyAlignment="1" applyProtection="1">
      <alignment horizontal="left" vertical="center" wrapText="1"/>
      <protection locked="0"/>
    </xf>
    <xf numFmtId="0" fontId="73" fillId="0" borderId="238" xfId="0" applyFont="1" applyFill="1" applyBorder="1" applyAlignment="1" applyProtection="1">
      <alignment horizontal="center" vertical="center" wrapText="1"/>
    </xf>
    <xf numFmtId="173" fontId="28" fillId="0" borderId="10" xfId="0" applyNumberFormat="1" applyFont="1" applyBorder="1" applyAlignment="1" applyProtection="1">
      <alignment horizontal="center" vertical="center" wrapText="1"/>
    </xf>
    <xf numFmtId="3" fontId="28" fillId="0" borderId="10" xfId="0" quotePrefix="1" applyNumberFormat="1" applyFont="1" applyBorder="1" applyAlignment="1" applyProtection="1">
      <alignment horizontal="right" vertical="center" wrapText="1"/>
    </xf>
    <xf numFmtId="3" fontId="28" fillId="0" borderId="10" xfId="0" applyNumberFormat="1" applyFont="1" applyBorder="1" applyAlignment="1" applyProtection="1">
      <alignment horizontal="right" vertical="center" wrapText="1"/>
    </xf>
    <xf numFmtId="173" fontId="149" fillId="23" borderId="10" xfId="0" applyNumberFormat="1" applyFont="1" applyFill="1" applyBorder="1" applyAlignment="1" applyProtection="1">
      <alignment horizontal="center" vertical="center"/>
      <protection locked="0"/>
    </xf>
    <xf numFmtId="3" fontId="149" fillId="23" borderId="10" xfId="0" applyNumberFormat="1" applyFont="1" applyFill="1" applyBorder="1" applyAlignment="1" applyProtection="1">
      <alignment horizontal="center" vertical="center"/>
      <protection locked="0"/>
    </xf>
    <xf numFmtId="173" fontId="149" fillId="28" borderId="10" xfId="0" applyNumberFormat="1" applyFont="1" applyFill="1" applyBorder="1" applyAlignment="1" applyProtection="1">
      <alignment horizontal="center" vertical="center"/>
      <protection locked="0"/>
    </xf>
    <xf numFmtId="3" fontId="149" fillId="28"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wrapText="1"/>
      <protection locked="0"/>
    </xf>
    <xf numFmtId="173" fontId="73" fillId="23" borderId="10" xfId="0" applyNumberFormat="1" applyFont="1" applyFill="1" applyBorder="1" applyAlignment="1" applyProtection="1">
      <alignment horizontal="center" vertical="center"/>
      <protection locked="0"/>
    </xf>
    <xf numFmtId="3" fontId="73" fillId="23" borderId="10" xfId="0" applyNumberFormat="1" applyFont="1" applyFill="1" applyBorder="1" applyAlignment="1" applyProtection="1">
      <alignment horizontal="center" vertical="center"/>
      <protection locked="0"/>
    </xf>
    <xf numFmtId="3" fontId="73" fillId="28" borderId="10" xfId="0" applyNumberFormat="1" applyFont="1" applyFill="1" applyBorder="1" applyAlignment="1" applyProtection="1">
      <alignment horizontal="center" vertical="center"/>
      <protection locked="0"/>
    </xf>
    <xf numFmtId="173" fontId="73" fillId="28" borderId="10" xfId="0" applyNumberFormat="1" applyFont="1" applyFill="1" applyBorder="1" applyAlignment="1" applyProtection="1">
      <alignment horizontal="center" vertical="center"/>
      <protection locked="0"/>
    </xf>
    <xf numFmtId="4" fontId="6" fillId="0" borderId="78" xfId="28" applyNumberFormat="1" applyFont="1" applyFill="1" applyBorder="1" applyAlignment="1" applyProtection="1"/>
    <xf numFmtId="4" fontId="6" fillId="0" borderId="80" xfId="28" applyNumberFormat="1" applyFont="1" applyFill="1" applyBorder="1" applyAlignment="1" applyProtection="1"/>
    <xf numFmtId="3" fontId="150" fillId="28" borderId="10" xfId="0" applyNumberFormat="1" applyFont="1" applyFill="1" applyBorder="1" applyAlignment="1" applyProtection="1">
      <alignment horizontal="center" vertical="center"/>
      <protection locked="0"/>
    </xf>
    <xf numFmtId="3" fontId="149" fillId="23" borderId="10" xfId="0" applyNumberFormat="1" applyFont="1" applyFill="1" applyBorder="1" applyAlignment="1" applyProtection="1">
      <alignment vertical="center"/>
      <protection locked="0"/>
    </xf>
    <xf numFmtId="3" fontId="149" fillId="28" borderId="10" xfId="0" applyNumberFormat="1" applyFont="1" applyFill="1" applyBorder="1" applyAlignment="1" applyProtection="1">
      <alignment vertical="center"/>
      <protection locked="0"/>
    </xf>
    <xf numFmtId="0" fontId="0" fillId="19" borderId="0" xfId="0" applyFill="1" applyBorder="1" applyAlignment="1" applyProtection="1">
      <alignment horizontal="center" vertical="center" textRotation="90"/>
    </xf>
    <xf numFmtId="49" fontId="28" fillId="0" borderId="0" xfId="0" applyNumberFormat="1" applyFont="1" applyAlignment="1" applyProtection="1">
      <alignment horizontal="center"/>
    </xf>
    <xf numFmtId="0" fontId="110" fillId="0" borderId="0" xfId="0" applyFont="1" applyFill="1" applyAlignment="1" applyProtection="1">
      <alignment horizontal="right"/>
    </xf>
    <xf numFmtId="0" fontId="0" fillId="0" borderId="0" xfId="0" applyFill="1" applyProtection="1"/>
    <xf numFmtId="0" fontId="0" fillId="39" borderId="0" xfId="0" applyFill="1" applyProtection="1"/>
    <xf numFmtId="0" fontId="12" fillId="0" borderId="0" xfId="0" applyFont="1" applyFill="1"/>
    <xf numFmtId="0" fontId="139" fillId="40" borderId="10" xfId="0" applyFont="1" applyFill="1" applyBorder="1" applyAlignment="1" applyProtection="1">
      <alignment horizontal="center"/>
    </xf>
    <xf numFmtId="3" fontId="64" fillId="28" borderId="10" xfId="0" applyNumberFormat="1" applyFont="1" applyFill="1" applyBorder="1" applyAlignment="1" applyProtection="1">
      <alignment horizontal="right" vertical="center"/>
      <protection locked="0"/>
    </xf>
    <xf numFmtId="3" fontId="64" fillId="28" borderId="31" xfId="0" applyNumberFormat="1" applyFont="1" applyFill="1" applyBorder="1" applyAlignment="1" applyProtection="1">
      <alignment horizontal="right" vertical="center"/>
      <protection locked="0"/>
    </xf>
    <xf numFmtId="0" fontId="21" fillId="40" borderId="0" xfId="0" applyFont="1" applyFill="1"/>
    <xf numFmtId="0" fontId="0" fillId="40" borderId="0" xfId="0" applyFill="1"/>
    <xf numFmtId="3" fontId="149" fillId="28" borderId="10" xfId="0" applyNumberFormat="1" applyFont="1" applyFill="1" applyBorder="1" applyAlignment="1" applyProtection="1">
      <alignment horizontal="right" vertical="center"/>
      <protection locked="0"/>
    </xf>
    <xf numFmtId="3" fontId="64" fillId="42" borderId="10" xfId="0" applyNumberFormat="1" applyFont="1" applyFill="1" applyBorder="1" applyAlignment="1" applyProtection="1">
      <alignment horizontal="center" vertical="center"/>
      <protection locked="0"/>
    </xf>
    <xf numFmtId="3" fontId="2" fillId="42" borderId="10" xfId="0" applyNumberFormat="1" applyFont="1" applyFill="1" applyBorder="1" applyAlignment="1" applyProtection="1">
      <alignment horizontal="center" vertical="center"/>
      <protection locked="0"/>
    </xf>
    <xf numFmtId="3" fontId="64" fillId="42" borderId="10" xfId="0" applyNumberFormat="1" applyFont="1" applyFill="1" applyBorder="1" applyAlignment="1" applyProtection="1">
      <alignment vertical="center"/>
      <protection locked="0"/>
    </xf>
    <xf numFmtId="3" fontId="64" fillId="42" borderId="31" xfId="0" applyNumberFormat="1" applyFont="1" applyFill="1" applyBorder="1" applyAlignment="1" applyProtection="1">
      <alignment vertical="center"/>
      <protection locked="0"/>
    </xf>
    <xf numFmtId="3" fontId="149" fillId="42" borderId="10" xfId="0" applyNumberFormat="1" applyFont="1" applyFill="1" applyBorder="1" applyAlignment="1" applyProtection="1">
      <alignment horizontal="center" vertical="center"/>
      <protection locked="0"/>
    </xf>
    <xf numFmtId="3" fontId="73" fillId="42" borderId="10" xfId="0" applyNumberFormat="1" applyFont="1" applyFill="1" applyBorder="1" applyAlignment="1" applyProtection="1">
      <alignment horizontal="center" vertical="center"/>
      <protection locked="0"/>
    </xf>
    <xf numFmtId="3" fontId="149" fillId="42" borderId="10" xfId="0" applyNumberFormat="1" applyFont="1" applyFill="1" applyBorder="1" applyAlignment="1" applyProtection="1">
      <alignment vertical="center"/>
      <protection locked="0"/>
    </xf>
    <xf numFmtId="0" fontId="64" fillId="0" borderId="67" xfId="0" applyFont="1" applyFill="1" applyBorder="1" applyAlignment="1" applyProtection="1">
      <alignment horizontal="center"/>
    </xf>
    <xf numFmtId="0" fontId="64" fillId="0" borderId="29" xfId="0" applyFont="1" applyFill="1" applyBorder="1" applyAlignment="1" applyProtection="1">
      <alignment horizontal="center"/>
    </xf>
    <xf numFmtId="0" fontId="64" fillId="29" borderId="10" xfId="0" applyFont="1" applyFill="1" applyBorder="1" applyAlignment="1" applyProtection="1">
      <alignment horizontal="center"/>
    </xf>
    <xf numFmtId="0" fontId="64" fillId="0" borderId="30" xfId="0" applyFont="1" applyFill="1" applyBorder="1" applyAlignment="1" applyProtection="1">
      <alignment horizontal="center"/>
    </xf>
    <xf numFmtId="0" fontId="0" fillId="43" borderId="0" xfId="0" applyFill="1" applyBorder="1" applyProtection="1"/>
    <xf numFmtId="0" fontId="30" fillId="22" borderId="0" xfId="0" applyFont="1" applyFill="1" applyBorder="1" applyAlignment="1" applyProtection="1">
      <alignment horizontal="left" vertical="top"/>
      <protection locked="0"/>
    </xf>
    <xf numFmtId="0" fontId="0" fillId="0" borderId="0" xfId="0" applyBorder="1" applyAlignment="1">
      <alignment horizontal="left" vertical="top"/>
    </xf>
    <xf numFmtId="0" fontId="34" fillId="22" borderId="0" xfId="0" applyFont="1" applyFill="1" applyBorder="1" applyAlignment="1" applyProtection="1">
      <alignment horizontal="left" vertical="top"/>
      <protection locked="0"/>
    </xf>
    <xf numFmtId="0" fontId="0" fillId="0" borderId="0" xfId="0" applyAlignment="1">
      <alignment vertical="top"/>
    </xf>
    <xf numFmtId="0" fontId="0" fillId="0" borderId="0" xfId="0" applyFill="1" applyBorder="1" applyAlignment="1">
      <alignment horizontal="left" vertical="top" wrapText="1"/>
    </xf>
    <xf numFmtId="0" fontId="0" fillId="0" borderId="0" xfId="0" applyFill="1" applyAlignment="1">
      <alignment vertical="top"/>
    </xf>
    <xf numFmtId="174" fontId="64" fillId="42" borderId="10" xfId="0" applyNumberFormat="1" applyFont="1" applyFill="1" applyBorder="1" applyAlignment="1" applyProtection="1">
      <alignment vertical="center"/>
      <protection locked="0"/>
    </xf>
    <xf numFmtId="0" fontId="157" fillId="0" borderId="42" xfId="0" applyFont="1" applyFill="1" applyBorder="1" applyAlignment="1" applyProtection="1">
      <alignment horizontal="center" wrapText="1"/>
    </xf>
    <xf numFmtId="174" fontId="28" fillId="0" borderId="10" xfId="0" applyNumberFormat="1" applyFont="1" applyBorder="1" applyAlignment="1" applyProtection="1">
      <alignment horizontal="center" vertical="center" wrapText="1"/>
    </xf>
    <xf numFmtId="3" fontId="64" fillId="22" borderId="10" xfId="0" quotePrefix="1" applyNumberFormat="1" applyFont="1" applyFill="1" applyBorder="1" applyAlignment="1" applyProtection="1">
      <alignment horizontal="center" vertical="center"/>
      <protection locked="0"/>
    </xf>
    <xf numFmtId="174" fontId="149" fillId="22" borderId="10" xfId="0" applyNumberFormat="1" applyFont="1" applyFill="1" applyBorder="1" applyAlignment="1" applyProtection="1">
      <alignment horizontal="center" vertical="center"/>
      <protection locked="0"/>
    </xf>
    <xf numFmtId="164" fontId="32" fillId="19" borderId="81" xfId="0" applyNumberFormat="1" applyFont="1" applyFill="1" applyBorder="1" applyAlignment="1" applyProtection="1">
      <alignment horizontal="center"/>
      <protection locked="0"/>
    </xf>
    <xf numFmtId="43" fontId="17" fillId="30"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5" fillId="0" borderId="0" xfId="0" applyFont="1" applyAlignment="1">
      <alignment horizontal="center"/>
    </xf>
    <xf numFmtId="0" fontId="126" fillId="0" borderId="0" xfId="0" applyFont="1" applyAlignment="1">
      <alignment horizontal="center"/>
    </xf>
    <xf numFmtId="0" fontId="0" fillId="0" borderId="116" xfId="0" applyBorder="1" applyAlignment="1">
      <alignment horizontal="center"/>
    </xf>
    <xf numFmtId="0" fontId="61" fillId="0" borderId="29" xfId="0" applyFont="1" applyBorder="1" applyAlignment="1">
      <alignment horizontal="left" vertical="center" wrapText="1"/>
    </xf>
    <xf numFmtId="0" fontId="61" fillId="0" borderId="46" xfId="0" applyFont="1" applyBorder="1" applyAlignment="1">
      <alignment horizontal="left" vertical="center" wrapText="1"/>
    </xf>
    <xf numFmtId="0" fontId="61" fillId="0" borderId="47" xfId="0" applyFont="1" applyBorder="1" applyAlignment="1">
      <alignment horizontal="left" vertical="center" wrapText="1"/>
    </xf>
    <xf numFmtId="0" fontId="0" fillId="0" borderId="116" xfId="0" applyBorder="1" applyAlignment="1">
      <alignment horizontal="center" wrapText="1"/>
    </xf>
    <xf numFmtId="0" fontId="0" fillId="0" borderId="0" xfId="0" applyBorder="1" applyAlignment="1">
      <alignment horizontal="center" wrapText="1"/>
    </xf>
    <xf numFmtId="0" fontId="83" fillId="24" borderId="29" xfId="0" applyFont="1" applyFill="1" applyBorder="1" applyAlignment="1">
      <alignment horizontal="center"/>
    </xf>
    <xf numFmtId="0" fontId="83" fillId="24" borderId="46" xfId="0" applyFont="1" applyFill="1" applyBorder="1" applyAlignment="1">
      <alignment horizontal="center"/>
    </xf>
    <xf numFmtId="0" fontId="83" fillId="24" borderId="47" xfId="0" applyFont="1" applyFill="1" applyBorder="1" applyAlignment="1">
      <alignment horizontal="center"/>
    </xf>
    <xf numFmtId="0" fontId="85" fillId="0" borderId="29" xfId="0" applyFont="1" applyBorder="1" applyAlignment="1">
      <alignment horizontal="justify" vertical="center" wrapText="1"/>
    </xf>
    <xf numFmtId="0" fontId="85" fillId="0" borderId="46" xfId="0" applyFont="1" applyBorder="1" applyAlignment="1">
      <alignment horizontal="justify" vertical="center" wrapText="1"/>
    </xf>
    <xf numFmtId="0" fontId="85" fillId="0" borderId="47" xfId="0" applyFont="1" applyBorder="1" applyAlignment="1">
      <alignment horizontal="justify" vertical="center" wrapText="1"/>
    </xf>
    <xf numFmtId="0" fontId="0" fillId="0" borderId="0" xfId="0" applyBorder="1" applyAlignment="1">
      <alignment horizontal="center"/>
    </xf>
    <xf numFmtId="0" fontId="82" fillId="0" borderId="0" xfId="0" applyFont="1" applyAlignment="1">
      <alignment horizontal="center"/>
    </xf>
    <xf numFmtId="43" fontId="17" fillId="31" borderId="0" xfId="47" applyFont="1" applyFill="1" applyAlignment="1" applyProtection="1">
      <alignment horizontal="center" vertical="center"/>
    </xf>
    <xf numFmtId="0" fontId="83" fillId="25" borderId="29" xfId="0" applyFont="1" applyFill="1" applyBorder="1" applyAlignment="1">
      <alignment horizontal="center"/>
    </xf>
    <xf numFmtId="0" fontId="83" fillId="25" borderId="46" xfId="0" applyFont="1" applyFill="1" applyBorder="1" applyAlignment="1">
      <alignment horizontal="center"/>
    </xf>
    <xf numFmtId="0" fontId="83" fillId="25" borderId="47" xfId="0" applyFont="1" applyFill="1" applyBorder="1" applyAlignment="1">
      <alignment horizontal="center"/>
    </xf>
    <xf numFmtId="9" fontId="85" fillId="0" borderId="29" xfId="56" applyFont="1" applyBorder="1" applyAlignment="1">
      <alignment horizontal="justify" vertical="center" wrapText="1"/>
    </xf>
    <xf numFmtId="9" fontId="85" fillId="0" borderId="46" xfId="56" applyFont="1" applyBorder="1" applyAlignment="1">
      <alignment horizontal="justify" vertical="center" wrapText="1"/>
    </xf>
    <xf numFmtId="9" fontId="85" fillId="0" borderId="47" xfId="56" applyFont="1" applyBorder="1" applyAlignment="1">
      <alignment horizontal="justify" vertical="center" wrapText="1"/>
    </xf>
    <xf numFmtId="43" fontId="84" fillId="0" borderId="29" xfId="0" applyNumberFormat="1" applyFont="1" applyBorder="1" applyAlignment="1">
      <alignment horizontal="left" vertical="center" wrapText="1"/>
    </xf>
    <xf numFmtId="0" fontId="84" fillId="0" borderId="46" xfId="0" applyFont="1" applyBorder="1" applyAlignment="1">
      <alignment horizontal="left" vertical="center" wrapText="1"/>
    </xf>
    <xf numFmtId="0" fontId="84" fillId="0" borderId="47" xfId="0" applyFont="1" applyBorder="1" applyAlignment="1">
      <alignment horizontal="left" vertical="center" wrapText="1"/>
    </xf>
    <xf numFmtId="0" fontId="84" fillId="0" borderId="46" xfId="0" applyFont="1" applyBorder="1" applyAlignment="1">
      <alignment horizontal="left" vertical="center"/>
    </xf>
    <xf numFmtId="0" fontId="84" fillId="0" borderId="47" xfId="0" applyFont="1" applyBorder="1" applyAlignment="1">
      <alignment horizontal="left" vertical="center"/>
    </xf>
    <xf numFmtId="43" fontId="84" fillId="0" borderId="29" xfId="0" applyNumberFormat="1" applyFont="1" applyBorder="1" applyAlignment="1">
      <alignment horizontal="justify" vertical="center" wrapText="1"/>
    </xf>
    <xf numFmtId="0" fontId="84" fillId="0" borderId="46" xfId="0" applyFont="1" applyBorder="1" applyAlignment="1">
      <alignment horizontal="justify" vertical="center"/>
    </xf>
    <xf numFmtId="0" fontId="84" fillId="0" borderId="47" xfId="0" applyFont="1" applyBorder="1" applyAlignment="1">
      <alignment horizontal="justify" vertical="center"/>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141" fillId="22" borderId="29" xfId="0" applyFont="1" applyFill="1" applyBorder="1" applyAlignment="1">
      <alignment horizontal="center" vertical="center" wrapText="1"/>
    </xf>
    <xf numFmtId="0" fontId="141" fillId="22" borderId="46" xfId="0" applyFont="1" applyFill="1" applyBorder="1" applyAlignment="1">
      <alignment horizontal="center" vertical="center"/>
    </xf>
    <xf numFmtId="0" fontId="141" fillId="22" borderId="47" xfId="0" applyFont="1" applyFill="1" applyBorder="1" applyAlignment="1">
      <alignment horizontal="center" vertical="center"/>
    </xf>
    <xf numFmtId="0" fontId="142" fillId="22" borderId="29" xfId="0" applyFont="1" applyFill="1" applyBorder="1" applyAlignment="1">
      <alignment horizontal="center" vertical="center"/>
    </xf>
    <xf numFmtId="0" fontId="142" fillId="22" borderId="46" xfId="0" applyFont="1" applyFill="1" applyBorder="1" applyAlignment="1">
      <alignment horizontal="center" vertical="center"/>
    </xf>
    <xf numFmtId="0" fontId="142" fillId="22" borderId="47" xfId="0" applyFont="1" applyFill="1" applyBorder="1" applyAlignment="1">
      <alignment horizontal="center" vertical="center"/>
    </xf>
    <xf numFmtId="0" fontId="24" fillId="0" borderId="29"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89" fillId="22" borderId="29" xfId="0" applyFont="1" applyFill="1" applyBorder="1" applyAlignment="1">
      <alignment horizontal="center" wrapText="1"/>
    </xf>
    <xf numFmtId="0" fontId="89" fillId="22" borderId="46" xfId="0" applyFont="1" applyFill="1" applyBorder="1" applyAlignment="1">
      <alignment horizontal="center" wrapText="1"/>
    </xf>
    <xf numFmtId="0" fontId="89" fillId="22" borderId="47" xfId="0" applyFont="1" applyFill="1" applyBorder="1" applyAlignment="1">
      <alignment horizontal="center" wrapText="1"/>
    </xf>
    <xf numFmtId="0" fontId="89" fillId="22" borderId="29" xfId="0" applyFont="1" applyFill="1" applyBorder="1" applyAlignment="1">
      <alignment horizontal="center"/>
    </xf>
    <xf numFmtId="0" fontId="89" fillId="22" borderId="46" xfId="0" applyFont="1" applyFill="1" applyBorder="1" applyAlignment="1">
      <alignment horizontal="center"/>
    </xf>
    <xf numFmtId="0" fontId="89" fillId="22" borderId="47" xfId="0" applyFont="1" applyFill="1" applyBorder="1" applyAlignment="1">
      <alignment horizontal="center"/>
    </xf>
    <xf numFmtId="0" fontId="137" fillId="0" borderId="29" xfId="0" applyFont="1" applyBorder="1" applyAlignment="1" applyProtection="1">
      <alignment horizontal="center" vertical="center" wrapText="1"/>
      <protection locked="0"/>
    </xf>
    <xf numFmtId="0" fontId="137" fillId="0" borderId="46" xfId="0" applyFont="1" applyBorder="1" applyAlignment="1" applyProtection="1">
      <alignment horizontal="center" vertical="center" wrapText="1"/>
      <protection locked="0"/>
    </xf>
    <xf numFmtId="0" fontId="137" fillId="0" borderId="47" xfId="0" applyFont="1" applyBorder="1" applyAlignment="1" applyProtection="1">
      <alignment horizontal="center" vertical="center" wrapText="1"/>
      <protection locked="0"/>
    </xf>
    <xf numFmtId="0" fontId="140" fillId="0" borderId="29" xfId="0" applyFont="1" applyBorder="1" applyAlignment="1" applyProtection="1">
      <alignment horizontal="left" vertical="center" wrapText="1"/>
      <protection locked="0"/>
    </xf>
    <xf numFmtId="0" fontId="137" fillId="0" borderId="46" xfId="0" applyFont="1" applyBorder="1" applyAlignment="1" applyProtection="1">
      <alignment horizontal="left" vertical="center" wrapText="1"/>
      <protection locked="0"/>
    </xf>
    <xf numFmtId="0" fontId="137" fillId="0" borderId="47" xfId="0" applyFont="1" applyBorder="1" applyAlignment="1" applyProtection="1">
      <alignment horizontal="left" vertical="center" wrapText="1"/>
      <protection locked="0"/>
    </xf>
    <xf numFmtId="0" fontId="137" fillId="0" borderId="29" xfId="0" applyFont="1" applyBorder="1" applyAlignment="1" applyProtection="1">
      <alignment horizontal="left" vertical="center" wrapText="1"/>
      <protection locked="0"/>
    </xf>
    <xf numFmtId="0" fontId="143" fillId="0" borderId="29" xfId="0" applyFont="1" applyBorder="1" applyAlignment="1" applyProtection="1">
      <alignment vertical="center" wrapText="1"/>
      <protection locked="0"/>
    </xf>
    <xf numFmtId="0" fontId="143" fillId="0" borderId="46" xfId="0" applyFont="1" applyBorder="1" applyAlignment="1" applyProtection="1">
      <alignment vertical="center" wrapText="1"/>
      <protection locked="0"/>
    </xf>
    <xf numFmtId="0" fontId="143" fillId="0" borderId="47" xfId="0" applyFont="1" applyBorder="1" applyAlignment="1" applyProtection="1">
      <alignment vertical="center" wrapText="1"/>
      <protection locked="0"/>
    </xf>
    <xf numFmtId="0" fontId="138" fillId="0" borderId="46" xfId="0" applyFont="1" applyBorder="1" applyAlignment="1" applyProtection="1">
      <alignment vertical="center" wrapText="1"/>
      <protection locked="0"/>
    </xf>
    <xf numFmtId="0" fontId="138" fillId="0" borderId="47" xfId="0" applyFont="1" applyBorder="1" applyAlignment="1" applyProtection="1">
      <alignment vertical="center" wrapText="1"/>
      <protection locked="0"/>
    </xf>
    <xf numFmtId="0" fontId="140" fillId="0" borderId="46" xfId="0" applyFont="1" applyBorder="1" applyAlignment="1" applyProtection="1">
      <alignment horizontal="left" vertical="center" wrapText="1"/>
      <protection locked="0"/>
    </xf>
    <xf numFmtId="0" fontId="140" fillId="0" borderId="47" xfId="0" applyFont="1" applyBorder="1" applyAlignment="1" applyProtection="1">
      <alignment horizontal="left" vertical="center" wrapText="1"/>
      <protection locked="0"/>
    </xf>
    <xf numFmtId="0" fontId="140" fillId="0" borderId="29" xfId="0" applyFont="1" applyBorder="1" applyAlignment="1" applyProtection="1">
      <alignment horizontal="justify" vertical="center" wrapText="1"/>
      <protection locked="0"/>
    </xf>
    <xf numFmtId="0" fontId="138" fillId="0" borderId="46" xfId="0" applyFont="1" applyBorder="1" applyAlignment="1" applyProtection="1">
      <alignment horizontal="justify" vertical="center" wrapText="1"/>
      <protection locked="0"/>
    </xf>
    <xf numFmtId="0" fontId="138" fillId="0" borderId="47" xfId="0" applyFont="1" applyBorder="1" applyAlignment="1" applyProtection="1">
      <alignment horizontal="justify" vertical="center" wrapText="1"/>
      <protection locked="0"/>
    </xf>
    <xf numFmtId="0" fontId="143" fillId="0" borderId="29" xfId="0" applyFont="1" applyFill="1" applyBorder="1" applyAlignment="1" applyProtection="1">
      <alignment vertical="center" wrapText="1"/>
      <protection locked="0"/>
    </xf>
    <xf numFmtId="0" fontId="143" fillId="0" borderId="46" xfId="0" applyFont="1" applyFill="1" applyBorder="1" applyAlignment="1" applyProtection="1">
      <alignment vertical="center" wrapText="1"/>
      <protection locked="0"/>
    </xf>
    <xf numFmtId="0" fontId="143" fillId="0" borderId="47" xfId="0" applyFont="1" applyFill="1" applyBorder="1" applyAlignment="1" applyProtection="1">
      <alignment vertical="center" wrapText="1"/>
      <protection locked="0"/>
    </xf>
    <xf numFmtId="0" fontId="84" fillId="0" borderId="46" xfId="0" applyFont="1" applyBorder="1" applyAlignment="1">
      <alignment horizontal="justify" vertical="center" wrapText="1"/>
    </xf>
    <xf numFmtId="0" fontId="84" fillId="0" borderId="47" xfId="0" applyFont="1" applyBorder="1" applyAlignment="1">
      <alignment horizontal="justify" vertical="center" wrapText="1"/>
    </xf>
    <xf numFmtId="0" fontId="61" fillId="0" borderId="29" xfId="0" applyFont="1" applyBorder="1" applyAlignment="1">
      <alignment horizontal="justify" vertical="center" wrapText="1"/>
    </xf>
    <xf numFmtId="43" fontId="84" fillId="0" borderId="117" xfId="0" applyNumberFormat="1" applyFont="1" applyBorder="1" applyAlignment="1">
      <alignment horizontal="left" vertical="center" wrapText="1"/>
    </xf>
    <xf numFmtId="0" fontId="84" fillId="0" borderId="116" xfId="0" applyFont="1" applyBorder="1" applyAlignment="1">
      <alignment horizontal="left" vertical="center" wrapText="1"/>
    </xf>
    <xf numFmtId="0" fontId="84" fillId="0" borderId="118" xfId="0" applyFont="1" applyBorder="1" applyAlignment="1">
      <alignment horizontal="left" vertical="center" wrapText="1"/>
    </xf>
    <xf numFmtId="0" fontId="84" fillId="0" borderId="67" xfId="0" applyFont="1" applyBorder="1" applyAlignment="1">
      <alignment horizontal="left" vertical="center" wrapText="1"/>
    </xf>
    <xf numFmtId="0" fontId="84" fillId="0" borderId="110" xfId="0" applyFont="1" applyBorder="1" applyAlignment="1">
      <alignment horizontal="left" vertical="center" wrapText="1"/>
    </xf>
    <xf numFmtId="0" fontId="84" fillId="0" borderId="112" xfId="0" applyFont="1" applyBorder="1" applyAlignment="1">
      <alignment horizontal="left" vertical="center" wrapText="1"/>
    </xf>
    <xf numFmtId="0" fontId="61" fillId="0" borderId="46" xfId="0" applyFont="1" applyBorder="1" applyAlignment="1">
      <alignment horizontal="justify" vertical="center" wrapText="1"/>
    </xf>
    <xf numFmtId="0" fontId="61" fillId="0" borderId="47" xfId="0" applyFont="1" applyBorder="1" applyAlignment="1">
      <alignment horizontal="justify" vertical="center" wrapText="1"/>
    </xf>
    <xf numFmtId="0" fontId="61" fillId="0" borderId="117" xfId="0" applyFont="1" applyBorder="1" applyAlignment="1">
      <alignment horizontal="justify" wrapText="1"/>
    </xf>
    <xf numFmtId="0" fontId="61" fillId="0" borderId="116" xfId="0" applyFont="1" applyBorder="1" applyAlignment="1">
      <alignment horizontal="justify" wrapText="1"/>
    </xf>
    <xf numFmtId="0" fontId="61" fillId="0" borderId="118" xfId="0" applyFont="1" applyBorder="1" applyAlignment="1">
      <alignment horizontal="justify" wrapText="1"/>
    </xf>
    <xf numFmtId="0" fontId="85" fillId="0" borderId="67" xfId="0" applyFont="1" applyBorder="1" applyAlignment="1">
      <alignment horizontal="justify" vertical="center" wrapText="1"/>
    </xf>
    <xf numFmtId="0" fontId="85" fillId="0" borderId="110" xfId="0" applyFont="1" applyBorder="1" applyAlignment="1">
      <alignment horizontal="justify" vertical="center" wrapText="1"/>
    </xf>
    <xf numFmtId="0" fontId="85" fillId="0" borderId="112" xfId="0" applyFont="1" applyBorder="1" applyAlignment="1">
      <alignment horizontal="justify" vertical="center" wrapText="1"/>
    </xf>
    <xf numFmtId="0" fontId="118" fillId="0" borderId="29" xfId="0" applyFont="1" applyBorder="1" applyAlignment="1">
      <alignment horizontal="justify" vertical="center" wrapText="1"/>
    </xf>
    <xf numFmtId="0" fontId="118" fillId="0" borderId="46" xfId="0" applyFont="1" applyBorder="1" applyAlignment="1">
      <alignment horizontal="justify" vertical="center" wrapText="1"/>
    </xf>
    <xf numFmtId="0" fontId="118" fillId="0" borderId="47" xfId="0" applyFont="1" applyBorder="1" applyAlignment="1">
      <alignment horizontal="justify" vertical="center" wrapText="1"/>
    </xf>
    <xf numFmtId="0" fontId="118" fillId="0" borderId="29" xfId="0" applyFont="1" applyBorder="1" applyAlignment="1">
      <alignment horizontal="left" vertical="center" wrapText="1"/>
    </xf>
    <xf numFmtId="0" fontId="115" fillId="0" borderId="46" xfId="0" applyFont="1" applyBorder="1" applyAlignment="1">
      <alignment horizontal="left" vertical="center" wrapText="1"/>
    </xf>
    <xf numFmtId="0" fontId="115" fillId="0" borderId="47" xfId="0" applyFont="1" applyBorder="1" applyAlignment="1">
      <alignment horizontal="left" vertical="center" wrapText="1"/>
    </xf>
    <xf numFmtId="0" fontId="61" fillId="0" borderId="117" xfId="0" applyFont="1" applyBorder="1" applyAlignment="1">
      <alignment horizontal="left" vertical="center" wrapText="1"/>
    </xf>
    <xf numFmtId="0" fontId="61" fillId="0" borderId="116" xfId="0" applyFont="1" applyBorder="1" applyAlignment="1">
      <alignment horizontal="left" vertical="center" wrapText="1"/>
    </xf>
    <xf numFmtId="0" fontId="61" fillId="0" borderId="118" xfId="0" applyFont="1" applyBorder="1" applyAlignment="1">
      <alignment horizontal="left" vertical="center" wrapText="1"/>
    </xf>
    <xf numFmtId="0" fontId="61" fillId="0" borderId="67" xfId="0" applyFont="1" applyBorder="1" applyAlignment="1">
      <alignment horizontal="left" vertical="center" wrapText="1"/>
    </xf>
    <xf numFmtId="0" fontId="61" fillId="0" borderId="110" xfId="0" applyFont="1" applyBorder="1" applyAlignment="1">
      <alignment horizontal="left" vertical="center" wrapText="1"/>
    </xf>
    <xf numFmtId="0" fontId="61" fillId="0" borderId="112" xfId="0" applyFont="1" applyBorder="1" applyAlignment="1">
      <alignment horizontal="left" vertical="center" wrapText="1"/>
    </xf>
    <xf numFmtId="0" fontId="138" fillId="0" borderId="46" xfId="0" applyFont="1" applyBorder="1" applyAlignment="1" applyProtection="1">
      <alignment horizontal="left" vertical="center" wrapText="1"/>
      <protection locked="0"/>
    </xf>
    <xf numFmtId="0" fontId="138" fillId="0" borderId="47" xfId="0" applyFont="1" applyBorder="1" applyAlignment="1" applyProtection="1">
      <alignment horizontal="left" vertical="center" wrapText="1"/>
      <protection locked="0"/>
    </xf>
    <xf numFmtId="0" fontId="138" fillId="22" borderId="29" xfId="0" applyFont="1" applyFill="1" applyBorder="1" applyAlignment="1">
      <alignment vertical="center" wrapText="1"/>
    </xf>
    <xf numFmtId="0" fontId="138" fillId="22" borderId="46" xfId="0" applyFont="1" applyFill="1" applyBorder="1" applyAlignment="1">
      <alignment vertical="center" wrapText="1"/>
    </xf>
    <xf numFmtId="0" fontId="138" fillId="22" borderId="47" xfId="0" applyFont="1" applyFill="1" applyBorder="1" applyAlignment="1">
      <alignment vertical="center" wrapText="1"/>
    </xf>
    <xf numFmtId="0" fontId="137" fillId="0" borderId="29" xfId="0" applyFont="1" applyBorder="1" applyAlignment="1" applyProtection="1">
      <alignment horizontal="justify" vertical="center" wrapText="1"/>
      <protection locked="0"/>
    </xf>
    <xf numFmtId="0" fontId="118" fillId="0" borderId="67" xfId="0" applyFont="1" applyBorder="1" applyAlignment="1">
      <alignment horizontal="justify" vertical="center" wrapText="1"/>
    </xf>
    <xf numFmtId="0" fontId="118" fillId="0" borderId="110" xfId="0" applyFont="1" applyBorder="1" applyAlignment="1">
      <alignment horizontal="justify" vertical="center" wrapText="1"/>
    </xf>
    <xf numFmtId="0" fontId="118" fillId="0" borderId="112" xfId="0" applyFont="1" applyBorder="1" applyAlignment="1">
      <alignment horizontal="justify" vertical="center" wrapText="1"/>
    </xf>
    <xf numFmtId="0" fontId="140" fillId="0" borderId="29" xfId="0" applyNumberFormat="1" applyFont="1" applyBorder="1" applyAlignment="1" applyProtection="1">
      <alignment horizontal="left" vertical="center" wrapText="1"/>
      <protection locked="0"/>
    </xf>
    <xf numFmtId="0" fontId="137" fillId="0" borderId="46" xfId="0" applyNumberFormat="1" applyFont="1" applyBorder="1" applyAlignment="1" applyProtection="1">
      <alignment horizontal="left" vertical="center" wrapText="1"/>
      <protection locked="0"/>
    </xf>
    <xf numFmtId="0" fontId="137" fillId="0" borderId="47" xfId="0" applyNumberFormat="1" applyFont="1" applyBorder="1" applyAlignment="1" applyProtection="1">
      <alignment horizontal="left" vertical="center" wrapText="1"/>
      <protection locked="0"/>
    </xf>
    <xf numFmtId="0" fontId="84" fillId="0" borderId="29" xfId="0" applyFont="1" applyBorder="1" applyAlignment="1" applyProtection="1">
      <alignment vertical="center" wrapText="1"/>
      <protection locked="0"/>
    </xf>
    <xf numFmtId="0" fontId="84" fillId="0" borderId="46" xfId="0" applyFont="1" applyBorder="1" applyAlignment="1" applyProtection="1">
      <alignment vertical="center" wrapText="1"/>
      <protection locked="0"/>
    </xf>
    <xf numFmtId="0" fontId="84" fillId="0" borderId="47" xfId="0" applyFont="1" applyBorder="1" applyAlignment="1" applyProtection="1">
      <alignment vertical="center" wrapText="1"/>
      <protection locked="0"/>
    </xf>
    <xf numFmtId="0" fontId="61" fillId="0" borderId="29" xfId="0" applyFont="1" applyBorder="1" applyAlignment="1" applyProtection="1">
      <alignment horizontal="left" vertical="center" wrapText="1"/>
      <protection locked="0"/>
    </xf>
    <xf numFmtId="0" fontId="61" fillId="0" borderId="46" xfId="0" applyFont="1" applyBorder="1" applyAlignment="1" applyProtection="1">
      <alignment horizontal="left" vertical="center" wrapText="1"/>
      <protection locked="0"/>
    </xf>
    <xf numFmtId="0" fontId="61" fillId="0" borderId="47" xfId="0" applyFont="1" applyBorder="1" applyAlignment="1" applyProtection="1">
      <alignment horizontal="left" vertical="center" wrapText="1"/>
      <protection locked="0"/>
    </xf>
    <xf numFmtId="0" fontId="61" fillId="0" borderId="29" xfId="0" applyFont="1" applyBorder="1" applyAlignment="1" applyProtection="1">
      <alignment horizontal="justify" vertical="center" wrapText="1"/>
      <protection locked="0"/>
    </xf>
    <xf numFmtId="0" fontId="85" fillId="0" borderId="46" xfId="0" applyFont="1" applyBorder="1" applyAlignment="1" applyProtection="1">
      <alignment horizontal="justify" vertical="center" wrapText="1"/>
      <protection locked="0"/>
    </xf>
    <xf numFmtId="0" fontId="85" fillId="0" borderId="47" xfId="0" applyFont="1" applyBorder="1" applyAlignment="1" applyProtection="1">
      <alignment horizontal="justify" vertical="center" wrapText="1"/>
      <protection locked="0"/>
    </xf>
    <xf numFmtId="0" fontId="93" fillId="0" borderId="29" xfId="0" applyFont="1" applyFill="1" applyBorder="1" applyAlignment="1" applyProtection="1">
      <alignment vertical="center" wrapText="1"/>
      <protection locked="0"/>
    </xf>
    <xf numFmtId="0" fontId="93" fillId="0" borderId="46" xfId="0" applyFont="1" applyFill="1" applyBorder="1" applyAlignment="1" applyProtection="1">
      <alignment vertical="center" wrapText="1"/>
      <protection locked="0"/>
    </xf>
    <xf numFmtId="0" fontId="93" fillId="0" borderId="47" xfId="0" applyFont="1" applyFill="1" applyBorder="1" applyAlignment="1" applyProtection="1">
      <alignment vertical="center" wrapText="1"/>
      <protection locked="0"/>
    </xf>
    <xf numFmtId="0" fontId="138" fillId="0" borderId="46" xfId="0" applyFont="1" applyFill="1" applyBorder="1" applyAlignment="1" applyProtection="1">
      <alignment vertical="center" wrapText="1"/>
      <protection locked="0"/>
    </xf>
    <xf numFmtId="0" fontId="138" fillId="0" borderId="47" xfId="0" applyFont="1" applyFill="1" applyBorder="1" applyAlignment="1" applyProtection="1">
      <alignment vertical="center" wrapText="1"/>
      <protection locked="0"/>
    </xf>
    <xf numFmtId="0" fontId="64" fillId="0" borderId="120" xfId="0" applyFont="1" applyFill="1" applyBorder="1" applyAlignment="1" applyProtection="1">
      <alignment horizontal="center" vertical="center" wrapText="1"/>
    </xf>
    <xf numFmtId="0" fontId="64" fillId="0" borderId="133" xfId="0" applyFont="1" applyFill="1" applyBorder="1" applyAlignment="1" applyProtection="1">
      <alignment horizontal="center" vertical="center" wrapText="1"/>
    </xf>
    <xf numFmtId="49" fontId="139" fillId="23" borderId="132" xfId="0" applyNumberFormat="1" applyFont="1" applyFill="1" applyBorder="1" applyAlignment="1" applyProtection="1">
      <alignment horizontal="left" vertical="center" wrapText="1"/>
      <protection locked="0"/>
    </xf>
    <xf numFmtId="49" fontId="139" fillId="23" borderId="10" xfId="0" applyNumberFormat="1" applyFont="1" applyFill="1" applyBorder="1" applyAlignment="1" applyProtection="1">
      <alignment horizontal="left" vertical="center" wrapText="1"/>
      <protection locked="0"/>
    </xf>
    <xf numFmtId="49" fontId="139" fillId="23" borderId="29" xfId="0" applyNumberFormat="1" applyFont="1" applyFill="1" applyBorder="1" applyAlignment="1" applyProtection="1">
      <alignment horizontal="left" vertical="center" wrapText="1"/>
      <protection locked="0"/>
    </xf>
    <xf numFmtId="0" fontId="64" fillId="0" borderId="47" xfId="0" applyFont="1" applyFill="1" applyBorder="1" applyAlignment="1" applyProtection="1">
      <alignment horizontal="center" vertical="center" wrapText="1"/>
    </xf>
    <xf numFmtId="0" fontId="64" fillId="0" borderId="119" xfId="0" applyFont="1" applyFill="1" applyBorder="1" applyAlignment="1" applyProtection="1">
      <alignment horizontal="center" vertical="center" wrapText="1"/>
    </xf>
    <xf numFmtId="0" fontId="139" fillId="22" borderId="120" xfId="0" applyNumberFormat="1" applyFont="1" applyFill="1" applyBorder="1" applyAlignment="1" applyProtection="1">
      <alignment horizontal="center" vertical="center" wrapText="1"/>
      <protection locked="0"/>
    </xf>
    <xf numFmtId="0" fontId="139" fillId="22" borderId="47" xfId="0" applyNumberFormat="1" applyFont="1" applyFill="1" applyBorder="1" applyAlignment="1" applyProtection="1">
      <alignment horizontal="center" vertical="center" wrapText="1"/>
      <protection locked="0"/>
    </xf>
    <xf numFmtId="0" fontId="139" fillId="23" borderId="120" xfId="0" applyNumberFormat="1" applyFont="1" applyFill="1" applyBorder="1" applyAlignment="1" applyProtection="1">
      <alignment horizontal="center" vertical="center" wrapText="1"/>
      <protection locked="0"/>
    </xf>
    <xf numFmtId="49" fontId="139" fillId="23" borderId="47" xfId="0" applyNumberFormat="1" applyFont="1" applyFill="1" applyBorder="1" applyAlignment="1" applyProtection="1">
      <alignment horizontal="center" vertical="center" wrapText="1"/>
      <protection locked="0"/>
    </xf>
    <xf numFmtId="49" fontId="139" fillId="23" borderId="119" xfId="0" applyNumberFormat="1" applyFont="1" applyFill="1" applyBorder="1" applyAlignment="1" applyProtection="1">
      <alignment horizontal="center" vertical="center" wrapText="1"/>
      <protection locked="0"/>
    </xf>
    <xf numFmtId="0" fontId="139" fillId="28" borderId="120" xfId="0" applyNumberFormat="1" applyFont="1" applyFill="1" applyBorder="1" applyAlignment="1" applyProtection="1">
      <alignment horizontal="center" vertical="center" wrapText="1"/>
      <protection locked="0"/>
    </xf>
    <xf numFmtId="0" fontId="64" fillId="0" borderId="109" xfId="0" applyFont="1" applyFill="1" applyBorder="1" applyAlignment="1" applyProtection="1">
      <alignment horizontal="left" vertical="center" wrapText="1"/>
    </xf>
    <xf numFmtId="0" fontId="64" fillId="0" borderId="110" xfId="0" applyFont="1" applyFill="1" applyBorder="1" applyAlignment="1" applyProtection="1">
      <alignment horizontal="left" vertical="center" wrapText="1"/>
    </xf>
    <xf numFmtId="0" fontId="64" fillId="0" borderId="114" xfId="0" applyFont="1" applyFill="1" applyBorder="1" applyAlignment="1" applyProtection="1">
      <alignment horizontal="left" vertical="center" wrapText="1"/>
    </xf>
    <xf numFmtId="0" fontId="64" fillId="0" borderId="129" xfId="0" applyFont="1" applyFill="1" applyBorder="1" applyAlignment="1" applyProtection="1">
      <alignment horizontal="left" vertical="center" wrapText="1"/>
    </xf>
    <xf numFmtId="0" fontId="64" fillId="0" borderId="130" xfId="0" applyFont="1" applyFill="1" applyBorder="1" applyAlignment="1" applyProtection="1">
      <alignment horizontal="left" vertical="center" wrapText="1"/>
    </xf>
    <xf numFmtId="0" fontId="64" fillId="0" borderId="131" xfId="0" applyFont="1" applyFill="1" applyBorder="1" applyAlignment="1" applyProtection="1">
      <alignment horizontal="left" vertical="center" wrapText="1"/>
    </xf>
    <xf numFmtId="49" fontId="139" fillId="38" borderId="132" xfId="0" applyNumberFormat="1" applyFont="1" applyFill="1" applyBorder="1" applyAlignment="1" applyProtection="1">
      <alignment horizontal="left" vertical="center" wrapText="1"/>
      <protection locked="0"/>
    </xf>
    <xf numFmtId="49" fontId="139" fillId="38" borderId="10" xfId="0" applyNumberFormat="1" applyFont="1" applyFill="1" applyBorder="1" applyAlignment="1" applyProtection="1">
      <alignment horizontal="left" vertical="center" wrapText="1"/>
      <protection locked="0"/>
    </xf>
    <xf numFmtId="49" fontId="139" fillId="38" borderId="29" xfId="0" applyNumberFormat="1" applyFont="1" applyFill="1" applyBorder="1" applyAlignment="1" applyProtection="1">
      <alignment horizontal="left" vertical="center" wrapText="1"/>
      <protection locked="0"/>
    </xf>
    <xf numFmtId="0" fontId="64" fillId="29" borderId="120" xfId="0" applyFont="1" applyFill="1" applyBorder="1" applyAlignment="1" applyProtection="1">
      <alignment horizontal="center" vertical="center" wrapText="1"/>
    </xf>
    <xf numFmtId="49" fontId="139" fillId="41" borderId="132" xfId="0" applyNumberFormat="1" applyFont="1" applyFill="1" applyBorder="1" applyAlignment="1" applyProtection="1">
      <alignment horizontal="left" vertical="center" wrapText="1"/>
      <protection locked="0"/>
    </xf>
    <xf numFmtId="49" fontId="139" fillId="41" borderId="10" xfId="0" applyNumberFormat="1" applyFont="1" applyFill="1" applyBorder="1" applyAlignment="1" applyProtection="1">
      <alignment horizontal="left" vertical="center" wrapText="1"/>
      <protection locked="0"/>
    </xf>
    <xf numFmtId="49" fontId="139" fillId="41" borderId="29" xfId="0" applyNumberFormat="1" applyFont="1" applyFill="1" applyBorder="1" applyAlignment="1" applyProtection="1">
      <alignment horizontal="left" vertical="center" wrapText="1"/>
      <protection locked="0"/>
    </xf>
    <xf numFmtId="0" fontId="64" fillId="0" borderId="139" xfId="0" applyFont="1" applyFill="1" applyBorder="1" applyAlignment="1" applyProtection="1">
      <alignment horizontal="left" vertical="center" wrapText="1"/>
    </xf>
    <xf numFmtId="0" fontId="64" fillId="0" borderId="140" xfId="0" applyFont="1" applyFill="1" applyBorder="1" applyAlignment="1" applyProtection="1">
      <alignment horizontal="left" vertical="center" wrapText="1"/>
    </xf>
    <xf numFmtId="0" fontId="64" fillId="0" borderId="141" xfId="0" applyFont="1" applyFill="1" applyBorder="1" applyAlignment="1" applyProtection="1">
      <alignment horizontal="left" vertical="center" wrapText="1"/>
    </xf>
    <xf numFmtId="0" fontId="64" fillId="0" borderId="142" xfId="0" applyFont="1" applyFill="1" applyBorder="1" applyAlignment="1" applyProtection="1">
      <alignment horizontal="left" vertical="center" wrapText="1"/>
    </xf>
    <xf numFmtId="0" fontId="64" fillId="0" borderId="46" xfId="0" applyFont="1" applyFill="1" applyBorder="1" applyAlignment="1" applyProtection="1">
      <alignment horizontal="left" vertical="center" wrapText="1"/>
    </xf>
    <xf numFmtId="0" fontId="64" fillId="0" borderId="143" xfId="0" applyFont="1" applyFill="1" applyBorder="1" applyAlignment="1" applyProtection="1">
      <alignment horizontal="left" vertical="center" wrapText="1"/>
    </xf>
    <xf numFmtId="9" fontId="33" fillId="0" borderId="121" xfId="56" applyFont="1" applyFill="1" applyBorder="1" applyAlignment="1" applyProtection="1">
      <alignment horizontal="center" vertical="center"/>
    </xf>
    <xf numFmtId="9" fontId="33" fillId="0" borderId="122" xfId="56" applyFont="1" applyFill="1" applyBorder="1" applyAlignment="1" applyProtection="1">
      <alignment horizontal="center" vertical="center"/>
    </xf>
    <xf numFmtId="9" fontId="33" fillId="0" borderId="123" xfId="56" applyFont="1" applyFill="1" applyBorder="1" applyAlignment="1" applyProtection="1">
      <alignment horizontal="center" vertical="center"/>
    </xf>
    <xf numFmtId="49" fontId="139" fillId="22" borderId="47" xfId="0" applyNumberFormat="1" applyFont="1" applyFill="1" applyBorder="1" applyAlignment="1" applyProtection="1">
      <alignment horizontal="center" vertical="center" wrapText="1"/>
      <protection locked="0"/>
    </xf>
    <xf numFmtId="49" fontId="139" fillId="23" borderId="124" xfId="0" applyNumberFormat="1" applyFont="1" applyFill="1" applyBorder="1" applyAlignment="1" applyProtection="1">
      <alignment horizontal="center" vertical="center" wrapText="1"/>
      <protection locked="0"/>
    </xf>
    <xf numFmtId="49" fontId="139" fillId="23" borderId="125" xfId="0" applyNumberFormat="1" applyFont="1" applyFill="1" applyBorder="1" applyAlignment="1" applyProtection="1">
      <alignment horizontal="center" vertical="center" wrapText="1"/>
      <protection locked="0"/>
    </xf>
    <xf numFmtId="0" fontId="0" fillId="32" borderId="126" xfId="0" applyFill="1" applyBorder="1" applyAlignment="1" applyProtection="1">
      <alignment horizontal="center"/>
    </xf>
    <xf numFmtId="0" fontId="0" fillId="32" borderId="127" xfId="0" applyFill="1" applyBorder="1" applyAlignment="1" applyProtection="1">
      <alignment horizontal="center"/>
    </xf>
    <xf numFmtId="0" fontId="0" fillId="32" borderId="128" xfId="0" applyFill="1" applyBorder="1" applyAlignment="1" applyProtection="1">
      <alignment horizontal="center"/>
    </xf>
    <xf numFmtId="49" fontId="139" fillId="22" borderId="124" xfId="0" applyNumberFormat="1" applyFont="1" applyFill="1" applyBorder="1" applyAlignment="1" applyProtection="1">
      <alignment horizontal="center" vertical="center" wrapText="1"/>
      <protection locked="0"/>
    </xf>
    <xf numFmtId="49" fontId="139" fillId="22" borderId="125" xfId="0" applyNumberFormat="1" applyFont="1" applyFill="1" applyBorder="1" applyAlignment="1" applyProtection="1">
      <alignment horizontal="center" vertical="center" wrapText="1"/>
      <protection locked="0"/>
    </xf>
    <xf numFmtId="0" fontId="0" fillId="22" borderId="29" xfId="0" applyFill="1" applyBorder="1" applyAlignment="1" applyProtection="1">
      <alignment horizontal="center"/>
    </xf>
    <xf numFmtId="0" fontId="0" fillId="22" borderId="47" xfId="0" applyFill="1" applyBorder="1" applyAlignment="1" applyProtection="1">
      <alignment horizontal="center"/>
    </xf>
    <xf numFmtId="43" fontId="59" fillId="31" borderId="0" xfId="39"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49" xfId="0" applyNumberFormat="1" applyFont="1" applyBorder="1" applyAlignment="1" applyProtection="1">
      <alignment horizontal="center"/>
    </xf>
    <xf numFmtId="0" fontId="73" fillId="0" borderId="139" xfId="0" applyFont="1" applyFill="1" applyBorder="1" applyAlignment="1" applyProtection="1">
      <alignment horizontal="center" vertical="center"/>
    </xf>
    <xf numFmtId="0" fontId="73" fillId="0" borderId="140" xfId="0" applyFont="1" applyFill="1" applyBorder="1" applyAlignment="1" applyProtection="1">
      <alignment horizontal="center" vertical="center"/>
    </xf>
    <xf numFmtId="0" fontId="73" fillId="0" borderId="141" xfId="0" applyFont="1" applyFill="1" applyBorder="1" applyAlignment="1" applyProtection="1">
      <alignment horizontal="center" vertical="center"/>
    </xf>
    <xf numFmtId="0" fontId="110" fillId="0" borderId="0" xfId="0" applyFont="1" applyAlignment="1" applyProtection="1">
      <alignment horizontal="right"/>
    </xf>
    <xf numFmtId="0" fontId="64" fillId="29" borderId="142" xfId="0" applyFont="1" applyFill="1" applyBorder="1" applyAlignment="1" applyProtection="1">
      <alignment horizontal="left" vertical="center" wrapText="1"/>
    </xf>
    <xf numFmtId="0" fontId="64" fillId="29" borderId="46" xfId="0" applyFont="1" applyFill="1" applyBorder="1" applyAlignment="1" applyProtection="1">
      <alignment horizontal="left" vertical="center" wrapText="1"/>
    </xf>
    <xf numFmtId="0" fontId="64" fillId="29" borderId="143" xfId="0" applyFont="1" applyFill="1" applyBorder="1" applyAlignment="1" applyProtection="1">
      <alignment horizontal="left" vertical="center" wrapText="1"/>
    </xf>
    <xf numFmtId="49" fontId="139" fillId="28" borderId="132" xfId="0" applyNumberFormat="1" applyFont="1" applyFill="1" applyBorder="1" applyAlignment="1" applyProtection="1">
      <alignment horizontal="left" vertical="center" wrapText="1"/>
      <protection locked="0"/>
    </xf>
    <xf numFmtId="49" fontId="139" fillId="28" borderId="10" xfId="0" applyNumberFormat="1" applyFont="1" applyFill="1" applyBorder="1" applyAlignment="1" applyProtection="1">
      <alignment horizontal="left" vertical="center" wrapText="1"/>
      <protection locked="0"/>
    </xf>
    <xf numFmtId="49" fontId="139" fillId="28" borderId="29" xfId="0" applyNumberFormat="1" applyFont="1" applyFill="1" applyBorder="1" applyAlignment="1" applyProtection="1">
      <alignment horizontal="left" vertical="center" wrapText="1"/>
      <protection locked="0"/>
    </xf>
    <xf numFmtId="49" fontId="139" fillId="37" borderId="132" xfId="0" applyNumberFormat="1" applyFont="1" applyFill="1" applyBorder="1" applyAlignment="1" applyProtection="1">
      <alignment horizontal="left" vertical="center" wrapText="1"/>
      <protection locked="0"/>
    </xf>
    <xf numFmtId="49" fontId="139" fillId="37" borderId="10" xfId="0" applyNumberFormat="1" applyFont="1" applyFill="1" applyBorder="1" applyAlignment="1" applyProtection="1">
      <alignment horizontal="left" vertical="center" wrapText="1"/>
      <protection locked="0"/>
    </xf>
    <xf numFmtId="49" fontId="139" fillId="37" borderId="29" xfId="0" applyNumberFormat="1" applyFont="1" applyFill="1" applyBorder="1" applyAlignment="1" applyProtection="1">
      <alignment horizontal="left" vertical="center" wrapText="1"/>
      <protection locked="0"/>
    </xf>
    <xf numFmtId="49" fontId="64" fillId="23" borderId="132" xfId="0" applyNumberFormat="1" applyFont="1" applyFill="1" applyBorder="1" applyAlignment="1" applyProtection="1">
      <alignment horizontal="left" vertical="center" wrapText="1"/>
      <protection locked="0"/>
    </xf>
    <xf numFmtId="0" fontId="64" fillId="29" borderId="47" xfId="0" applyFont="1" applyFill="1" applyBorder="1" applyAlignment="1" applyProtection="1">
      <alignment horizontal="center" vertical="center" wrapText="1"/>
    </xf>
    <xf numFmtId="49" fontId="0" fillId="0" borderId="29" xfId="0" applyNumberFormat="1" applyBorder="1" applyAlignment="1" applyProtection="1">
      <alignment horizontal="center"/>
      <protection locked="0"/>
    </xf>
    <xf numFmtId="49" fontId="0" fillId="0" borderId="47" xfId="0" applyNumberFormat="1" applyBorder="1" applyAlignment="1" applyProtection="1">
      <alignment horizontal="center"/>
      <protection locked="0"/>
    </xf>
    <xf numFmtId="49" fontId="0" fillId="0" borderId="29" xfId="0" applyNumberFormat="1" applyBorder="1" applyAlignment="1" applyProtection="1">
      <alignment horizontal="justify" wrapText="1"/>
      <protection locked="0"/>
    </xf>
    <xf numFmtId="49" fontId="0" fillId="0" borderId="46" xfId="0" applyNumberFormat="1" applyBorder="1" applyAlignment="1" applyProtection="1">
      <alignment horizontal="justify" wrapText="1"/>
      <protection locked="0"/>
    </xf>
    <xf numFmtId="49" fontId="0" fillId="0" borderId="47" xfId="0" applyNumberFormat="1" applyBorder="1" applyAlignment="1" applyProtection="1">
      <alignment horizontal="justify" wrapText="1"/>
      <protection locked="0"/>
    </xf>
    <xf numFmtId="0" fontId="110" fillId="0" borderId="51" xfId="0" applyFont="1" applyBorder="1" applyAlignment="1" applyProtection="1">
      <alignment horizontal="right"/>
    </xf>
    <xf numFmtId="0" fontId="110" fillId="0" borderId="144" xfId="0" applyFont="1" applyBorder="1" applyAlignment="1" applyProtection="1">
      <alignment horizontal="right"/>
    </xf>
    <xf numFmtId="3" fontId="154" fillId="0" borderId="29" xfId="0" applyNumberFormat="1" applyFont="1" applyFill="1" applyBorder="1" applyAlignment="1" applyProtection="1">
      <alignment horizontal="center"/>
      <protection locked="0"/>
    </xf>
    <xf numFmtId="3" fontId="154" fillId="0" borderId="47" xfId="0" applyNumberFormat="1" applyFon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6" xfId="0" applyNumberFormat="1" applyBorder="1" applyAlignment="1" applyProtection="1">
      <alignment horizontal="center"/>
      <protection locked="0"/>
    </xf>
    <xf numFmtId="15" fontId="123" fillId="0" borderId="10" xfId="58" applyNumberFormat="1" applyFont="1" applyFill="1" applyBorder="1" applyAlignment="1" applyProtection="1">
      <alignment horizontal="center"/>
      <protection locked="0"/>
    </xf>
    <xf numFmtId="15" fontId="136" fillId="0" borderId="10" xfId="58" applyNumberFormat="1" applyFill="1" applyBorder="1" applyAlignment="1" applyProtection="1">
      <alignment horizontal="center"/>
      <protection locked="0"/>
    </xf>
    <xf numFmtId="43" fontId="15" fillId="36" borderId="10" xfId="58" applyFont="1" applyFill="1" applyBorder="1" applyAlignment="1" applyProtection="1">
      <alignment horizontal="center"/>
      <protection locked="0"/>
    </xf>
    <xf numFmtId="49" fontId="14" fillId="0" borderId="2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0" fillId="0" borderId="0" xfId="0" applyFont="1" applyBorder="1" applyAlignment="1" applyProtection="1">
      <alignment horizontal="right"/>
    </xf>
    <xf numFmtId="0" fontId="0" fillId="0" borderId="134" xfId="0" applyBorder="1" applyAlignment="1" applyProtection="1">
      <alignment horizontal="center"/>
    </xf>
    <xf numFmtId="0" fontId="0" fillId="0" borderId="21" xfId="0" applyBorder="1" applyAlignment="1" applyProtection="1">
      <alignment horizontal="center"/>
    </xf>
    <xf numFmtId="0" fontId="80" fillId="0" borderId="135" xfId="0" applyFont="1" applyBorder="1" applyAlignment="1" applyProtection="1">
      <alignment horizontal="right"/>
    </xf>
    <xf numFmtId="0" fontId="119" fillId="0" borderId="135" xfId="0" applyFont="1" applyBorder="1" applyAlignment="1"/>
    <xf numFmtId="0" fontId="0" fillId="19" borderId="145" xfId="0" applyFill="1" applyBorder="1" applyAlignment="1" applyProtection="1">
      <alignment horizontal="center" vertical="center" textRotation="90"/>
    </xf>
    <xf numFmtId="43" fontId="14" fillId="0" borderId="146" xfId="0" applyNumberFormat="1" applyFont="1" applyBorder="1" applyAlignment="1" applyProtection="1">
      <alignment horizontal="center"/>
    </xf>
    <xf numFmtId="0" fontId="14" fillId="0" borderId="147" xfId="0" applyFont="1" applyBorder="1" applyAlignment="1" applyProtection="1">
      <alignment horizontal="center"/>
    </xf>
    <xf numFmtId="0" fontId="14" fillId="0" borderId="148" xfId="0" applyFont="1" applyBorder="1" applyAlignment="1" applyProtection="1">
      <alignment horizontal="center"/>
    </xf>
    <xf numFmtId="49" fontId="139" fillId="22" borderId="125" xfId="0" applyNumberFormat="1" applyFont="1" applyFill="1" applyBorder="1" applyAlignment="1" applyProtection="1">
      <alignment horizontal="left" vertical="center" wrapText="1"/>
      <protection locked="0"/>
    </xf>
    <xf numFmtId="49" fontId="139" fillId="22" borderId="113" xfId="0" applyNumberFormat="1" applyFont="1" applyFill="1" applyBorder="1" applyAlignment="1" applyProtection="1">
      <alignment horizontal="left" vertical="center" wrapText="1"/>
      <protection locked="0"/>
    </xf>
    <xf numFmtId="49" fontId="139" fillId="22" borderId="67" xfId="0" applyNumberFormat="1" applyFont="1" applyFill="1" applyBorder="1" applyAlignment="1" applyProtection="1">
      <alignment horizontal="left" vertical="center" wrapText="1"/>
      <protection locked="0"/>
    </xf>
    <xf numFmtId="49" fontId="139" fillId="22" borderId="132" xfId="0" applyNumberFormat="1" applyFont="1" applyFill="1" applyBorder="1" applyAlignment="1" applyProtection="1">
      <alignment horizontal="left" vertical="center" wrapText="1"/>
      <protection locked="0"/>
    </xf>
    <xf numFmtId="49" fontId="139" fillId="22" borderId="10" xfId="0" applyNumberFormat="1" applyFont="1" applyFill="1" applyBorder="1" applyAlignment="1" applyProtection="1">
      <alignment horizontal="left" vertical="center" wrapText="1"/>
      <protection locked="0"/>
    </xf>
    <xf numFmtId="49" fontId="139" fillId="22" borderId="29"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139" fillId="28" borderId="47" xfId="0" applyNumberFormat="1" applyFont="1" applyFill="1" applyBorder="1" applyAlignment="1" applyProtection="1">
      <alignment horizontal="center" vertical="center" wrapText="1"/>
      <protection locked="0"/>
    </xf>
    <xf numFmtId="49" fontId="139" fillId="33" borderId="132" xfId="0" applyNumberFormat="1" applyFont="1" applyFill="1" applyBorder="1" applyAlignment="1" applyProtection="1">
      <alignment horizontal="left" vertical="center" wrapText="1"/>
      <protection locked="0"/>
    </xf>
    <xf numFmtId="49" fontId="139" fillId="33" borderId="10" xfId="0" applyNumberFormat="1" applyFont="1" applyFill="1" applyBorder="1" applyAlignment="1" applyProtection="1">
      <alignment horizontal="left" vertical="center" wrapText="1"/>
      <protection locked="0"/>
    </xf>
    <xf numFmtId="49" fontId="139" fillId="33" borderId="29" xfId="0" applyNumberFormat="1" applyFont="1" applyFill="1" applyBorder="1" applyAlignment="1" applyProtection="1">
      <alignment horizontal="left" vertical="center" wrapText="1"/>
      <protection locked="0"/>
    </xf>
    <xf numFmtId="0" fontId="0" fillId="0" borderId="136" xfId="0" applyFill="1" applyBorder="1" applyAlignment="1" applyProtection="1">
      <alignment horizontal="center" vertical="center"/>
      <protection locked="0"/>
    </xf>
    <xf numFmtId="0" fontId="0" fillId="0" borderId="137" xfId="0" applyFill="1" applyBorder="1" applyAlignment="1" applyProtection="1">
      <alignment horizontal="center" vertical="center"/>
      <protection locked="0"/>
    </xf>
    <xf numFmtId="0" fontId="0" fillId="0" borderId="138" xfId="0" applyFill="1" applyBorder="1" applyAlignment="1" applyProtection="1">
      <alignment horizontal="center" vertical="center"/>
      <protection locked="0"/>
    </xf>
    <xf numFmtId="49" fontId="139" fillId="28" borderId="124" xfId="0" applyNumberFormat="1" applyFont="1" applyFill="1" applyBorder="1" applyAlignment="1" applyProtection="1">
      <alignment horizontal="center" vertical="center" wrapText="1"/>
      <protection locked="0"/>
    </xf>
    <xf numFmtId="49" fontId="139" fillId="28" borderId="125" xfId="0" applyNumberFormat="1" applyFont="1" applyFill="1" applyBorder="1" applyAlignment="1" applyProtection="1">
      <alignment horizontal="center" vertical="center" wrapText="1"/>
      <protection locked="0"/>
    </xf>
    <xf numFmtId="43" fontId="24" fillId="24" borderId="43" xfId="58" applyFont="1" applyFill="1" applyBorder="1" applyAlignment="1" applyProtection="1">
      <alignment horizontal="center"/>
    </xf>
    <xf numFmtId="43" fontId="1" fillId="0" borderId="43" xfId="58" applyFont="1" applyFill="1" applyBorder="1" applyAlignment="1" applyProtection="1">
      <alignment horizontal="right"/>
    </xf>
    <xf numFmtId="43" fontId="113" fillId="30"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0" fontId="0" fillId="0" borderId="43" xfId="0" applyBorder="1" applyAlignment="1"/>
    <xf numFmtId="43" fontId="101" fillId="31" borderId="0" xfId="39" applyFont="1" applyFill="1" applyAlignment="1" applyProtection="1">
      <alignment horizontal="center" vertical="center"/>
    </xf>
    <xf numFmtId="43" fontId="33" fillId="24" borderId="0" xfId="50" applyFont="1" applyFill="1" applyAlignment="1" applyProtection="1">
      <alignment horizontal="center" vertical="center" wrapText="1"/>
    </xf>
    <xf numFmtId="172" fontId="24" fillId="24" borderId="43" xfId="58" applyNumberFormat="1" applyFont="1" applyFill="1" applyBorder="1" applyAlignment="1" applyProtection="1">
      <alignment horizontal="center" vertical="center"/>
    </xf>
    <xf numFmtId="43" fontId="1" fillId="0" borderId="43" xfId="58" applyFont="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0" fontId="107" fillId="0" borderId="0" xfId="0" applyFont="1" applyAlignment="1" applyProtection="1">
      <alignment horizontal="center"/>
    </xf>
    <xf numFmtId="43" fontId="106" fillId="0" borderId="126" xfId="0" applyNumberFormat="1" applyFont="1" applyBorder="1" applyAlignment="1" applyProtection="1">
      <alignment horizontal="center" vertical="center" wrapText="1"/>
    </xf>
    <xf numFmtId="43" fontId="106" fillId="0" borderId="127" xfId="0" applyNumberFormat="1" applyFont="1" applyBorder="1" applyAlignment="1" applyProtection="1">
      <alignment horizontal="center" vertical="center" wrapText="1"/>
    </xf>
    <xf numFmtId="43" fontId="106" fillId="0" borderId="128" xfId="0" applyNumberFormat="1" applyFont="1" applyBorder="1" applyAlignment="1" applyProtection="1">
      <alignment horizontal="center" vertical="center" wrapText="1"/>
    </xf>
    <xf numFmtId="0" fontId="0" fillId="0" borderId="155" xfId="0" applyBorder="1" applyAlignment="1" applyProtection="1">
      <alignment horizontal="center"/>
    </xf>
    <xf numFmtId="0" fontId="0" fillId="0" borderId="65" xfId="0" applyBorder="1" applyAlignment="1" applyProtection="1">
      <alignment horizontal="center"/>
    </xf>
    <xf numFmtId="0" fontId="114" fillId="0" borderId="152" xfId="0" applyFont="1" applyFill="1" applyBorder="1" applyAlignment="1" applyProtection="1">
      <alignment horizontal="left" wrapText="1"/>
    </xf>
    <xf numFmtId="0" fontId="114" fillId="0" borderId="99" xfId="0" applyFont="1" applyFill="1" applyBorder="1" applyAlignment="1" applyProtection="1">
      <alignment horizontal="left" wrapText="1"/>
    </xf>
    <xf numFmtId="0" fontId="30" fillId="22" borderId="29" xfId="0" applyFont="1" applyFill="1" applyBorder="1" applyAlignment="1" applyProtection="1">
      <alignment horizontal="left" wrapText="1"/>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43" fontId="37" fillId="0" borderId="0" xfId="0" applyNumberFormat="1" applyFont="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0" borderId="0" xfId="58" applyFont="1" applyFill="1" applyBorder="1" applyAlignment="1" applyProtection="1">
      <alignment horizontal="center"/>
    </xf>
    <xf numFmtId="172" fontId="158" fillId="22" borderId="29" xfId="0" applyNumberFormat="1" applyFont="1" applyFill="1" applyBorder="1" applyAlignment="1" applyProtection="1">
      <alignment horizontal="justify" vertical="top" wrapText="1"/>
      <protection locked="0"/>
    </xf>
    <xf numFmtId="172" fontId="158" fillId="22" borderId="46" xfId="0" applyNumberFormat="1" applyFont="1" applyFill="1" applyBorder="1" applyAlignment="1" applyProtection="1">
      <alignment horizontal="justify" vertical="top" wrapText="1"/>
      <protection locked="0"/>
    </xf>
    <xf numFmtId="172" fontId="158" fillId="22" borderId="47" xfId="0" applyNumberFormat="1" applyFont="1" applyFill="1" applyBorder="1" applyAlignment="1" applyProtection="1">
      <alignment horizontal="justify" vertical="top" wrapText="1"/>
      <protection locked="0"/>
    </xf>
    <xf numFmtId="0" fontId="158" fillId="22" borderId="29" xfId="0" applyFont="1" applyFill="1" applyBorder="1" applyAlignment="1" applyProtection="1">
      <alignment horizontal="left" vertical="top" wrapText="1"/>
      <protection locked="0"/>
    </xf>
    <xf numFmtId="0" fontId="159" fillId="0" borderId="46" xfId="0" applyFont="1" applyBorder="1" applyAlignment="1">
      <alignment vertical="top"/>
    </xf>
    <xf numFmtId="0" fontId="159" fillId="0" borderId="47" xfId="0" applyFont="1" applyBorder="1" applyAlignment="1">
      <alignment vertical="top"/>
    </xf>
    <xf numFmtId="0" fontId="34" fillId="22" borderId="29" xfId="0" applyFont="1" applyFill="1" applyBorder="1" applyAlignment="1" applyProtection="1">
      <alignment horizontal="left" wrapText="1"/>
      <protection locked="0"/>
    </xf>
    <xf numFmtId="0" fontId="114" fillId="0" borderId="153" xfId="0" applyFont="1" applyFill="1" applyBorder="1" applyAlignment="1" applyProtection="1">
      <alignment horizontal="left" wrapText="1"/>
    </xf>
    <xf numFmtId="0" fontId="114" fillId="0" borderId="154" xfId="0" applyFont="1" applyFill="1" applyBorder="1" applyAlignment="1" applyProtection="1">
      <alignment horizontal="left" wrapText="1"/>
    </xf>
    <xf numFmtId="0" fontId="0" fillId="0" borderId="136" xfId="0" applyFill="1" applyBorder="1" applyAlignment="1" applyProtection="1">
      <alignment horizontal="center" vertical="center"/>
    </xf>
    <xf numFmtId="0" fontId="0" fillId="0" borderId="137" xfId="0" applyFill="1" applyBorder="1" applyAlignment="1" applyProtection="1">
      <alignment horizontal="center" vertical="center"/>
    </xf>
    <xf numFmtId="0" fontId="0" fillId="0" borderId="138" xfId="0" applyFill="1" applyBorder="1" applyAlignment="1" applyProtection="1">
      <alignment horizontal="center" vertical="center"/>
    </xf>
    <xf numFmtId="43" fontId="28" fillId="0" borderId="0" xfId="0" applyNumberFormat="1" applyFont="1" applyAlignment="1">
      <alignment horizontal="right"/>
    </xf>
    <xf numFmtId="15" fontId="28" fillId="0" borderId="0" xfId="0" applyNumberFormat="1" applyFont="1" applyAlignment="1">
      <alignment horizontal="right"/>
    </xf>
    <xf numFmtId="0" fontId="0" fillId="0" borderId="46" xfId="0" applyBorder="1" applyAlignment="1">
      <alignment horizontal="left" wrapText="1"/>
    </xf>
    <xf numFmtId="0" fontId="0" fillId="0" borderId="47" xfId="0" applyBorder="1" applyAlignment="1">
      <alignment horizontal="left" wrapText="1"/>
    </xf>
    <xf numFmtId="43" fontId="14" fillId="0" borderId="0" xfId="0" applyNumberFormat="1" applyFont="1" applyAlignment="1">
      <alignment horizontal="center" wrapText="1"/>
    </xf>
    <xf numFmtId="172" fontId="34" fillId="22" borderId="29" xfId="0" applyNumberFormat="1" applyFont="1" applyFill="1" applyBorder="1" applyAlignment="1" applyProtection="1">
      <alignment horizontal="justify" vertical="center" wrapText="1"/>
      <protection locked="0"/>
    </xf>
    <xf numFmtId="172" fontId="34" fillId="22" borderId="46" xfId="0" applyNumberFormat="1" applyFont="1" applyFill="1" applyBorder="1" applyAlignment="1" applyProtection="1">
      <alignment horizontal="justify" vertical="center" wrapText="1"/>
      <protection locked="0"/>
    </xf>
    <xf numFmtId="172" fontId="34" fillId="22" borderId="47" xfId="0" applyNumberFormat="1" applyFont="1" applyFill="1" applyBorder="1" applyAlignment="1" applyProtection="1">
      <alignment horizontal="justify" vertical="center" wrapText="1"/>
      <protection locked="0"/>
    </xf>
    <xf numFmtId="172" fontId="34" fillId="22" borderId="29" xfId="0" applyNumberFormat="1" applyFont="1" applyFill="1" applyBorder="1" applyAlignment="1" applyProtection="1">
      <alignment horizontal="justify" vertical="top" wrapText="1"/>
      <protection locked="0"/>
    </xf>
    <xf numFmtId="172" fontId="34" fillId="22" borderId="46" xfId="0" applyNumberFormat="1" applyFont="1" applyFill="1" applyBorder="1" applyAlignment="1" applyProtection="1">
      <alignment horizontal="justify" vertical="top" wrapText="1"/>
      <protection locked="0"/>
    </xf>
    <xf numFmtId="172" fontId="34" fillId="22" borderId="47" xfId="0" applyNumberFormat="1" applyFont="1" applyFill="1" applyBorder="1" applyAlignment="1" applyProtection="1">
      <alignment horizontal="justify" vertical="top" wrapText="1"/>
      <protection locked="0"/>
    </xf>
    <xf numFmtId="0" fontId="14" fillId="0" borderId="0" xfId="0" applyFont="1" applyBorder="1" applyAlignment="1">
      <alignment horizontal="center"/>
    </xf>
    <xf numFmtId="43" fontId="28" fillId="0" borderId="0" xfId="0" applyNumberFormat="1" applyFont="1" applyAlignment="1">
      <alignment horizontal="left"/>
    </xf>
    <xf numFmtId="43" fontId="14" fillId="0" borderId="0" xfId="0" applyNumberFormat="1" applyFont="1" applyAlignment="1">
      <alignment horizontal="center"/>
    </xf>
    <xf numFmtId="43" fontId="59" fillId="31" borderId="0" xfId="48" applyFont="1" applyFill="1" applyAlignment="1">
      <alignment horizontal="center" vertical="center"/>
    </xf>
    <xf numFmtId="0" fontId="107" fillId="0" borderId="0" xfId="0" applyFont="1" applyAlignment="1">
      <alignment horizontal="center"/>
    </xf>
    <xf numFmtId="43" fontId="35" fillId="0" borderId="0" xfId="0" applyNumberFormat="1" applyFont="1" applyAlignment="1">
      <alignment horizontal="left" wrapText="1"/>
    </xf>
    <xf numFmtId="172" fontId="0" fillId="0" borderId="46" xfId="0" applyNumberFormat="1" applyBorder="1" applyAlignment="1">
      <alignment horizontal="justify" vertical="center" wrapText="1"/>
    </xf>
    <xf numFmtId="172" fontId="0" fillId="0" borderId="47" xfId="0" applyNumberFormat="1" applyBorder="1" applyAlignment="1">
      <alignment horizontal="justify" vertical="center" wrapText="1"/>
    </xf>
    <xf numFmtId="0" fontId="81" fillId="0" borderId="0" xfId="0" applyFont="1" applyAlignment="1">
      <alignment horizontal="left" wrapText="1"/>
    </xf>
    <xf numFmtId="0" fontId="30" fillId="22" borderId="29" xfId="0" applyFont="1" applyFill="1" applyBorder="1" applyAlignment="1" applyProtection="1">
      <alignment horizontal="left" vertical="top" wrapText="1"/>
      <protection locked="0"/>
    </xf>
    <xf numFmtId="0" fontId="0" fillId="0" borderId="46" xfId="0" applyBorder="1" applyAlignment="1">
      <alignment horizontal="left" vertical="top" wrapText="1"/>
    </xf>
    <xf numFmtId="0" fontId="0" fillId="0" borderId="47" xfId="0" applyBorder="1" applyAlignment="1">
      <alignment horizontal="left" vertical="top" wrapText="1"/>
    </xf>
    <xf numFmtId="49" fontId="146" fillId="0" borderId="10" xfId="0" applyNumberFormat="1" applyFont="1" applyBorder="1" applyAlignment="1" applyProtection="1">
      <alignment vertical="center" wrapText="1"/>
    </xf>
    <xf numFmtId="0" fontId="146" fillId="0" borderId="10" xfId="0" applyFont="1" applyBorder="1" applyAlignment="1" applyProtection="1">
      <alignment vertical="center" wrapText="1"/>
    </xf>
    <xf numFmtId="9" fontId="28" fillId="0" borderId="29" xfId="56" applyFont="1" applyBorder="1" applyAlignment="1" applyProtection="1">
      <alignment horizontal="center" vertical="center" wrapText="1"/>
    </xf>
    <xf numFmtId="9" fontId="28" fillId="0" borderId="46" xfId="56" applyFont="1" applyBorder="1" applyAlignment="1" applyProtection="1">
      <alignment horizontal="center" vertical="center" wrapText="1"/>
    </xf>
    <xf numFmtId="9" fontId="28" fillId="0" borderId="47" xfId="56" applyFont="1" applyBorder="1" applyAlignment="1" applyProtection="1">
      <alignment horizontal="center" vertical="center" wrapText="1"/>
    </xf>
    <xf numFmtId="9" fontId="147" fillId="22" borderId="10" xfId="56" applyFont="1" applyFill="1" applyBorder="1" applyAlignment="1" applyProtection="1">
      <alignment horizontal="justify" vertical="center" wrapText="1"/>
      <protection locked="0"/>
    </xf>
    <xf numFmtId="9" fontId="34" fillId="22" borderId="10" xfId="56" applyFont="1" applyFill="1" applyBorder="1" applyAlignment="1" applyProtection="1">
      <alignment horizontal="justify" vertical="center" wrapText="1"/>
      <protection locked="0"/>
    </xf>
    <xf numFmtId="43" fontId="59" fillId="31" borderId="0" xfId="48" applyFont="1" applyFill="1" applyAlignment="1" applyProtection="1">
      <alignment horizontal="center" vertical="center"/>
    </xf>
    <xf numFmtId="43" fontId="14" fillId="0" borderId="0" xfId="0" applyNumberFormat="1" applyFont="1" applyAlignment="1" applyProtection="1">
      <alignment horizontal="justify" wrapText="1"/>
    </xf>
    <xf numFmtId="0" fontId="145" fillId="0" borderId="116" xfId="0" applyFont="1" applyBorder="1" applyAlignment="1" applyProtection="1">
      <alignment horizontal="left" vertical="center" wrapText="1"/>
    </xf>
    <xf numFmtId="43" fontId="107" fillId="0" borderId="0" xfId="0" applyNumberFormat="1" applyFont="1" applyAlignment="1" applyProtection="1">
      <alignment horizontal="center"/>
    </xf>
    <xf numFmtId="43" fontId="33" fillId="0" borderId="0" xfId="0" applyNumberFormat="1" applyFont="1" applyAlignment="1" applyProtection="1">
      <alignment horizontal="center"/>
    </xf>
    <xf numFmtId="43" fontId="148" fillId="30" borderId="0" xfId="59" applyFont="1" applyFill="1" applyBorder="1" applyAlignment="1" applyProtection="1">
      <alignment horizontal="center"/>
    </xf>
    <xf numFmtId="0" fontId="34" fillId="0" borderId="29" xfId="0" applyFont="1" applyBorder="1" applyAlignment="1" applyProtection="1">
      <alignment horizontal="center" vertical="center"/>
    </xf>
    <xf numFmtId="0" fontId="34" fillId="0" borderId="46" xfId="0" applyFont="1" applyBorder="1" applyAlignment="1" applyProtection="1">
      <alignment horizontal="center" vertical="center"/>
    </xf>
    <xf numFmtId="0" fontId="34" fillId="0" borderId="47" xfId="0" applyFont="1" applyBorder="1" applyAlignment="1" applyProtection="1">
      <alignment horizontal="center" vertical="center"/>
    </xf>
    <xf numFmtId="9" fontId="128" fillId="22" borderId="10" xfId="56" applyFont="1" applyFill="1" applyBorder="1" applyAlignment="1" applyProtection="1">
      <alignment horizontal="justify" vertical="center" wrapText="1"/>
      <protection locked="0"/>
    </xf>
    <xf numFmtId="9" fontId="132" fillId="22" borderId="10" xfId="56" applyFont="1" applyFill="1" applyBorder="1" applyAlignment="1" applyProtection="1">
      <alignment horizontal="justify" vertical="center" wrapText="1"/>
      <protection locked="0"/>
    </xf>
    <xf numFmtId="0" fontId="34" fillId="20" borderId="0" xfId="0" applyFont="1" applyFill="1" applyAlignment="1" applyProtection="1">
      <alignment horizontal="center" vertical="center" wrapText="1"/>
    </xf>
    <xf numFmtId="0" fontId="146" fillId="0" borderId="29" xfId="0" applyFont="1" applyBorder="1" applyAlignment="1" applyProtection="1">
      <alignment vertical="center" wrapText="1"/>
    </xf>
    <xf numFmtId="0" fontId="146" fillId="0" borderId="46" xfId="0" applyFont="1" applyBorder="1" applyAlignment="1" applyProtection="1">
      <alignment vertical="center" wrapText="1"/>
    </xf>
    <xf numFmtId="0" fontId="146" fillId="0" borderId="47" xfId="0" applyFont="1" applyBorder="1" applyAlignment="1" applyProtection="1">
      <alignment vertical="center" wrapText="1"/>
    </xf>
    <xf numFmtId="0" fontId="34" fillId="20" borderId="0" xfId="0" applyFont="1" applyFill="1" applyAlignment="1" applyProtection="1">
      <alignment horizontal="left"/>
      <protection locked="0"/>
    </xf>
    <xf numFmtId="0" fontId="34" fillId="20" borderId="44" xfId="0" applyFont="1" applyFill="1" applyBorder="1" applyAlignment="1" applyProtection="1">
      <alignment horizontal="left"/>
      <protection locked="0"/>
    </xf>
    <xf numFmtId="0" fontId="34" fillId="20" borderId="156"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0" fontId="158" fillId="22" borderId="29" xfId="0" applyFont="1" applyFill="1" applyBorder="1" applyAlignment="1" applyProtection="1">
      <alignment horizontal="justify" vertical="top" wrapText="1"/>
      <protection locked="0"/>
    </xf>
    <xf numFmtId="0" fontId="159" fillId="0" borderId="46" xfId="0" applyFont="1" applyBorder="1" applyAlignment="1">
      <alignment horizontal="justify" vertical="top" wrapText="1"/>
    </xf>
    <xf numFmtId="0" fontId="159" fillId="0" borderId="47" xfId="0" applyFont="1" applyBorder="1" applyAlignment="1">
      <alignment horizontal="justify" vertical="top" wrapText="1"/>
    </xf>
    <xf numFmtId="0" fontId="34" fillId="22" borderId="29" xfId="0" applyFont="1" applyFill="1" applyBorder="1" applyAlignment="1" applyProtection="1">
      <alignment horizontal="justify" vertical="top" wrapText="1"/>
      <protection locked="0"/>
    </xf>
    <xf numFmtId="0" fontId="0" fillId="0" borderId="46" xfId="0" applyBorder="1" applyAlignment="1">
      <alignment horizontal="justify" vertical="top" wrapText="1"/>
    </xf>
    <xf numFmtId="0" fontId="0" fillId="0" borderId="47" xfId="0" applyBorder="1" applyAlignment="1">
      <alignment horizontal="justify" vertical="top" wrapText="1"/>
    </xf>
    <xf numFmtId="9" fontId="37" fillId="32" borderId="29" xfId="56" applyFont="1" applyFill="1" applyBorder="1" applyAlignment="1" applyProtection="1">
      <alignment horizontal="center" vertical="center" wrapText="1"/>
    </xf>
    <xf numFmtId="9" fontId="37" fillId="32" borderId="47" xfId="56" applyFont="1" applyFill="1" applyBorder="1" applyAlignment="1" applyProtection="1">
      <alignment horizontal="center" vertical="center" wrapText="1"/>
    </xf>
    <xf numFmtId="9" fontId="37" fillId="34" borderId="29" xfId="56" applyFont="1" applyFill="1" applyBorder="1" applyAlignment="1" applyProtection="1">
      <alignment horizontal="center" vertical="center" wrapText="1"/>
    </xf>
    <xf numFmtId="9" fontId="37" fillId="34" borderId="47" xfId="56" applyFont="1" applyFill="1" applyBorder="1" applyAlignment="1" applyProtection="1">
      <alignment horizontal="center" vertical="center" wrapText="1"/>
    </xf>
    <xf numFmtId="0" fontId="33" fillId="0" borderId="110"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22" borderId="46" xfId="0" applyFont="1" applyFill="1" applyBorder="1" applyAlignment="1" applyProtection="1">
      <alignment horizontal="justify" vertical="top" wrapText="1"/>
      <protection locked="0"/>
    </xf>
    <xf numFmtId="0" fontId="34" fillId="22" borderId="47" xfId="0" applyFont="1" applyFill="1" applyBorder="1" applyAlignment="1" applyProtection="1">
      <alignment horizontal="justify" vertical="top" wrapText="1"/>
      <protection locked="0"/>
    </xf>
    <xf numFmtId="49" fontId="145" fillId="0" borderId="116" xfId="0" applyNumberFormat="1" applyFont="1" applyBorder="1" applyAlignment="1" applyProtection="1">
      <alignment horizontal="justify" vertical="center"/>
    </xf>
    <xf numFmtId="0" fontId="145" fillId="0" borderId="116" xfId="0" applyFont="1" applyBorder="1" applyAlignment="1" applyProtection="1">
      <alignment horizontal="justify" vertical="center"/>
    </xf>
    <xf numFmtId="9" fontId="2" fillId="0" borderId="189" xfId="56" applyNumberFormat="1" applyFont="1" applyFill="1" applyBorder="1" applyAlignment="1" applyProtection="1">
      <alignment horizontal="left" vertical="center" wrapText="1"/>
    </xf>
    <xf numFmtId="0" fontId="2" fillId="0" borderId="178" xfId="56" applyNumberFormat="1" applyFont="1" applyFill="1" applyBorder="1" applyAlignment="1" applyProtection="1">
      <alignment horizontal="left" vertical="center" wrapText="1"/>
    </xf>
    <xf numFmtId="0" fontId="2" fillId="0" borderId="190" xfId="56" applyNumberFormat="1" applyFont="1" applyFill="1" applyBorder="1" applyAlignment="1" applyProtection="1">
      <alignment horizontal="left" vertical="center" wrapText="1"/>
    </xf>
    <xf numFmtId="0" fontId="2" fillId="22" borderId="157" xfId="0" applyFont="1" applyFill="1" applyBorder="1" applyAlignment="1" applyProtection="1">
      <alignment horizontal="center" vertical="top" wrapText="1"/>
      <protection locked="0"/>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75" fillId="19" borderId="12" xfId="0" applyFont="1" applyFill="1" applyBorder="1" applyAlignment="1" applyProtection="1">
      <alignment horizontal="center" vertical="center"/>
    </xf>
    <xf numFmtId="0" fontId="58" fillId="25" borderId="163" xfId="0" applyFont="1" applyFill="1" applyBorder="1" applyAlignment="1" applyProtection="1">
      <alignment horizontal="center" vertical="center"/>
    </xf>
    <xf numFmtId="0" fontId="58" fillId="25" borderId="164" xfId="0" applyFont="1" applyFill="1" applyBorder="1" applyAlignment="1" applyProtection="1">
      <alignment horizontal="center" vertical="center"/>
    </xf>
    <xf numFmtId="0" fontId="58" fillId="25" borderId="165" xfId="0" applyFont="1" applyFill="1" applyBorder="1" applyAlignment="1" applyProtection="1">
      <alignment horizontal="center" vertical="center"/>
    </xf>
    <xf numFmtId="0" fontId="2" fillId="24" borderId="166" xfId="0" applyFont="1" applyFill="1" applyBorder="1" applyAlignment="1" applyProtection="1">
      <alignment horizontal="center" vertical="top" wrapText="1"/>
      <protection locked="0"/>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74" fillId="0" borderId="175" xfId="0" applyFont="1" applyFill="1" applyBorder="1" applyAlignment="1" applyProtection="1">
      <alignment horizontal="center"/>
    </xf>
    <xf numFmtId="0" fontId="74" fillId="0" borderId="176" xfId="0" applyFont="1" applyFill="1" applyBorder="1" applyAlignment="1" applyProtection="1">
      <alignment horizontal="center"/>
    </xf>
    <xf numFmtId="49" fontId="2" fillId="25" borderId="177" xfId="0" applyNumberFormat="1" applyFont="1" applyFill="1" applyBorder="1" applyAlignment="1" applyProtection="1">
      <alignment horizontal="center" vertical="center"/>
      <protection locked="0"/>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1" xfId="0" applyNumberFormat="1" applyFont="1" applyFill="1" applyBorder="1" applyAlignment="1" applyProtection="1">
      <alignment horizontal="center" vertical="center"/>
      <protection locked="0"/>
    </xf>
    <xf numFmtId="0" fontId="74" fillId="0" borderId="0" xfId="0" applyFont="1" applyFill="1" applyBorder="1" applyAlignment="1" applyProtection="1">
      <alignment horizontal="center"/>
    </xf>
    <xf numFmtId="0" fontId="76" fillId="0" borderId="182" xfId="0" applyNumberFormat="1" applyFont="1" applyFill="1" applyBorder="1" applyAlignment="1" applyProtection="1">
      <alignment horizontal="left" vertical="top" wrapText="1"/>
    </xf>
    <xf numFmtId="0" fontId="76" fillId="0" borderId="183" xfId="0" applyNumberFormat="1" applyFont="1" applyFill="1" applyBorder="1" applyAlignment="1" applyProtection="1">
      <alignment horizontal="left" vertical="top" wrapText="1"/>
    </xf>
    <xf numFmtId="0" fontId="76" fillId="0" borderId="184" xfId="0" applyNumberFormat="1" applyFont="1" applyFill="1" applyBorder="1" applyAlignment="1" applyProtection="1">
      <alignment horizontal="left" vertical="top" wrapText="1"/>
    </xf>
    <xf numFmtId="0" fontId="76" fillId="0" borderId="185" xfId="0" applyNumberFormat="1" applyFont="1" applyFill="1" applyBorder="1" applyAlignment="1" applyProtection="1">
      <alignment horizontal="left" vertical="top" wrapText="1"/>
    </xf>
    <xf numFmtId="0" fontId="76" fillId="0" borderId="194" xfId="0" applyNumberFormat="1" applyFont="1" applyFill="1" applyBorder="1" applyAlignment="1" applyProtection="1">
      <alignment horizontal="left" vertical="top" wrapText="1"/>
    </xf>
    <xf numFmtId="49" fontId="2" fillId="25" borderId="186" xfId="0" applyNumberFormat="1" applyFont="1" applyFill="1" applyBorder="1" applyAlignment="1" applyProtection="1">
      <alignment horizontal="center" vertical="center"/>
      <protection locked="0"/>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0" fontId="121" fillId="24" borderId="195" xfId="0" applyFont="1" applyFill="1" applyBorder="1" applyAlignment="1" applyProtection="1">
      <alignment horizontal="center" vertical="center"/>
    </xf>
    <xf numFmtId="0" fontId="121" fillId="24" borderId="196" xfId="0" applyFont="1" applyFill="1" applyBorder="1" applyAlignment="1" applyProtection="1">
      <alignment horizontal="center" vertical="center"/>
    </xf>
    <xf numFmtId="0" fontId="0" fillId="0" borderId="196" xfId="0" applyBorder="1" applyAlignment="1">
      <alignment horizontal="center" vertical="center"/>
    </xf>
    <xf numFmtId="0" fontId="121" fillId="24" borderId="197" xfId="0" applyFont="1" applyFill="1" applyBorder="1" applyAlignment="1" applyProtection="1">
      <alignment horizontal="center" vertical="center"/>
    </xf>
    <xf numFmtId="0" fontId="121" fillId="24" borderId="198" xfId="0" applyFont="1" applyFill="1" applyBorder="1" applyAlignment="1" applyProtection="1">
      <alignment horizontal="center" vertical="center"/>
    </xf>
    <xf numFmtId="0" fontId="121" fillId="24" borderId="199" xfId="0" applyFont="1" applyFill="1" applyBorder="1" applyAlignment="1" applyProtection="1">
      <alignment horizontal="center" vertical="center"/>
    </xf>
    <xf numFmtId="0" fontId="107" fillId="0" borderId="0" xfId="0" applyFont="1" applyBorder="1" applyAlignment="1" applyProtection="1">
      <alignment horizontal="center"/>
    </xf>
    <xf numFmtId="43" fontId="15" fillId="30" borderId="0" xfId="59" applyFont="1" applyFill="1" applyBorder="1" applyAlignment="1" applyProtection="1">
      <alignment horizontal="center"/>
    </xf>
    <xf numFmtId="0" fontId="2" fillId="22" borderId="157" xfId="0" applyFont="1" applyFill="1" applyBorder="1" applyAlignment="1" applyProtection="1">
      <alignment horizontal="left" vertical="top" wrapText="1"/>
      <protection locked="0"/>
    </xf>
    <xf numFmtId="0" fontId="2" fillId="22" borderId="158" xfId="0" applyFont="1" applyFill="1" applyBorder="1" applyAlignment="1" applyProtection="1">
      <alignment horizontal="left" vertical="top" wrapText="1"/>
      <protection locked="0"/>
    </xf>
    <xf numFmtId="0" fontId="2" fillId="22" borderId="159" xfId="0" applyFont="1" applyFill="1" applyBorder="1" applyAlignment="1" applyProtection="1">
      <alignment horizontal="left" vertical="top" wrapText="1"/>
      <protection locked="0"/>
    </xf>
    <xf numFmtId="0" fontId="76" fillId="0" borderId="200" xfId="0" applyNumberFormat="1" applyFont="1" applyFill="1" applyBorder="1" applyAlignment="1" applyProtection="1">
      <alignment horizontal="left" vertical="top" wrapText="1"/>
    </xf>
    <xf numFmtId="0" fontId="76" fillId="0" borderId="201" xfId="0" applyNumberFormat="1" applyFont="1" applyFill="1" applyBorder="1" applyAlignment="1" applyProtection="1">
      <alignment horizontal="left" vertical="top" wrapText="1"/>
    </xf>
    <xf numFmtId="0" fontId="2" fillId="0" borderId="189" xfId="56" applyNumberFormat="1" applyFont="1" applyFill="1" applyBorder="1" applyAlignment="1" applyProtection="1">
      <alignment horizontal="left" vertical="center" wrapText="1"/>
    </xf>
    <xf numFmtId="0" fontId="76" fillId="0" borderId="202" xfId="0" applyNumberFormat="1" applyFont="1" applyFill="1" applyBorder="1" applyAlignment="1" applyProtection="1">
      <alignment horizontal="left" vertical="top" wrapText="1"/>
    </xf>
    <xf numFmtId="0" fontId="76" fillId="0" borderId="203" xfId="0" applyNumberFormat="1" applyFont="1" applyFill="1" applyBorder="1" applyAlignment="1" applyProtection="1">
      <alignment horizontal="left" vertical="top" wrapText="1"/>
    </xf>
    <xf numFmtId="0" fontId="2" fillId="22" borderId="191" xfId="0" applyFont="1" applyFill="1" applyBorder="1" applyAlignment="1" applyProtection="1">
      <alignment horizontal="center" vertical="top" wrapText="1"/>
      <protection locked="0"/>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58" fillId="22" borderId="204" xfId="0" applyFont="1" applyFill="1" applyBorder="1" applyAlignment="1" applyProtection="1">
      <alignment horizontal="center" vertical="center"/>
    </xf>
    <xf numFmtId="0" fontId="58" fillId="22" borderId="205" xfId="0" applyFont="1" applyFill="1" applyBorder="1" applyAlignment="1" applyProtection="1">
      <alignment horizontal="center" vertical="center"/>
    </xf>
    <xf numFmtId="0" fontId="58" fillId="22" borderId="206" xfId="0" applyFont="1" applyFill="1" applyBorder="1" applyAlignment="1" applyProtection="1">
      <alignment horizontal="center" vertical="center"/>
    </xf>
    <xf numFmtId="0" fontId="76" fillId="0" borderId="207" xfId="0" applyNumberFormat="1" applyFont="1" applyFill="1" applyBorder="1" applyAlignment="1" applyProtection="1">
      <alignment horizontal="left" vertical="center" wrapText="1"/>
    </xf>
    <xf numFmtId="0" fontId="76" fillId="0" borderId="208" xfId="0" applyNumberFormat="1" applyFont="1" applyFill="1" applyBorder="1" applyAlignment="1" applyProtection="1">
      <alignment horizontal="left" vertical="center" wrapText="1"/>
    </xf>
    <xf numFmtId="0" fontId="76" fillId="0" borderId="209" xfId="0" applyNumberFormat="1" applyFont="1" applyFill="1" applyBorder="1" applyAlignment="1" applyProtection="1">
      <alignment horizontal="left" vertical="center" wrapText="1"/>
    </xf>
    <xf numFmtId="0" fontId="2" fillId="22" borderId="160" xfId="0" applyFont="1" applyFill="1" applyBorder="1" applyAlignment="1" applyProtection="1">
      <alignment horizontal="center" vertical="top" wrapText="1"/>
      <protection locked="0"/>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1" fillId="0" borderId="216" xfId="0" applyFont="1" applyFill="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39" xfId="0" applyFont="1" applyBorder="1" applyAlignment="1" applyProtection="1">
      <alignment horizontal="left"/>
      <protection locked="0"/>
    </xf>
    <xf numFmtId="0" fontId="21" fillId="0" borderId="216" xfId="0" applyFont="1" applyBorder="1" applyAlignment="1" applyProtection="1">
      <alignment horizontal="left"/>
      <protection locked="0"/>
    </xf>
    <xf numFmtId="0" fontId="94" fillId="21" borderId="224" xfId="0" applyFont="1" applyFill="1" applyBorder="1" applyAlignment="1">
      <alignment horizontal="center" vertical="center" textRotation="90"/>
    </xf>
    <xf numFmtId="0" fontId="0" fillId="21" borderId="96" xfId="0" applyFill="1" applyBorder="1" applyAlignment="1">
      <alignment horizontal="center" vertical="center" textRotation="90"/>
    </xf>
    <xf numFmtId="0" fontId="0" fillId="21" borderId="113" xfId="0" applyFill="1" applyBorder="1" applyAlignment="1">
      <alignment horizontal="center" vertical="center" textRotation="90"/>
    </xf>
    <xf numFmtId="0" fontId="73" fillId="21" borderId="223" xfId="53" applyNumberFormat="1" applyFont="1" applyFill="1" applyBorder="1" applyAlignment="1">
      <alignment horizontal="center" vertical="center" wrapText="1"/>
    </xf>
    <xf numFmtId="0" fontId="73" fillId="21" borderId="13" xfId="53" applyNumberFormat="1" applyFont="1" applyFill="1" applyBorder="1" applyAlignment="1">
      <alignment horizontal="center" vertical="center" wrapText="1"/>
    </xf>
    <xf numFmtId="0" fontId="21" fillId="0" borderId="215" xfId="0" applyFont="1" applyFill="1" applyBorder="1" applyAlignment="1" applyProtection="1">
      <alignment horizontal="left"/>
      <protection locked="0"/>
    </xf>
    <xf numFmtId="0" fontId="33" fillId="0" borderId="0" xfId="0" applyFont="1" applyAlignment="1">
      <alignment horizontal="center"/>
    </xf>
    <xf numFmtId="0" fontId="73" fillId="21" borderId="225" xfId="53" applyNumberFormat="1" applyFont="1" applyFill="1" applyBorder="1" applyAlignment="1">
      <alignment horizontal="center" vertical="center" wrapText="1"/>
    </xf>
    <xf numFmtId="0" fontId="73" fillId="21" borderId="226" xfId="53" applyNumberFormat="1" applyFont="1" applyFill="1" applyBorder="1" applyAlignment="1">
      <alignment horizontal="center" vertical="center" wrapText="1"/>
    </xf>
    <xf numFmtId="0" fontId="73" fillId="21" borderId="227" xfId="53" applyNumberFormat="1" applyFont="1" applyFill="1" applyBorder="1" applyAlignment="1">
      <alignment horizontal="center" vertical="center" wrapText="1"/>
    </xf>
    <xf numFmtId="0" fontId="21" fillId="0" borderId="228" xfId="0" applyFont="1" applyFill="1" applyBorder="1" applyAlignment="1" applyProtection="1">
      <alignment horizontal="left"/>
      <protection locked="0"/>
    </xf>
    <xf numFmtId="0" fontId="21" fillId="0" borderId="229" xfId="0" applyFont="1" applyFill="1" applyBorder="1" applyAlignment="1" applyProtection="1">
      <alignment horizontal="left"/>
      <protection locked="0"/>
    </xf>
    <xf numFmtId="0" fontId="21" fillId="0" borderId="215" xfId="0" applyFont="1" applyBorder="1" applyAlignment="1" applyProtection="1">
      <alignment horizontal="left"/>
      <protection locked="0"/>
    </xf>
    <xf numFmtId="0" fontId="21" fillId="0" borderId="230"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187"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protection locked="0"/>
    </xf>
    <xf numFmtId="0" fontId="21" fillId="0" borderId="178" xfId="0" applyFont="1" applyFill="1" applyBorder="1" applyAlignment="1" applyProtection="1">
      <alignment horizontal="left"/>
      <protection locked="0"/>
    </xf>
    <xf numFmtId="0" fontId="21" fillId="0" borderId="211" xfId="0" applyFont="1" applyFill="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28" xfId="0" applyFont="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178" xfId="0" applyFont="1" applyFill="1" applyBorder="1" applyAlignment="1" applyProtection="1">
      <alignment horizontal="left" vertical="center" wrapText="1"/>
      <protection locked="0"/>
    </xf>
    <xf numFmtId="0" fontId="21" fillId="0" borderId="211"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3" xfId="0" applyFont="1" applyFill="1" applyBorder="1" applyAlignment="1" applyProtection="1">
      <alignment horizontal="left" vertical="center" wrapText="1"/>
      <protection locked="0"/>
    </xf>
    <xf numFmtId="0" fontId="21" fillId="0" borderId="214" xfId="0" applyFont="1" applyBorder="1" applyAlignment="1" applyProtection="1">
      <alignment horizontal="left"/>
      <protection locked="0"/>
    </xf>
    <xf numFmtId="0" fontId="155" fillId="0" borderId="178" xfId="0" applyFont="1" applyFill="1" applyBorder="1" applyAlignment="1" applyProtection="1">
      <alignment horizontal="left" vertical="center" wrapText="1"/>
      <protection locked="0"/>
    </xf>
    <xf numFmtId="0" fontId="155" fillId="0" borderId="211" xfId="0" applyFont="1" applyFill="1" applyBorder="1" applyAlignment="1" applyProtection="1">
      <alignment horizontal="left" vertical="center" wrapText="1"/>
      <protection locked="0"/>
    </xf>
    <xf numFmtId="0" fontId="144" fillId="22" borderId="117" xfId="0" applyFont="1" applyFill="1" applyBorder="1" applyAlignment="1" applyProtection="1">
      <alignment horizontal="left" wrapText="1"/>
      <protection locked="0"/>
    </xf>
    <xf numFmtId="0" fontId="144" fillId="22" borderId="116" xfId="0" applyFont="1" applyFill="1" applyBorder="1" applyAlignment="1" applyProtection="1">
      <alignment horizontal="left" wrapText="1"/>
      <protection locked="0"/>
    </xf>
    <xf numFmtId="0" fontId="144" fillId="22" borderId="118" xfId="0" applyFont="1" applyFill="1" applyBorder="1" applyAlignment="1" applyProtection="1">
      <alignment horizontal="left" wrapText="1"/>
      <protection locked="0"/>
    </xf>
    <xf numFmtId="0" fontId="144" fillId="22" borderId="67" xfId="0" applyFont="1" applyFill="1" applyBorder="1" applyAlignment="1" applyProtection="1">
      <alignment horizontal="left" wrapText="1"/>
      <protection locked="0"/>
    </xf>
    <xf numFmtId="0" fontId="144" fillId="22" borderId="110" xfId="0" applyFont="1" applyFill="1" applyBorder="1" applyAlignment="1" applyProtection="1">
      <alignment horizontal="left" wrapText="1"/>
      <protection locked="0"/>
    </xf>
    <xf numFmtId="0" fontId="144" fillId="22" borderId="112" xfId="0" applyFont="1" applyFill="1" applyBorder="1" applyAlignment="1" applyProtection="1">
      <alignment horizontal="left" wrapText="1"/>
      <protection locked="0"/>
    </xf>
    <xf numFmtId="0" fontId="73" fillId="21" borderId="210" xfId="53" applyNumberFormat="1" applyFont="1" applyFill="1" applyBorder="1" applyAlignment="1">
      <alignment horizontal="center" vertical="center" wrapText="1"/>
    </xf>
    <xf numFmtId="0" fontId="21" fillId="0" borderId="218" xfId="0" applyFont="1" applyFill="1" applyBorder="1" applyAlignment="1" applyProtection="1">
      <alignment horizontal="left" vertical="top" wrapText="1"/>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39"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0" fontId="21" fillId="0" borderId="217" xfId="0" applyFont="1" applyBorder="1" applyAlignment="1" applyProtection="1">
      <alignment horizontal="left"/>
      <protection locked="0"/>
    </xf>
    <xf numFmtId="43" fontId="15" fillId="30" borderId="0" xfId="60" applyFont="1" applyFill="1" applyBorder="1" applyAlignment="1" applyProtection="1">
      <alignment horizontal="center"/>
      <protection locked="0"/>
    </xf>
    <xf numFmtId="0" fontId="21" fillId="0" borderId="236" xfId="0" applyFont="1" applyFill="1" applyBorder="1" applyAlignment="1" applyProtection="1">
      <alignment horizontal="left"/>
      <protection locked="0"/>
    </xf>
    <xf numFmtId="0" fontId="21" fillId="0" borderId="237" xfId="0" applyFont="1" applyBorder="1" applyAlignment="1" applyProtection="1">
      <alignment horizontal="left"/>
      <protection locked="0"/>
    </xf>
    <xf numFmtId="0" fontId="21" fillId="0" borderId="236" xfId="0" applyFont="1" applyBorder="1" applyAlignment="1" applyProtection="1">
      <alignment horizontal="left"/>
      <protection locked="0"/>
    </xf>
    <xf numFmtId="43" fontId="17" fillId="31" borderId="0" xfId="39" applyFont="1" applyFill="1" applyAlignment="1">
      <alignment horizontal="center" vertic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48">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B55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8086500655307994"/>
          <c:y val="5.2401746724890827E-2"/>
          <c:w val="0.80996068152031453"/>
          <c:h val="0.64192139737991694"/>
        </c:manualLayout>
      </c:layout>
      <c:barChart>
        <c:barDir val="col"/>
        <c:grouping val="clustered"/>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val>
            <c:numRef>
              <c:f>'Introducerea datelor'!$C$33:$N$33</c:f>
              <c:numCache>
                <c:formatCode>#,##0</c:formatCode>
                <c:ptCount val="12"/>
                <c:pt idx="0">
                  <c:v>1156487.969924812</c:v>
                </c:pt>
                <c:pt idx="1">
                  <c:v>2692842.8571428573</c:v>
                </c:pt>
                <c:pt idx="2">
                  <c:v>4257027.6992481202</c:v>
                </c:pt>
                <c:pt idx="3">
                  <c:v>5799959.3984962404</c:v>
                </c:pt>
                <c:pt idx="4">
                  <c:v>6692947.9473684207</c:v>
                </c:pt>
                <c:pt idx="5">
                  <c:v>7489874.4360902254</c:v>
                </c:pt>
                <c:pt idx="6">
                  <c:v>7844786.3660902251</c:v>
                </c:pt>
                <c:pt idx="7">
                  <c:v>9268304.8360902257</c:v>
                </c:pt>
                <c:pt idx="8">
                  <c:v>0</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val>
            <c:numRef>
              <c:f>'Introducerea datelor'!$C$34:$N$34</c:f>
              <c:numCache>
                <c:formatCode>#,##0</c:formatCode>
                <c:ptCount val="12"/>
                <c:pt idx="0">
                  <c:v>2915238.3458646615</c:v>
                </c:pt>
                <c:pt idx="1">
                  <c:v>2915238.3458646615</c:v>
                </c:pt>
                <c:pt idx="2">
                  <c:v>4636866.9172932329</c:v>
                </c:pt>
                <c:pt idx="3">
                  <c:v>5209344.3609022554</c:v>
                </c:pt>
                <c:pt idx="4">
                  <c:v>5814181.9548872178</c:v>
                </c:pt>
                <c:pt idx="5">
                  <c:v>6747776.691729323</c:v>
                </c:pt>
                <c:pt idx="6">
                  <c:v>8931260.6917293221</c:v>
                </c:pt>
                <c:pt idx="7">
                  <c:v>8931260.6917293221</c:v>
                </c:pt>
                <c:pt idx="8">
                  <c:v>0</c:v>
                </c:pt>
                <c:pt idx="9">
                  <c:v>0</c:v>
                </c:pt>
                <c:pt idx="10">
                  <c:v>0</c:v>
                </c:pt>
                <c:pt idx="11">
                  <c:v>0</c:v>
                </c:pt>
              </c:numCache>
            </c:numRef>
          </c:val>
        </c:ser>
        <c:gapWidth val="70"/>
        <c:axId val="113246208"/>
        <c:axId val="113248512"/>
      </c:barChart>
      <c:catAx>
        <c:axId val="113246208"/>
        <c:scaling>
          <c:orientation val="minMax"/>
        </c:scaling>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532"/>
              <c:y val="0.78695641210787948"/>
            </c:manualLayout>
          </c:layout>
          <c:spPr>
            <a:noFill/>
            <a:ln w="25400">
              <a:noFill/>
            </a:ln>
          </c:spPr>
        </c:title>
        <c:numFmt formatCode="General" sourceLinked="1"/>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13248512"/>
        <c:crosses val="autoZero"/>
        <c:auto val="1"/>
        <c:lblAlgn val="ctr"/>
        <c:lblOffset val="100"/>
        <c:tickLblSkip val="1"/>
        <c:tickMarkSkip val="1"/>
      </c:catAx>
      <c:valAx>
        <c:axId val="113248512"/>
        <c:scaling>
          <c:orientation val="minMax"/>
        </c:scaling>
        <c:axPos val="l"/>
        <c:majorGridlines>
          <c:spPr>
            <a:ln w="3175">
              <a:solidFill>
                <a:srgbClr val="000000"/>
              </a:solidFill>
              <a:prstDash val="solid"/>
            </a:ln>
          </c:spPr>
        </c:majorGridlines>
        <c:numFmt formatCode="#,##0" sourceLinked="0"/>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13246208"/>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0.1310615492435161"/>
          <c:y val="0.88209606986899558"/>
          <c:w val="0.84665787195449171"/>
          <c:h val="0.10480349344978168"/>
        </c:manualLayout>
      </c:layout>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344" r="0.75000000000000344"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551941775369225"/>
          <c:y val="8.9552622711734767E-2"/>
          <c:w val="0.83314004319329982"/>
          <c:h val="0.65320736566206339"/>
        </c:manualLayout>
      </c:layout>
      <c:barChart>
        <c:barDir val="col"/>
        <c:grouping val="clustered"/>
        <c:ser>
          <c:idx val="0"/>
          <c:order val="0"/>
          <c:tx>
            <c:strRef>
              <c:f>'Introducerea datelor'!$G$121</c:f>
              <c:strCache>
                <c:ptCount val="1"/>
                <c:pt idx="0">
                  <c:v>Target // Ținta</c:v>
                </c:pt>
              </c:strCache>
            </c:strRef>
          </c:tx>
          <c:spPr>
            <a:solidFill>
              <a:srgbClr val="0066CC"/>
            </a:solidFill>
            <a:ln w="25400">
              <a:noFill/>
            </a:ln>
          </c:spPr>
          <c:val>
            <c:numRef>
              <c:f>'Introducerea datelor'!$H$121:$S$121</c:f>
              <c:numCache>
                <c:formatCode>#,##0</c:formatCode>
                <c:ptCount val="12"/>
                <c:pt idx="0">
                  <c:v>1298</c:v>
                </c:pt>
                <c:pt idx="1">
                  <c:v>1439</c:v>
                </c:pt>
                <c:pt idx="2">
                  <c:v>1626</c:v>
                </c:pt>
                <c:pt idx="3">
                  <c:v>1814</c:v>
                </c:pt>
                <c:pt idx="4">
                  <c:v>2031</c:v>
                </c:pt>
                <c:pt idx="5">
                  <c:v>2249</c:v>
                </c:pt>
                <c:pt idx="6">
                  <c:v>2643</c:v>
                </c:pt>
                <c:pt idx="7">
                  <c:v>2965</c:v>
                </c:pt>
              </c:numCache>
            </c:numRef>
          </c:val>
        </c:ser>
        <c:ser>
          <c:idx val="1"/>
          <c:order val="1"/>
          <c:tx>
            <c:strRef>
              <c:f>'Introducerea datelor'!$G$122</c:f>
              <c:strCache>
                <c:ptCount val="1"/>
                <c:pt idx="0">
                  <c:v>Achieved // Realizat</c:v>
                </c:pt>
              </c:strCache>
            </c:strRef>
          </c:tx>
          <c:spPr>
            <a:solidFill>
              <a:srgbClr val="00CCFF"/>
            </a:solidFill>
            <a:ln w="12700">
              <a:solidFill>
                <a:srgbClr val="000000"/>
              </a:solidFill>
              <a:prstDash val="solid"/>
            </a:ln>
          </c:spPr>
          <c:val>
            <c:numRef>
              <c:f>'Introducerea datelor'!$H$122:$S$122</c:f>
              <c:numCache>
                <c:formatCode>#,##0</c:formatCode>
                <c:ptCount val="12"/>
                <c:pt idx="0">
                  <c:v>1376</c:v>
                </c:pt>
                <c:pt idx="1">
                  <c:v>1580</c:v>
                </c:pt>
                <c:pt idx="2">
                  <c:v>1826</c:v>
                </c:pt>
                <c:pt idx="3">
                  <c:v>2110</c:v>
                </c:pt>
                <c:pt idx="4">
                  <c:v>2447</c:v>
                </c:pt>
                <c:pt idx="5">
                  <c:v>2705</c:v>
                </c:pt>
                <c:pt idx="6">
                  <c:v>2973</c:v>
                </c:pt>
                <c:pt idx="7">
                  <c:v>3274</c:v>
                </c:pt>
              </c:numCache>
            </c:numRef>
          </c:val>
        </c:ser>
        <c:axId val="118818304"/>
        <c:axId val="118819840"/>
      </c:barChart>
      <c:catAx>
        <c:axId val="118818304"/>
        <c:scaling>
          <c:orientation val="minMax"/>
        </c:scaling>
        <c:axPos val="b"/>
        <c:numFmt formatCode="General" sourceLinked="1"/>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18819840"/>
        <c:crosses val="autoZero"/>
        <c:auto val="1"/>
        <c:lblAlgn val="ctr"/>
        <c:lblOffset val="100"/>
        <c:tickLblSkip val="1"/>
        <c:tickMarkSkip val="1"/>
      </c:catAx>
      <c:valAx>
        <c:axId val="118819840"/>
        <c:scaling>
          <c:orientation val="minMax"/>
        </c:scaling>
        <c:axPos val="l"/>
        <c:majorGridlines>
          <c:spPr>
            <a:ln w="3175">
              <a:solidFill>
                <a:srgbClr val="000000"/>
              </a:solidFill>
              <a:prstDash val="solid"/>
            </a:ln>
          </c:spPr>
        </c:majorGridlines>
        <c:numFmt formatCode="_ * #,##0_ ;_ * \-#,##0_ ;_ * &quot;-&quot;_ ;_ @_ " sourceLinked="0"/>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18818304"/>
        <c:crosses val="autoZero"/>
        <c:crossBetween val="between"/>
      </c:valAx>
      <c:spPr>
        <a:noFill/>
        <a:ln w="25400">
          <a:noFill/>
        </a:ln>
      </c:spPr>
    </c:plotArea>
    <c:legend>
      <c:legendPos val="r"/>
      <c:layout>
        <c:manualLayout>
          <c:xMode val="edge"/>
          <c:yMode val="edge"/>
          <c:x val="0.18118466898954605"/>
          <c:y val="0.9109947643979055"/>
          <c:w val="0.57491289198605933"/>
          <c:h val="7.3298429319371833E-2"/>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344" r="0.750000000000003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4736842105264771E-2"/>
          <c:y val="9.7938144329897045E-2"/>
          <c:w val="0.89473684210526316"/>
          <c:h val="0.61340206185566526"/>
        </c:manualLayout>
      </c:layout>
      <c:barChart>
        <c:barDir val="col"/>
        <c:grouping val="clustered"/>
        <c:ser>
          <c:idx val="0"/>
          <c:order val="0"/>
          <c:tx>
            <c:strRef>
              <c:f>'Introducerea datelor'!$G$125</c:f>
              <c:strCache>
                <c:ptCount val="1"/>
                <c:pt idx="0">
                  <c:v>Target // Ținta</c:v>
                </c:pt>
              </c:strCache>
            </c:strRef>
          </c:tx>
          <c:spPr>
            <a:solidFill>
              <a:srgbClr val="0066CC"/>
            </a:solidFill>
            <a:ln w="25400">
              <a:noFill/>
            </a:ln>
          </c:spPr>
          <c:cat>
            <c:strRef>
              <c:f>'Introducerea datelor'!$H$115:$S$115</c:f>
              <c:strCache>
                <c:ptCount val="12"/>
                <c:pt idx="0">
                  <c:v>P1 (Q2.2010)</c:v>
                </c:pt>
                <c:pt idx="1">
                  <c:v>P2 (Q3-4.2010)</c:v>
                </c:pt>
                <c:pt idx="2">
                  <c:v>P3 (Q1-2.2011)</c:v>
                </c:pt>
                <c:pt idx="3">
                  <c:v>P4 (Q3-4.2011)</c:v>
                </c:pt>
                <c:pt idx="4">
                  <c:v>P5 (Q1-2.2012)</c:v>
                </c:pt>
                <c:pt idx="5">
                  <c:v>P6 (Q3-4.2012)</c:v>
                </c:pt>
                <c:pt idx="6">
                  <c:v>P7 (Q1-Q2.2013)</c:v>
                </c:pt>
                <c:pt idx="7">
                  <c:v>P8 (Q3-Q4.2013)</c:v>
                </c:pt>
                <c:pt idx="8">
                  <c:v>P9</c:v>
                </c:pt>
                <c:pt idx="9">
                  <c:v>P10</c:v>
                </c:pt>
                <c:pt idx="10">
                  <c:v>P11</c:v>
                </c:pt>
                <c:pt idx="11">
                  <c:v>P12</c:v>
                </c:pt>
              </c:strCache>
            </c:strRef>
          </c:cat>
          <c:val>
            <c:numRef>
              <c:f>'Introducerea datelor'!$H$125:$S$125</c:f>
              <c:numCache>
                <c:formatCode>#,##0</c:formatCode>
                <c:ptCount val="12"/>
                <c:pt idx="0">
                  <c:v>15057</c:v>
                </c:pt>
                <c:pt idx="1">
                  <c:v>16133</c:v>
                </c:pt>
                <c:pt idx="2">
                  <c:v>16849</c:v>
                </c:pt>
                <c:pt idx="3">
                  <c:v>17925</c:v>
                </c:pt>
                <c:pt idx="4">
                  <c:v>19717</c:v>
                </c:pt>
                <c:pt idx="5">
                  <c:v>21510</c:v>
                </c:pt>
                <c:pt idx="6">
                  <c:v>8517</c:v>
                </c:pt>
                <c:pt idx="7">
                  <c:v>9365</c:v>
                </c:pt>
              </c:numCache>
            </c:numRef>
          </c:val>
        </c:ser>
        <c:ser>
          <c:idx val="1"/>
          <c:order val="1"/>
          <c:tx>
            <c:strRef>
              <c:f>'Introducerea datelor'!$G$126</c:f>
              <c:strCache>
                <c:ptCount val="1"/>
                <c:pt idx="0">
                  <c:v>Achieved // Realizat</c:v>
                </c:pt>
              </c:strCache>
            </c:strRef>
          </c:tx>
          <c:cat>
            <c:strRef>
              <c:f>'Introducerea datelor'!$H$115:$S$115</c:f>
              <c:strCache>
                <c:ptCount val="12"/>
                <c:pt idx="0">
                  <c:v>P1 (Q2.2010)</c:v>
                </c:pt>
                <c:pt idx="1">
                  <c:v>P2 (Q3-4.2010)</c:v>
                </c:pt>
                <c:pt idx="2">
                  <c:v>P3 (Q1-2.2011)</c:v>
                </c:pt>
                <c:pt idx="3">
                  <c:v>P4 (Q3-4.2011)</c:v>
                </c:pt>
                <c:pt idx="4">
                  <c:v>P5 (Q1-2.2012)</c:v>
                </c:pt>
                <c:pt idx="5">
                  <c:v>P6 (Q3-4.2012)</c:v>
                </c:pt>
                <c:pt idx="6">
                  <c:v>P7 (Q1-Q2.2013)</c:v>
                </c:pt>
                <c:pt idx="7">
                  <c:v>P8 (Q3-Q4.2013)</c:v>
                </c:pt>
                <c:pt idx="8">
                  <c:v>P9</c:v>
                </c:pt>
                <c:pt idx="9">
                  <c:v>P10</c:v>
                </c:pt>
                <c:pt idx="10">
                  <c:v>P11</c:v>
                </c:pt>
                <c:pt idx="11">
                  <c:v>P12</c:v>
                </c:pt>
              </c:strCache>
            </c:strRef>
          </c:cat>
          <c:val>
            <c:numRef>
              <c:f>'Introducerea datelor'!$H$126:$S$126</c:f>
              <c:numCache>
                <c:formatCode>#,##0</c:formatCode>
                <c:ptCount val="12"/>
                <c:pt idx="0">
                  <c:v>13403</c:v>
                </c:pt>
                <c:pt idx="1">
                  <c:v>13732</c:v>
                </c:pt>
                <c:pt idx="2">
                  <c:v>14113</c:v>
                </c:pt>
                <c:pt idx="3">
                  <c:v>14815</c:v>
                </c:pt>
                <c:pt idx="4">
                  <c:v>16177</c:v>
                </c:pt>
                <c:pt idx="5">
                  <c:v>17544</c:v>
                </c:pt>
                <c:pt idx="6">
                  <c:v>7466</c:v>
                </c:pt>
                <c:pt idx="7">
                  <c:v>8712</c:v>
                </c:pt>
              </c:numCache>
            </c:numRef>
          </c:val>
        </c:ser>
        <c:axId val="118853632"/>
        <c:axId val="118855168"/>
      </c:barChart>
      <c:catAx>
        <c:axId val="118853632"/>
        <c:scaling>
          <c:orientation val="minMax"/>
        </c:scaling>
        <c:axPos val="b"/>
        <c:numFmt formatCode="General" sourceLinked="1"/>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18855168"/>
        <c:crosses val="autoZero"/>
        <c:auto val="1"/>
        <c:lblAlgn val="ctr"/>
        <c:lblOffset val="100"/>
        <c:tickLblSkip val="1"/>
        <c:tickMarkSkip val="1"/>
      </c:catAx>
      <c:valAx>
        <c:axId val="118855168"/>
        <c:scaling>
          <c:orientation val="minMax"/>
        </c:scaling>
        <c:axPos val="l"/>
        <c:majorGridlines>
          <c:spPr>
            <a:ln w="3175">
              <a:solidFill>
                <a:srgbClr val="000000"/>
              </a:solidFill>
              <a:prstDash val="solid"/>
            </a:ln>
          </c:spPr>
        </c:majorGridlines>
        <c:numFmt formatCode="_ * #,##0_ ;_ * \-#,##0_ ;_ * &quot;-&quot;_ ;_ @_ " sourceLinked="0"/>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18853632"/>
        <c:crosses val="autoZero"/>
        <c:crossBetween val="between"/>
      </c:valAx>
      <c:spPr>
        <a:noFill/>
        <a:ln w="25400">
          <a:noFill/>
        </a:ln>
      </c:spPr>
    </c:plotArea>
    <c:legend>
      <c:legendPos val="r"/>
      <c:layout>
        <c:manualLayout>
          <c:xMode val="edge"/>
          <c:yMode val="edge"/>
          <c:x val="0.39016934764342581"/>
          <c:y val="0.9192439862542956"/>
          <c:w val="0.60482281298996055"/>
          <c:h val="7.3883161512027493E-2"/>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0.74803149606299424" l="0.70866141732283705" r="0.70866141732283705" t="0.74803149606299424"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5" b="1" i="0" u="none" strike="noStrike" baseline="0">
                <a:solidFill>
                  <a:srgbClr val="000000"/>
                </a:solidFill>
                <a:latin typeface="Arial"/>
                <a:ea typeface="Arial"/>
                <a:cs typeface="Arial"/>
              </a:defRPr>
            </a:pPr>
            <a:r>
              <a:rPr lang="fr-FR"/>
              <a:t>Disbursements to PR</a:t>
            </a:r>
          </a:p>
        </c:rich>
      </c:tx>
      <c:layout/>
      <c:spPr>
        <a:noFill/>
        <a:ln w="25400">
          <a:noFill/>
        </a:ln>
      </c:spPr>
    </c:title>
    <c:plotArea>
      <c:layout/>
      <c:areaChart>
        <c:grouping val="standard"/>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 (Q2.2010)</c:v>
                </c:pt>
                <c:pt idx="1">
                  <c:v>P2 (Q3-4.2010)</c:v>
                </c:pt>
                <c:pt idx="2">
                  <c:v>P3 (Q1-2.2011)</c:v>
                </c:pt>
                <c:pt idx="3">
                  <c:v>P4 (Q3-4.2011)</c:v>
                </c:pt>
                <c:pt idx="4">
                  <c:v>P5 (Q1-2.2012)</c:v>
                </c:pt>
                <c:pt idx="5">
                  <c:v>P6 (Q3-4.2012)</c:v>
                </c:pt>
                <c:pt idx="6">
                  <c:v>P7 (Q1-2.2013)</c:v>
                </c:pt>
                <c:pt idx="7">
                  <c:v>P8 (Q3-4.2013)</c:v>
                </c:pt>
                <c:pt idx="8">
                  <c:v>P9</c:v>
                </c:pt>
                <c:pt idx="9">
                  <c:v>P10</c:v>
                </c:pt>
                <c:pt idx="10">
                  <c:v>P11</c:v>
                </c:pt>
              </c:strCache>
            </c:strRef>
          </c:cat>
          <c:val>
            <c:numRef>
              <c:f>'Introducerea datelor'!$C$33:$M$33</c:f>
              <c:numCache>
                <c:formatCode>#,##0</c:formatCode>
                <c:ptCount val="11"/>
                <c:pt idx="0">
                  <c:v>1156487.969924812</c:v>
                </c:pt>
                <c:pt idx="1">
                  <c:v>2692842.8571428573</c:v>
                </c:pt>
                <c:pt idx="2">
                  <c:v>4257027.6992481202</c:v>
                </c:pt>
                <c:pt idx="3">
                  <c:v>5799959.3984962404</c:v>
                </c:pt>
                <c:pt idx="4">
                  <c:v>6692947.9473684207</c:v>
                </c:pt>
                <c:pt idx="5">
                  <c:v>7489874.4360902254</c:v>
                </c:pt>
                <c:pt idx="6">
                  <c:v>7844786.3660902251</c:v>
                </c:pt>
                <c:pt idx="7">
                  <c:v>9268304.8360902257</c:v>
                </c:pt>
                <c:pt idx="8">
                  <c:v>0</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 (Q2.2010)</c:v>
                </c:pt>
                <c:pt idx="1">
                  <c:v>P2 (Q3-4.2010)</c:v>
                </c:pt>
                <c:pt idx="2">
                  <c:v>P3 (Q1-2.2011)</c:v>
                </c:pt>
                <c:pt idx="3">
                  <c:v>P4 (Q3-4.2011)</c:v>
                </c:pt>
                <c:pt idx="4">
                  <c:v>P5 (Q1-2.2012)</c:v>
                </c:pt>
                <c:pt idx="5">
                  <c:v>P6 (Q3-4.2012)</c:v>
                </c:pt>
                <c:pt idx="6">
                  <c:v>P7 (Q1-2.2013)</c:v>
                </c:pt>
                <c:pt idx="7">
                  <c:v>P8 (Q3-4.2013)</c:v>
                </c:pt>
                <c:pt idx="8">
                  <c:v>P9</c:v>
                </c:pt>
                <c:pt idx="9">
                  <c:v>P10</c:v>
                </c:pt>
                <c:pt idx="10">
                  <c:v>P11</c:v>
                </c:pt>
              </c:strCache>
            </c:strRef>
          </c:cat>
          <c:val>
            <c:numRef>
              <c:f>'Introducerea datelor'!$C$34:$M$34</c:f>
              <c:numCache>
                <c:formatCode>#,##0</c:formatCode>
                <c:ptCount val="11"/>
                <c:pt idx="0">
                  <c:v>2915238.3458646615</c:v>
                </c:pt>
                <c:pt idx="1">
                  <c:v>2915238.3458646615</c:v>
                </c:pt>
                <c:pt idx="2">
                  <c:v>4636866.9172932329</c:v>
                </c:pt>
                <c:pt idx="3">
                  <c:v>5209344.3609022554</c:v>
                </c:pt>
                <c:pt idx="4">
                  <c:v>5814181.9548872178</c:v>
                </c:pt>
                <c:pt idx="5">
                  <c:v>6747776.691729323</c:v>
                </c:pt>
                <c:pt idx="6">
                  <c:v>8931260.6917293221</c:v>
                </c:pt>
                <c:pt idx="7">
                  <c:v>8931260.6917293221</c:v>
                </c:pt>
                <c:pt idx="8">
                  <c:v>0</c:v>
                </c:pt>
                <c:pt idx="9">
                  <c:v>0</c:v>
                </c:pt>
                <c:pt idx="10">
                  <c:v>0</c:v>
                </c:pt>
              </c:numCache>
            </c:numRef>
          </c:val>
        </c:ser>
        <c:dropLines>
          <c:spPr>
            <a:ln w="3175">
              <a:solidFill>
                <a:srgbClr val="000000"/>
              </a:solidFill>
              <a:prstDash val="solid"/>
            </a:ln>
          </c:spPr>
        </c:dropLines>
        <c:axId val="119245440"/>
        <c:axId val="119259520"/>
      </c:areaChart>
      <c:catAx>
        <c:axId val="119245440"/>
        <c:scaling>
          <c:orientation val="minMax"/>
        </c:scaling>
        <c:axPos val="b"/>
        <c:numFmt formatCode="General" sourceLinked="1"/>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19259520"/>
        <c:crosses val="autoZero"/>
        <c:auto val="1"/>
        <c:lblAlgn val="ctr"/>
        <c:lblOffset val="100"/>
        <c:tickLblSkip val="8"/>
        <c:tickMarkSkip val="1"/>
      </c:catAx>
      <c:valAx>
        <c:axId val="119259520"/>
        <c:scaling>
          <c:orientation val="minMax"/>
        </c:scaling>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layout/>
          <c:spPr>
            <a:noFill/>
            <a:ln w="25400">
              <a:noFill/>
            </a:ln>
          </c:spPr>
        </c:title>
        <c:numFmt formatCode="_ * #,##0_ ;_ * \-#,##0_ ;_ * &quot;-&quot;_ ;_ @_ " sourceLinked="0"/>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1924544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344" r="0.750000000000003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26"/>
  <c:chart>
    <c:plotArea>
      <c:layout>
        <c:manualLayout>
          <c:layoutTarget val="inner"/>
          <c:xMode val="edge"/>
          <c:yMode val="edge"/>
          <c:x val="0.19434544681968671"/>
          <c:y val="7.5694015811474585E-2"/>
          <c:w val="0.74366824572258583"/>
          <c:h val="0.58032078788796482"/>
        </c:manualLayout>
      </c:layout>
      <c:barChart>
        <c:barDir val="col"/>
        <c:grouping val="stacked"/>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8931260.6899999995</c:v>
                </c:pt>
                <c:pt idx="1">
                  <c:v>7168279.7400000002</c:v>
                </c:pt>
                <c:pt idx="2">
                  <c:v>2216733.56</c:v>
                </c:pt>
                <c:pt idx="3">
                  <c:v>2216733.56</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0">
                  <c:v>0</c:v>
                </c:pt>
                <c:pt idx="1">
                  <c:v>1320146.07</c:v>
                </c:pt>
                <c:pt idx="2">
                  <c:v>391351.3</c:v>
                </c:pt>
                <c:pt idx="3">
                  <c:v>282336.05</c:v>
                </c:pt>
              </c:numCache>
            </c:numRef>
          </c:val>
        </c:ser>
        <c:overlap val="100"/>
        <c:axId val="101758080"/>
        <c:axId val="101759616"/>
      </c:barChart>
      <c:catAx>
        <c:axId val="10175808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1759616"/>
        <c:crossesAt val="0"/>
        <c:auto val="1"/>
        <c:lblAlgn val="ctr"/>
        <c:lblOffset val="100"/>
      </c:catAx>
      <c:valAx>
        <c:axId val="101759616"/>
        <c:scaling>
          <c:orientation val="minMax"/>
        </c:scaling>
        <c:axPos val="l"/>
        <c:majorGridlines/>
        <c:numFmt formatCode="#,##0" sourceLinked="0"/>
        <c:tickLblPos val="nextTo"/>
        <c:txPr>
          <a:bodyPr rot="0" vert="horz"/>
          <a:lstStyle/>
          <a:p>
            <a:pPr>
              <a:defRPr sz="800" b="0" i="0" u="none" strike="noStrike" baseline="0">
                <a:solidFill>
                  <a:srgbClr val="000000"/>
                </a:solidFill>
                <a:latin typeface="Arial"/>
                <a:ea typeface="Arial"/>
                <a:cs typeface="Arial"/>
              </a:defRPr>
            </a:pPr>
            <a:endParaRPr lang="en-US"/>
          </a:p>
        </c:txPr>
        <c:crossAx val="101758080"/>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44" r="0.75000000000000344"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4742014742014831"/>
          <c:y val="9.3877551020408165E-2"/>
          <c:w val="0.84029484029484458"/>
          <c:h val="0.53469387755102471"/>
        </c:manualLayout>
      </c:layout>
      <c:barChart>
        <c:barDir val="col"/>
        <c:grouping val="clustered"/>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cat>
            <c:strRef>
              <c:f>'Introducerea datelor'!$B$39:$B$43</c:f>
              <c:strCache>
                <c:ptCount val="5"/>
                <c:pt idx="0">
                  <c:v>Acces la prevenire si testare</c:v>
                </c:pt>
                <c:pt idx="1">
                  <c:v>Sporire accesului educational a populatiei afectate de HIV/SIDA la servicii sociale si de sanatate</c:v>
                </c:pt>
                <c:pt idx="2">
                  <c:v>COORDONARE IMBUNATATITA SI PARTENERIAT</c:v>
                </c:pt>
                <c:pt idx="3">
                  <c:v>De a imbunatati performanta programului prin imbunatatirea infrastructurii</c:v>
                </c:pt>
                <c:pt idx="4">
                  <c:v>Utilizarea dobinzii </c:v>
                </c:pt>
              </c:strCache>
            </c:strRef>
          </c:cat>
          <c:val>
            <c:numRef>
              <c:f>'Introducerea datelor'!$C$39:$C$43</c:f>
              <c:numCache>
                <c:formatCode>#,##0</c:formatCode>
                <c:ptCount val="5"/>
                <c:pt idx="0">
                  <c:v>3465279.3188721803</c:v>
                </c:pt>
                <c:pt idx="1">
                  <c:v>4786664.2678947365</c:v>
                </c:pt>
                <c:pt idx="2">
                  <c:v>371726.31578947365</c:v>
                </c:pt>
                <c:pt idx="3">
                  <c:v>477565.41353383457</c:v>
                </c:pt>
                <c:pt idx="4">
                  <c:v>0</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cat>
            <c:strRef>
              <c:f>'Introducerea datelor'!$B$39:$B$43</c:f>
              <c:strCache>
                <c:ptCount val="5"/>
                <c:pt idx="0">
                  <c:v>Acces la prevenire si testare</c:v>
                </c:pt>
                <c:pt idx="1">
                  <c:v>Sporire accesului educational a populatiei afectate de HIV/SIDA la servicii sociale si de sanatate</c:v>
                </c:pt>
                <c:pt idx="2">
                  <c:v>COORDONARE IMBUNATATITA SI PARTENERIAT</c:v>
                </c:pt>
                <c:pt idx="3">
                  <c:v>De a imbunatati performanta programului prin imbunatatirea infrastructurii</c:v>
                </c:pt>
                <c:pt idx="4">
                  <c:v>Utilizarea dobinzii </c:v>
                </c:pt>
              </c:strCache>
            </c:strRef>
          </c:cat>
          <c:val>
            <c:numRef>
              <c:f>'Introducerea datelor'!$D$39:$D$43</c:f>
              <c:numCache>
                <c:formatCode>#,##0</c:formatCode>
                <c:ptCount val="5"/>
                <c:pt idx="0">
                  <c:v>3665455.7736090217</c:v>
                </c:pt>
                <c:pt idx="1">
                  <c:v>3735464.961578947</c:v>
                </c:pt>
                <c:pt idx="2">
                  <c:v>285407.23308270675</c:v>
                </c:pt>
                <c:pt idx="3">
                  <c:v>285609.43609022553</c:v>
                </c:pt>
                <c:pt idx="4">
                  <c:v>80903.300375939856</c:v>
                </c:pt>
              </c:numCache>
            </c:numRef>
          </c:val>
        </c:ser>
        <c:axId val="103269120"/>
        <c:axId val="103270656"/>
      </c:barChart>
      <c:catAx>
        <c:axId val="103269120"/>
        <c:scaling>
          <c:orientation val="minMax"/>
        </c:scaling>
        <c:axPos val="b"/>
        <c:numFmt formatCode="General" sourceLinked="1"/>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03270656"/>
        <c:crosses val="autoZero"/>
        <c:auto val="1"/>
        <c:lblAlgn val="ctr"/>
        <c:lblOffset val="100"/>
        <c:tickMarkSkip val="1"/>
      </c:catAx>
      <c:valAx>
        <c:axId val="103270656"/>
        <c:scaling>
          <c:orientation val="minMax"/>
        </c:scaling>
        <c:axPos val="l"/>
        <c:majorGridlines>
          <c:spPr>
            <a:ln w="3175">
              <a:solidFill>
                <a:srgbClr val="000000"/>
              </a:solidFill>
              <a:prstDash val="solid"/>
            </a:ln>
          </c:spPr>
        </c:majorGridlines>
        <c:numFmt formatCode="#,##0" sourceLinked="0"/>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03269120"/>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344" r="0.75000000000000344"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26"/>
  <c:chart>
    <c:plotArea>
      <c:layout>
        <c:manualLayout>
          <c:layoutTarget val="inner"/>
          <c:xMode val="edge"/>
          <c:yMode val="edge"/>
          <c:x val="5.9322033898305815E-2"/>
          <c:y val="0.19565217391304232"/>
          <c:w val="0.8728813559322034"/>
          <c:h val="0.42028985507246591"/>
        </c:manualLayout>
      </c:layout>
      <c:barChart>
        <c:barDir val="bar"/>
        <c:grouping val="percentStacked"/>
        <c:ser>
          <c:idx val="0"/>
          <c:order val="0"/>
          <c:tx>
            <c:strRef>
              <c:f>'Introducerea datelor'!$C$78</c:f>
              <c:strCache>
                <c:ptCount val="1"/>
                <c:pt idx="0">
                  <c:v>Planificate</c:v>
                </c:pt>
              </c:strCache>
            </c:strRef>
          </c:tx>
          <c:spPr>
            <a:noFill/>
            <a:ln w="25400">
              <a:noFill/>
            </a:ln>
            <a:effectLst>
              <a:outerShdw dist="35921" dir="2700000" algn="br">
                <a:srgbClr val="000000"/>
              </a:outerShdw>
            </a:effectLst>
          </c:spPr>
          <c:dLbls>
            <c:dLbl>
              <c:idx val="0"/>
              <c:layout>
                <c:manualLayout>
                  <c:x val="0.25756020558851533"/>
                  <c:y val="-0.27254608684033743"/>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Val val="1"/>
              <c:showSerName val="1"/>
              <c:extLs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Val val="1"/>
            <c:showSerName val="1"/>
            <c:extLst>
              <c:ext xmlns:c15="http://schemas.microsoft.com/office/drawing/2012/chart" uri="{CE6537A1-D6FC-4f65-9D91-7224C49458BB}">
                <c15:showLeaderLines val="0"/>
              </c:ext>
            </c:extLst>
          </c:dLbls>
          <c:val>
            <c:numRef>
              <c:f>'Introducerea datelor'!$C$79</c:f>
              <c:numCache>
                <c:formatCode>General</c:formatCode>
                <c:ptCount val="1"/>
                <c:pt idx="0">
                  <c:v>6</c:v>
                </c:pt>
              </c:numCache>
            </c:numRef>
          </c:val>
        </c:ser>
        <c:gapWidth val="79"/>
        <c:overlap val="100"/>
        <c:axId val="103873536"/>
        <c:axId val="103637760"/>
      </c:barChart>
      <c:barChart>
        <c:barDir val="bar"/>
        <c:grouping val="percentStacked"/>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Val val="1"/>
            <c:extLst>
              <c:ext xmlns:c15="http://schemas.microsoft.com/office/drawing/2012/chart" uri="{CE6537A1-D6FC-4f65-9D91-7224C49458BB}">
                <c15:showLeaderLines val="0"/>
              </c:ext>
            </c:extLst>
          </c:dLbls>
          <c:val>
            <c:numRef>
              <c:f>'Introducerea datelor'!$D$79</c:f>
              <c:numCache>
                <c:formatCode>General</c:formatCode>
                <c:ptCount val="1"/>
                <c:pt idx="0">
                  <c:v>5</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Val val="1"/>
            <c:extLst>
              <c:ext xmlns:c15="http://schemas.microsoft.com/office/drawing/2012/chart" uri="{CE6537A1-D6FC-4f65-9D91-7224C49458BB}">
                <c15:showLeaderLines val="0"/>
              </c:ext>
            </c:extLst>
          </c:dLbls>
          <c:val>
            <c:numRef>
              <c:f>'Introducerea datelor'!$E$79</c:f>
              <c:numCache>
                <c:formatCode>General</c:formatCode>
                <c:ptCount val="1"/>
                <c:pt idx="0">
                  <c:v>1</c:v>
                </c:pt>
              </c:numCache>
            </c:numRef>
          </c:val>
        </c:ser>
        <c:gapWidth val="191"/>
        <c:overlap val="100"/>
        <c:axId val="103639296"/>
        <c:axId val="103641088"/>
      </c:barChart>
      <c:catAx>
        <c:axId val="103873536"/>
        <c:scaling>
          <c:orientation val="minMax"/>
        </c:scaling>
        <c:delete val="1"/>
        <c:axPos val="l"/>
        <c:tickLblPos val="none"/>
        <c:crossAx val="103637760"/>
        <c:crosses val="autoZero"/>
        <c:auto val="1"/>
        <c:lblAlgn val="ctr"/>
        <c:lblOffset val="100"/>
      </c:catAx>
      <c:valAx>
        <c:axId val="103637760"/>
        <c:scaling>
          <c:orientation val="minMax"/>
        </c:scaling>
        <c:axPos val="t"/>
        <c:majorGridlines>
          <c:spPr>
            <a:ln w="3175">
              <a:solidFill>
                <a:srgbClr val="000000"/>
              </a:solidFill>
              <a:prstDash val="solid"/>
            </a:ln>
          </c:spPr>
        </c:majorGridlines>
        <c:numFmt formatCode="0%" sourceLinked="1"/>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03873536"/>
        <c:crosses val="max"/>
        <c:crossBetween val="between"/>
      </c:valAx>
      <c:catAx>
        <c:axId val="103639296"/>
        <c:scaling>
          <c:orientation val="minMax"/>
        </c:scaling>
        <c:delete val="1"/>
        <c:axPos val="l"/>
        <c:tickLblPos val="none"/>
        <c:crossAx val="103641088"/>
        <c:crosses val="autoZero"/>
        <c:lblAlgn val="ctr"/>
        <c:lblOffset val="100"/>
      </c:catAx>
      <c:valAx>
        <c:axId val="103641088"/>
        <c:scaling>
          <c:orientation val="minMax"/>
        </c:scaling>
        <c:axPos val="b"/>
        <c:numFmt formatCode="0%" sourceLinked="1"/>
        <c:majorTickMark val="none"/>
        <c:tickLblPos val="none"/>
        <c:spPr>
          <a:ln w="3175">
            <a:solidFill>
              <a:srgbClr val="000000"/>
            </a:solidFill>
            <a:prstDash val="solid"/>
          </a:ln>
        </c:spPr>
        <c:crossAx val="103639296"/>
        <c:crosses val="autoZero"/>
        <c:crossBetween val="between"/>
      </c:valAx>
    </c:plotArea>
    <c:legend>
      <c:legendPos val="r"/>
      <c:legendEntry>
        <c:idx val="0"/>
        <c:delete val="1"/>
      </c:legendEntry>
      <c:layout>
        <c:manualLayout>
          <c:xMode val="edge"/>
          <c:yMode val="edge"/>
          <c:x val="0.29449152542372875"/>
          <c:y val="0.80434782608695654"/>
          <c:w val="0.19491525423728912"/>
          <c:h val="0.14492753623188404"/>
        </c:manualLayout>
      </c:layout>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44" r="0.7500000000000034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7.0938215102974822E-2"/>
          <c:y val="0.13661275087917776"/>
          <c:w val="0.89702517162471462"/>
          <c:h val="0.60656061390354965"/>
        </c:manualLayout>
      </c:layout>
      <c:barChart>
        <c:barDir val="col"/>
        <c:grouping val="clustered"/>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extLst>
              <c:ext xmlns:c15="http://schemas.microsoft.com/office/drawing/2012/chart" uri="{CE6537A1-D6FC-4f65-9D91-7224C49458BB}">
                <c15:showLeaderLines val="0"/>
              </c:ext>
            </c:extLst>
          </c:dLbls>
          <c:val>
            <c:numRef>
              <c:f>'Introducerea datelor'!$C$84</c:f>
              <c:numCache>
                <c:formatCode>General</c:formatCode>
                <c:ptCount val="1"/>
                <c:pt idx="0">
                  <c:v>1</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extLst>
              <c:ext xmlns:c15="http://schemas.microsoft.com/office/drawing/2012/chart" uri="{CE6537A1-D6FC-4f65-9D91-7224C49458BB}">
                <c15:showLeaderLines val="0"/>
              </c:ext>
            </c:extLst>
          </c:dLbls>
          <c:val>
            <c:numRef>
              <c:f>'Introducerea datelor'!$D$84</c:f>
              <c:numCache>
                <c:formatCode>General</c:formatCode>
                <c:ptCount val="1"/>
                <c:pt idx="0">
                  <c:v>1</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extLst>
              <c:ext xmlns:c15="http://schemas.microsoft.com/office/drawing/2012/chart" uri="{CE6537A1-D6FC-4f65-9D91-7224C49458BB}">
                <c15:showLeaderLines val="0"/>
              </c:ext>
            </c:extLst>
          </c:dLbls>
          <c:val>
            <c:numRef>
              <c:f>'Introducerea datelor'!$E$84</c:f>
              <c:numCache>
                <c:formatCode>General</c:formatCode>
                <c:ptCount val="1"/>
                <c:pt idx="0">
                  <c:v>1</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extLst>
              <c:ext xmlns:c15="http://schemas.microsoft.com/office/drawing/2012/chart" uri="{CE6537A1-D6FC-4f65-9D91-7224C49458BB}">
                <c15:showLeaderLines val="0"/>
              </c:ext>
            </c:extLst>
          </c:dLbls>
          <c:val>
            <c:numRef>
              <c:f>'Introducerea datelor'!$F$84</c:f>
              <c:numCache>
                <c:formatCode>General</c:formatCode>
                <c:ptCount val="1"/>
                <c:pt idx="0">
                  <c:v>1</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extLst>
              <c:ext xmlns:c15="http://schemas.microsoft.com/office/drawing/2012/chart" uri="{CE6537A1-D6FC-4f65-9D91-7224C49458BB}">
                <c15:showLeaderLines val="0"/>
              </c:ext>
            </c:extLst>
          </c:dLbls>
          <c:val>
            <c:numRef>
              <c:f>'Introducerea datelor'!$G$84</c:f>
              <c:numCache>
                <c:formatCode>General</c:formatCode>
                <c:ptCount val="1"/>
                <c:pt idx="0">
                  <c:v>1</c:v>
                </c:pt>
              </c:numCache>
            </c:numRef>
          </c:val>
        </c:ser>
        <c:overlap val="-20"/>
        <c:axId val="118620928"/>
        <c:axId val="118622464"/>
      </c:barChart>
      <c:catAx>
        <c:axId val="118620928"/>
        <c:scaling>
          <c:orientation val="minMax"/>
        </c:scaling>
        <c:axPos val="b"/>
        <c:majorTickMark val="none"/>
        <c:tickLblPos val="none"/>
        <c:spPr>
          <a:ln w="3175">
            <a:solidFill>
              <a:srgbClr val="000000"/>
            </a:solidFill>
            <a:prstDash val="solid"/>
          </a:ln>
        </c:spPr>
        <c:crossAx val="118622464"/>
        <c:crosses val="autoZero"/>
        <c:lblAlgn val="ctr"/>
        <c:lblOffset val="100"/>
        <c:tickMarkSkip val="1"/>
      </c:catAx>
      <c:valAx>
        <c:axId val="118622464"/>
        <c:scaling>
          <c:orientation val="minMax"/>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8620928"/>
        <c:crosses val="autoZero"/>
        <c:crossBetween val="between"/>
      </c:valAx>
      <c:spPr>
        <a:noFill/>
        <a:ln w="25400">
          <a:noFill/>
        </a:ln>
      </c:spPr>
    </c:plotArea>
    <c:legend>
      <c:legendPos val="r"/>
      <c:layout>
        <c:manualLayout>
          <c:xMode val="edge"/>
          <c:yMode val="edge"/>
          <c:x val="7.5117370892018934E-2"/>
          <c:y val="0.85245901639345012"/>
          <c:w val="0.85446009389671351"/>
          <c:h val="0.1092896174863396"/>
        </c:manualLayout>
      </c:layout>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44" r="0.750000000000003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37299771167048251"/>
          <c:y val="5.6000000000000001E-2"/>
          <c:w val="0.54462242562929064"/>
          <c:h val="0.56000000000000005"/>
        </c:manualLayout>
      </c:layout>
      <c:barChart>
        <c:barDir val="bar"/>
        <c:grouping val="percentStacked"/>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pt idx="0">
                  <c:v>0</c:v>
                </c:pt>
                <c:pt idx="1">
                  <c:v>0</c:v>
                </c:pt>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Val val="1"/>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pt idx="0">
                  <c:v>0</c:v>
                </c:pt>
                <c:pt idx="1">
                  <c:v>0</c:v>
                </c:pt>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pt idx="0">
                  <c:v>0</c:v>
                </c:pt>
                <c:pt idx="1">
                  <c:v>0</c:v>
                </c:pt>
              </c:numCache>
            </c:numRef>
          </c:val>
        </c:ser>
        <c:gapWidth val="70"/>
        <c:overlap val="100"/>
        <c:axId val="118677888"/>
        <c:axId val="118679424"/>
      </c:barChart>
      <c:catAx>
        <c:axId val="118677888"/>
        <c:scaling>
          <c:orientation val="minMax"/>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8679424"/>
        <c:crosses val="autoZero"/>
        <c:auto val="1"/>
        <c:lblAlgn val="ctr"/>
        <c:lblOffset val="100"/>
        <c:tickLblSkip val="1"/>
        <c:tickMarkSkip val="1"/>
      </c:catAx>
      <c:valAx>
        <c:axId val="118679424"/>
        <c:scaling>
          <c:orientation val="minMax"/>
        </c:scaling>
        <c:axPos val="b"/>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8677888"/>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344" r="0.75000000000000344"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26"/>
  <c:chart>
    <c:plotArea>
      <c:layout>
        <c:manualLayout>
          <c:layoutTarget val="inner"/>
          <c:xMode val="edge"/>
          <c:yMode val="edge"/>
          <c:x val="0.21472435519786046"/>
          <c:y val="0.12154728922244371"/>
          <c:w val="0.60327318841303279"/>
          <c:h val="0.5524876782838356"/>
        </c:manualLayout>
      </c:layout>
      <c:barChart>
        <c:barDir val="bar"/>
        <c:grouping val="percentStacked"/>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Val val="1"/>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datelor'!$D$89:$D$90</c:f>
              <c:numCache>
                <c:formatCode>0</c:formatCode>
                <c:ptCount val="2"/>
                <c:pt idx="1">
                  <c:v>2</c:v>
                </c:pt>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Val val="1"/>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ser>
        <c:gapWidth val="101"/>
        <c:overlap val="100"/>
        <c:axId val="118790784"/>
        <c:axId val="118800768"/>
      </c:barChart>
      <c:catAx>
        <c:axId val="118790784"/>
        <c:scaling>
          <c:orientation val="minMax"/>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18800768"/>
        <c:crosses val="autoZero"/>
        <c:auto val="1"/>
        <c:lblAlgn val="ctr"/>
        <c:lblOffset val="100"/>
      </c:catAx>
      <c:valAx>
        <c:axId val="118800768"/>
        <c:scaling>
          <c:orientation val="minMax"/>
        </c:scaling>
        <c:axPos val="t"/>
        <c:majorGridlines>
          <c:spPr>
            <a:ln w="3175">
              <a:solidFill>
                <a:srgbClr val="000000"/>
              </a:solidFill>
              <a:prstDash val="solid"/>
            </a:ln>
          </c:spPr>
        </c:majorGridlines>
        <c:numFmt formatCode="0%" sourceLinked="1"/>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18790784"/>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en-US"/>
          </a:p>
        </c:txPr>
      </c:legendEntry>
      <c:legendEntry>
        <c:idx val="1"/>
        <c:txPr>
          <a:bodyPr/>
          <a:lstStyle/>
          <a:p>
            <a:pPr>
              <a:defRPr sz="675" b="0" i="0" u="none" strike="noStrike" baseline="0">
                <a:solidFill>
                  <a:srgbClr val="000000"/>
                </a:solidFill>
                <a:latin typeface="Calibri"/>
                <a:ea typeface="Calibri"/>
                <a:cs typeface="Calibri"/>
              </a:defRPr>
            </a:pPr>
            <a:endParaRPr lang="en-US"/>
          </a:p>
        </c:txPr>
      </c:legendEntry>
      <c:layout>
        <c:manualLayout>
          <c:xMode val="edge"/>
          <c:yMode val="edge"/>
          <c:x val="0.31827956989247691"/>
          <c:y val="0.81215469613260005"/>
          <c:w val="0.35483870967742226"/>
          <c:h val="0.13259668508287392"/>
        </c:manualLayout>
      </c:layout>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44" r="0.75000000000000344"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671679861629206"/>
          <c:y val="0.10989010989011012"/>
          <c:w val="0.81094724363350912"/>
          <c:h val="0.54395604395604358"/>
        </c:manualLayout>
      </c:layout>
      <c:lineChart>
        <c:grouping val="standard"/>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840814.28571428568</c:v>
                </c:pt>
                <c:pt idx="1">
                  <c:v>1694026.3157894737</c:v>
                </c:pt>
                <c:pt idx="2">
                  <c:v>2788616.5413533831</c:v>
                </c:pt>
                <c:pt idx="3">
                  <c:v>3676815.7368421047</c:v>
                </c:pt>
                <c:pt idx="4">
                  <c:v>4131567.8947368413</c:v>
                </c:pt>
                <c:pt idx="5">
                  <c:v>4534659.7969924808</c:v>
                </c:pt>
                <c:pt idx="6">
                  <c:v>4780609.0469924808</c:v>
                </c:pt>
                <c:pt idx="7">
                  <c:v>5888901.7569924807</c:v>
                </c:pt>
                <c:pt idx="8">
                  <c:v>5888901.7569924807</c:v>
                </c:pt>
                <c:pt idx="9">
                  <c:v>5888901.7569924807</c:v>
                </c:pt>
                <c:pt idx="10">
                  <c:v>5888901.7569924807</c:v>
                </c:pt>
                <c:pt idx="11">
                  <c:v>5888901.7569924807</c:v>
                </c:pt>
              </c:numCache>
            </c:numRef>
          </c:val>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223328.96240601505</c:v>
                </c:pt>
                <c:pt idx="1">
                  <c:v>931703.55639097735</c:v>
                </c:pt>
                <c:pt idx="2">
                  <c:v>1655798.2932330826</c:v>
                </c:pt>
                <c:pt idx="3">
                  <c:v>2662145.6240601502</c:v>
                </c:pt>
                <c:pt idx="4">
                  <c:v>3176042.9172932329</c:v>
                </c:pt>
                <c:pt idx="5">
                  <c:v>4004300.8120300751</c:v>
                </c:pt>
                <c:pt idx="6">
                  <c:v>4518558.6220300747</c:v>
                </c:pt>
                <c:pt idx="7">
                  <c:v>5244214.6120300749</c:v>
                </c:pt>
                <c:pt idx="8">
                  <c:v>5244214.6120300749</c:v>
                </c:pt>
                <c:pt idx="9">
                  <c:v>5244214.6120300749</c:v>
                </c:pt>
                <c:pt idx="10">
                  <c:v>5244214.6120300749</c:v>
                </c:pt>
                <c:pt idx="11">
                  <c:v>5244214.6120300749</c:v>
                </c:pt>
              </c:numCache>
            </c:numRef>
          </c:val>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223328.96240601505</c:v>
                </c:pt>
                <c:pt idx="1">
                  <c:v>931703.55639097735</c:v>
                </c:pt>
                <c:pt idx="2">
                  <c:v>1483950.7593984962</c:v>
                </c:pt>
                <c:pt idx="3">
                  <c:v>2442528.5413533831</c:v>
                </c:pt>
                <c:pt idx="4">
                  <c:v>2823384.3759398493</c:v>
                </c:pt>
                <c:pt idx="5">
                  <c:v>3765171.8872180446</c:v>
                </c:pt>
                <c:pt idx="6">
                  <c:v>4097838.5172180445</c:v>
                </c:pt>
                <c:pt idx="7">
                  <c:v>4968857.307218045</c:v>
                </c:pt>
                <c:pt idx="8">
                  <c:v>4968857.307218045</c:v>
                </c:pt>
                <c:pt idx="9">
                  <c:v>4968857.307218045</c:v>
                </c:pt>
                <c:pt idx="10">
                  <c:v>4968857.307218045</c:v>
                </c:pt>
                <c:pt idx="11">
                  <c:v>4968857.307218045</c:v>
                </c:pt>
              </c:numCache>
            </c:numRef>
          </c:val>
        </c:ser>
        <c:marker val="1"/>
        <c:axId val="118905856"/>
        <c:axId val="118919936"/>
      </c:lineChart>
      <c:catAx>
        <c:axId val="118905856"/>
        <c:scaling>
          <c:orientation val="minMax"/>
        </c:scaling>
        <c:axPos val="b"/>
        <c:numFmt formatCode="General" sourceLinked="1"/>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18919936"/>
        <c:crosses val="autoZero"/>
        <c:auto val="1"/>
        <c:lblAlgn val="ctr"/>
        <c:lblOffset val="100"/>
        <c:tickLblSkip val="1"/>
        <c:tickMarkSkip val="1"/>
      </c:catAx>
      <c:valAx>
        <c:axId val="118919936"/>
        <c:scaling>
          <c:orientation val="minMax"/>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18905856"/>
        <c:crosses val="autoZero"/>
        <c:crossBetween val="between"/>
      </c:valAx>
      <c:spPr>
        <a:solidFill>
          <a:srgbClr val="FFFFFF"/>
        </a:solidFill>
        <a:ln w="12700">
          <a:solidFill>
            <a:srgbClr val="808080"/>
          </a:solidFill>
          <a:prstDash val="solid"/>
        </a:ln>
      </c:spPr>
    </c:plotArea>
    <c:legend>
      <c:legendPos val="r"/>
      <c:layout>
        <c:manualLayout>
          <c:xMode val="edge"/>
          <c:yMode val="edge"/>
          <c:x val="6.2189054726368161E-2"/>
          <c:y val="0.69780219780219777"/>
          <c:w val="0.922885572139307"/>
          <c:h val="0.17582417582417589"/>
        </c:manualLayout>
      </c:layout>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44" r="0.75000000000000344"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5070422535211266E-2"/>
          <c:y val="9.8445595854922296E-2"/>
          <c:w val="0.89436619718309851"/>
          <c:h val="0.61658031088082899"/>
        </c:manualLayout>
      </c:layout>
      <c:barChart>
        <c:barDir val="col"/>
        <c:grouping val="clustered"/>
        <c:ser>
          <c:idx val="0"/>
          <c:order val="0"/>
          <c:tx>
            <c:strRef>
              <c:f>'Introducerea datelor'!$G$119</c:f>
              <c:strCache>
                <c:ptCount val="1"/>
                <c:pt idx="0">
                  <c:v>Target // Ținta</c:v>
                </c:pt>
              </c:strCache>
            </c:strRef>
          </c:tx>
          <c:spPr>
            <a:solidFill>
              <a:srgbClr val="0066CC"/>
            </a:solidFill>
            <a:ln w="25400">
              <a:noFill/>
            </a:ln>
          </c:spPr>
          <c:cat>
            <c:strRef>
              <c:f>'Introducerea datelor'!$H$115:$S$115</c:f>
              <c:strCache>
                <c:ptCount val="12"/>
                <c:pt idx="0">
                  <c:v>P1 (Q2.2010)</c:v>
                </c:pt>
                <c:pt idx="1">
                  <c:v>P2 (Q3-4.2010)</c:v>
                </c:pt>
                <c:pt idx="2">
                  <c:v>P3 (Q1-2.2011)</c:v>
                </c:pt>
                <c:pt idx="3">
                  <c:v>P4 (Q3-4.2011)</c:v>
                </c:pt>
                <c:pt idx="4">
                  <c:v>P5 (Q1-2.2012)</c:v>
                </c:pt>
                <c:pt idx="5">
                  <c:v>P6 (Q3-4.2012)</c:v>
                </c:pt>
                <c:pt idx="6">
                  <c:v>P7 (Q1-Q2.2013)</c:v>
                </c:pt>
                <c:pt idx="7">
                  <c:v>P8 (Q3-Q4.2013)</c:v>
                </c:pt>
                <c:pt idx="8">
                  <c:v>P9</c:v>
                </c:pt>
                <c:pt idx="9">
                  <c:v>P10</c:v>
                </c:pt>
                <c:pt idx="10">
                  <c:v>P11</c:v>
                </c:pt>
                <c:pt idx="11">
                  <c:v>P12</c:v>
                </c:pt>
              </c:strCache>
            </c:strRef>
          </c:cat>
          <c:val>
            <c:numRef>
              <c:f>'Introducerea datelor'!$H$119:$S$119</c:f>
              <c:numCache>
                <c:formatCode>#,##0</c:formatCode>
                <c:ptCount val="12"/>
                <c:pt idx="1">
                  <c:v>90</c:v>
                </c:pt>
                <c:pt idx="3">
                  <c:v>92</c:v>
                </c:pt>
                <c:pt idx="5">
                  <c:v>93</c:v>
                </c:pt>
              </c:numCache>
            </c:numRef>
          </c:val>
        </c:ser>
        <c:ser>
          <c:idx val="1"/>
          <c:order val="1"/>
          <c:tx>
            <c:strRef>
              <c:f>'Introducerea datelor'!$G$120</c:f>
              <c:strCache>
                <c:ptCount val="1"/>
                <c:pt idx="0">
                  <c:v>Achieved // Realizat</c:v>
                </c:pt>
              </c:strCache>
            </c:strRef>
          </c:tx>
          <c:spPr>
            <a:solidFill>
              <a:srgbClr val="00CCFF"/>
            </a:solidFill>
            <a:ln w="12700">
              <a:solidFill>
                <a:srgbClr val="000000"/>
              </a:solidFill>
              <a:prstDash val="solid"/>
            </a:ln>
          </c:spPr>
          <c:cat>
            <c:strRef>
              <c:f>'Introducerea datelor'!$H$115:$S$115</c:f>
              <c:strCache>
                <c:ptCount val="12"/>
                <c:pt idx="0">
                  <c:v>P1 (Q2.2010)</c:v>
                </c:pt>
                <c:pt idx="1">
                  <c:v>P2 (Q3-4.2010)</c:v>
                </c:pt>
                <c:pt idx="2">
                  <c:v>P3 (Q1-2.2011)</c:v>
                </c:pt>
                <c:pt idx="3">
                  <c:v>P4 (Q3-4.2011)</c:v>
                </c:pt>
                <c:pt idx="4">
                  <c:v>P5 (Q1-2.2012)</c:v>
                </c:pt>
                <c:pt idx="5">
                  <c:v>P6 (Q3-4.2012)</c:v>
                </c:pt>
                <c:pt idx="6">
                  <c:v>P7 (Q1-Q2.2013)</c:v>
                </c:pt>
                <c:pt idx="7">
                  <c:v>P8 (Q3-Q4.2013)</c:v>
                </c:pt>
                <c:pt idx="8">
                  <c:v>P9</c:v>
                </c:pt>
                <c:pt idx="9">
                  <c:v>P10</c:v>
                </c:pt>
                <c:pt idx="10">
                  <c:v>P11</c:v>
                </c:pt>
                <c:pt idx="11">
                  <c:v>P12</c:v>
                </c:pt>
              </c:strCache>
            </c:strRef>
          </c:cat>
          <c:val>
            <c:numRef>
              <c:f>'Introducerea datelor'!$H$120:$S$120</c:f>
              <c:numCache>
                <c:formatCode>#,##0</c:formatCode>
                <c:ptCount val="12"/>
                <c:pt idx="1">
                  <c:v>88</c:v>
                </c:pt>
                <c:pt idx="3" formatCode="#,##0.0">
                  <c:v>80.7</c:v>
                </c:pt>
                <c:pt idx="5">
                  <c:v>81.900000000000006</c:v>
                </c:pt>
              </c:numCache>
            </c:numRef>
          </c:val>
        </c:ser>
        <c:axId val="115738496"/>
        <c:axId val="115740032"/>
      </c:barChart>
      <c:catAx>
        <c:axId val="115738496"/>
        <c:scaling>
          <c:orientation val="minMax"/>
        </c:scaling>
        <c:axPos val="b"/>
        <c:numFmt formatCode="General" sourceLinked="1"/>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15740032"/>
        <c:crosses val="autoZero"/>
        <c:auto val="1"/>
        <c:lblAlgn val="ctr"/>
        <c:lblOffset val="100"/>
        <c:tickLblSkip val="1"/>
        <c:tickMarkSkip val="1"/>
      </c:catAx>
      <c:valAx>
        <c:axId val="115740032"/>
        <c:scaling>
          <c:orientation val="minMax"/>
        </c:scaling>
        <c:axPos val="l"/>
        <c:majorGridlines>
          <c:spPr>
            <a:ln w="3175">
              <a:solidFill>
                <a:srgbClr val="000000"/>
              </a:solidFill>
              <a:prstDash val="solid"/>
            </a:ln>
          </c:spPr>
        </c:majorGridlines>
        <c:numFmt formatCode="_ * #,##0_ ;_ * \-#,##0_ ;_ * &quot;-&quot;_ ;_ @_ " sourceLinked="0"/>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15738496"/>
        <c:crosses val="autoZero"/>
        <c:crossBetween val="between"/>
      </c:valAx>
      <c:spPr>
        <a:noFill/>
        <a:ln w="25400">
          <a:noFill/>
        </a:ln>
      </c:spPr>
    </c:plotArea>
    <c:legend>
      <c:legendPos val="r"/>
      <c:layout>
        <c:manualLayout>
          <c:xMode val="edge"/>
          <c:yMode val="edge"/>
          <c:x val="0.17605633802816989"/>
          <c:y val="0.91191709844559665"/>
          <c:w val="0.58098591549295397"/>
          <c:h val="7.2538860103626993E-2"/>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344" r="0.75000000000000344"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3420464"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420465"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420466"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3420467"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3420468"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3420469"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ru-RU"/>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420471"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502"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420504"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420472" name="Group 830"/>
        <xdr:cNvGrpSpPr>
          <a:grpSpLocks/>
        </xdr:cNvGrpSpPr>
      </xdr:nvGrpSpPr>
      <xdr:grpSpPr bwMode="auto">
        <a:xfrm>
          <a:off x="327025" y="1903413"/>
          <a:ext cx="2143125" cy="2124075"/>
          <a:chOff x="32" y="188"/>
          <a:chExt cx="225" cy="225"/>
        </a:xfrm>
      </xdr:grpSpPr>
      <xdr:sp macro="" textlink="">
        <xdr:nvSpPr>
          <xdr:cNvPr id="3420499"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ru-RU"/>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420473"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6"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420498"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420474"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2"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420475"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8"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420476"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4"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420477"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420479"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420481"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2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6975" name="AutoShape 100"/>
        <xdr:cNvCxnSpPr>
          <a:cxnSpLocks noChangeShapeType="1"/>
        </xdr:cNvCxnSpPr>
      </xdr:nvCxnSpPr>
      <xdr:spPr bwMode="auto">
        <a:xfrm rot="5400000">
          <a:off x="7739062" y="7567613"/>
          <a:ext cx="31718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76" name="AutoShape 101"/>
        <xdr:cNvCxnSpPr>
          <a:cxnSpLocks noChangeShapeType="1"/>
        </xdr:cNvCxnSpPr>
      </xdr:nvCxnSpPr>
      <xdr:spPr bwMode="auto">
        <a:xfrm rot="10800000">
          <a:off x="6067425" y="9296400"/>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00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9</xdr:row>
      <xdr:rowOff>66675</xdr:rowOff>
    </xdr:from>
    <xdr:to>
      <xdr:col>11</xdr:col>
      <xdr:colOff>0</xdr:colOff>
      <xdr:row>21</xdr:row>
      <xdr:rowOff>9525</xdr:rowOff>
    </xdr:to>
    <xdr:grpSp>
      <xdr:nvGrpSpPr>
        <xdr:cNvPr id="2841005" name="Group 489"/>
        <xdr:cNvGrpSpPr>
          <a:grpSpLocks/>
        </xdr:cNvGrpSpPr>
      </xdr:nvGrpSpPr>
      <xdr:grpSpPr bwMode="auto">
        <a:xfrm>
          <a:off x="4913539" y="2583996"/>
          <a:ext cx="3754211" cy="2228850"/>
          <a:chOff x="410" y="229"/>
          <a:chExt cx="366" cy="234"/>
        </a:xfrm>
      </xdr:grpSpPr>
      <xdr:graphicFrame macro="">
        <xdr:nvGraphicFramePr>
          <xdr:cNvPr id="2841009"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010"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142876</xdr:rowOff>
    </xdr:from>
    <xdr:to>
      <xdr:col>6</xdr:col>
      <xdr:colOff>0</xdr:colOff>
      <xdr:row>31</xdr:row>
      <xdr:rowOff>161926</xdr:rowOff>
    </xdr:to>
    <xdr:grpSp>
      <xdr:nvGrpSpPr>
        <xdr:cNvPr id="2841006" name="Group 490"/>
        <xdr:cNvGrpSpPr>
          <a:grpSpLocks/>
        </xdr:cNvGrpSpPr>
      </xdr:nvGrpSpPr>
      <xdr:grpSpPr bwMode="auto">
        <a:xfrm>
          <a:off x="0" y="9980840"/>
          <a:ext cx="4884964" cy="2264229"/>
          <a:chOff x="0" y="505"/>
          <a:chExt cx="407" cy="245"/>
        </a:xfrm>
      </xdr:grpSpPr>
      <xdr:graphicFrame macro="">
        <xdr:nvGraphicFramePr>
          <xdr:cNvPr id="2841007"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008"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7</xdr:row>
      <xdr:rowOff>171450</xdr:rowOff>
    </xdr:from>
    <xdr:to>
      <xdr:col>12</xdr:col>
      <xdr:colOff>238125</xdr:colOff>
      <xdr:row>14</xdr:row>
      <xdr:rowOff>152400</xdr:rowOff>
    </xdr:to>
    <xdr:graphicFrame macro="">
      <xdr:nvGraphicFramePr>
        <xdr:cNvPr id="2869558"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559"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286956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286956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47625</xdr:rowOff>
    </xdr:from>
    <xdr:to>
      <xdr:col>5</xdr:col>
      <xdr:colOff>657225</xdr:colOff>
      <xdr:row>33</xdr:row>
      <xdr:rowOff>247650</xdr:rowOff>
    </xdr:to>
    <xdr:graphicFrame macro="">
      <xdr:nvGraphicFramePr>
        <xdr:cNvPr id="286956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9</xdr:row>
      <xdr:rowOff>47625</xdr:rowOff>
    </xdr:from>
    <xdr:to>
      <xdr:col>11</xdr:col>
      <xdr:colOff>47625</xdr:colOff>
      <xdr:row>17</xdr:row>
      <xdr:rowOff>0</xdr:rowOff>
    </xdr:to>
    <xdr:graphicFrame macro="">
      <xdr:nvGraphicFramePr>
        <xdr:cNvPr id="2249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22496"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638175</xdr:colOff>
      <xdr:row>9</xdr:row>
      <xdr:rowOff>95250</xdr:rowOff>
    </xdr:from>
    <xdr:to>
      <xdr:col>4</xdr:col>
      <xdr:colOff>371475</xdr:colOff>
      <xdr:row>17</xdr:row>
      <xdr:rowOff>57150</xdr:rowOff>
    </xdr:to>
    <xdr:graphicFrame macro="">
      <xdr:nvGraphicFramePr>
        <xdr:cNvPr id="22497"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528" name="Group 41"/>
        <xdr:cNvGrpSpPr>
          <a:grpSpLocks/>
        </xdr:cNvGrpSpPr>
      </xdr:nvGrpSpPr>
      <xdr:grpSpPr bwMode="auto">
        <a:xfrm>
          <a:off x="6794500" y="10033000"/>
          <a:ext cx="85725" cy="0"/>
          <a:chOff x="595" y="540"/>
          <a:chExt cx="9" cy="9"/>
        </a:xfrm>
      </xdr:grpSpPr>
      <xdr:sp macro="" textlink="">
        <xdr:nvSpPr>
          <xdr:cNvPr id="3432539"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40"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529" name="Group 44"/>
        <xdr:cNvGrpSpPr>
          <a:grpSpLocks/>
        </xdr:cNvGrpSpPr>
      </xdr:nvGrpSpPr>
      <xdr:grpSpPr bwMode="auto">
        <a:xfrm>
          <a:off x="7775575" y="10033000"/>
          <a:ext cx="92075" cy="0"/>
          <a:chOff x="698" y="540"/>
          <a:chExt cx="9" cy="9"/>
        </a:xfrm>
      </xdr:grpSpPr>
      <xdr:sp macro="" textlink="">
        <xdr:nvSpPr>
          <xdr:cNvPr id="3432537"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8"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530" name="Group 47"/>
        <xdr:cNvGrpSpPr>
          <a:grpSpLocks/>
        </xdr:cNvGrpSpPr>
      </xdr:nvGrpSpPr>
      <xdr:grpSpPr bwMode="auto">
        <a:xfrm>
          <a:off x="5194300" y="10033000"/>
          <a:ext cx="1314450" cy="0"/>
          <a:chOff x="698" y="540"/>
          <a:chExt cx="9" cy="9"/>
        </a:xfrm>
      </xdr:grpSpPr>
      <xdr:sp macro="" textlink="">
        <xdr:nvSpPr>
          <xdr:cNvPr id="3432535"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6"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531" name="Group 50"/>
        <xdr:cNvGrpSpPr>
          <a:grpSpLocks/>
        </xdr:cNvGrpSpPr>
      </xdr:nvGrpSpPr>
      <xdr:grpSpPr bwMode="auto">
        <a:xfrm>
          <a:off x="1444625" y="10033000"/>
          <a:ext cx="85725" cy="0"/>
          <a:chOff x="595" y="540"/>
          <a:chExt cx="9" cy="9"/>
        </a:xfrm>
      </xdr:grpSpPr>
      <xdr:sp macro="" textlink="">
        <xdr:nvSpPr>
          <xdr:cNvPr id="3432533"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34"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7" connectionId="0">
    <xmlCellPr id="1" uniqueName="1">
      <xmlPr mapId="43" xpath="/ns1:Root/ns1:Prog/ns1:Target_P1_1" xmlDataType="double"/>
    </xmlCellPr>
  </singleXmlCell>
  <singleXmlCell id="568" r="I117" connectionId="0">
    <xmlCellPr id="1" uniqueName="1">
      <xmlPr mapId="43" xpath="/ns1:Root/ns1:Prog/ns1:Target_P2_1" xmlDataType="double"/>
    </xmlCellPr>
  </singleXmlCell>
  <singleXmlCell id="569" r="J117" connectionId="0">
    <xmlCellPr id="1" uniqueName="1">
      <xmlPr mapId="43" xpath="/ns1:Root/ns1:Prog/ns1:Target_P3_1" xmlDataType="double"/>
    </xmlCellPr>
  </singleXmlCell>
  <singleXmlCell id="570" r="K117" connectionId="0">
    <xmlCellPr id="1" uniqueName="1">
      <xmlPr mapId="43" xpath="/ns1:Root/ns1:Prog/ns1:Target_P4_1" xmlDataType="double"/>
    </xmlCellPr>
  </singleXmlCell>
  <singleXmlCell id="571" r="L117" connectionId="0">
    <xmlCellPr id="1" uniqueName="1">
      <xmlPr mapId="43" xpath="/ns1:Root/ns1:Prog/ns1:Target_P5_1" xmlDataType="double"/>
    </xmlCellPr>
  </singleXmlCell>
  <singleXmlCell id="572" r="M117" connectionId="0">
    <xmlCellPr id="1" uniqueName="1">
      <xmlPr mapId="43" xpath="/ns1:Root/ns1:Prog/ns1:Target_P6_1" xmlDataType="double"/>
    </xmlCellPr>
  </singleXmlCell>
  <singleXmlCell id="573" r="N117" connectionId="0">
    <xmlCellPr id="1" uniqueName="1">
      <xmlPr mapId="43" xpath="/ns1:Root/ns1:Prog/ns1:Target_P7_1" xmlDataType="double"/>
    </xmlCellPr>
  </singleXmlCell>
  <singleXmlCell id="574" r="O117" connectionId="0">
    <xmlCellPr id="1" uniqueName="1">
      <xmlPr mapId="43" xpath="/ns1:Root/ns1:Prog/ns1:Target_P8_1" xmlDataType="double"/>
    </xmlCellPr>
  </singleXmlCell>
  <singleXmlCell id="575" r="P117" connectionId="0">
    <xmlCellPr id="1" uniqueName="1">
      <xmlPr mapId="43" xpath="/ns1:Root/ns1:Prog/ns1:Target_P9_1" xmlDataType="double"/>
    </xmlCellPr>
  </singleXmlCell>
  <singleXmlCell id="576" r="Q117" connectionId="0">
    <xmlCellPr id="1" uniqueName="1">
      <xmlPr mapId="43" xpath="/ns1:Root/ns1:Prog/ns1:Target_P10_1" xmlDataType="double"/>
    </xmlCellPr>
  </singleXmlCell>
  <singleXmlCell id="577" r="R117" connectionId="0">
    <xmlCellPr id="1" uniqueName="1">
      <xmlPr mapId="43" xpath="/ns1:Root/ns1:Prog/ns1:Target_P11_1" xmlDataType="double"/>
    </xmlCellPr>
  </singleXmlCell>
  <singleXmlCell id="578" r="S117" connectionId="0">
    <xmlCellPr id="1" uniqueName="1">
      <xmlPr mapId="43" xpath="/ns1:Root/ns1:Prog/ns1:Target_P12_1" xmlDataType="double"/>
    </xmlCellPr>
  </singleXmlCell>
  <singleXmlCell id="579" r="H118" connectionId="0">
    <xmlCellPr id="1" uniqueName="1">
      <xmlPr mapId="43" xpath="/ns1:Root/ns1:Prog/ns1:Achieved__P1_1" xmlDataType="double"/>
    </xmlCellPr>
  </singleXmlCell>
  <singleXmlCell id="580" r="I118" connectionId="0">
    <xmlCellPr id="1" uniqueName="1">
      <xmlPr mapId="43" xpath="/ns1:Root/ns1:Prog/ns1:Achieved__P2_1" xmlDataType="double"/>
    </xmlCellPr>
  </singleXmlCell>
  <singleXmlCell id="581" r="J118" connectionId="0">
    <xmlCellPr id="1" uniqueName="1">
      <xmlPr mapId="43" xpath="/ns1:Root/ns1:Prog/ns1:Achieved__P3_1" xmlDataType="double"/>
    </xmlCellPr>
  </singleXmlCell>
  <singleXmlCell id="582" r="K118" connectionId="0">
    <xmlCellPr id="1" uniqueName="1">
      <xmlPr mapId="43" xpath="/ns1:Root/ns1:Prog/ns1:Achieved__P4_1" xmlDataType="double"/>
    </xmlCellPr>
  </singleXmlCell>
  <singleXmlCell id="583" r="L118" connectionId="0">
    <xmlCellPr id="1" uniqueName="1">
      <xmlPr mapId="43" xpath="/ns1:Root/ns1:Prog/ns1:Achieved__P5_1" xmlDataType="string"/>
    </xmlCellPr>
  </singleXmlCell>
  <singleXmlCell id="584" r="M118" connectionId="0">
    <xmlCellPr id="1" uniqueName="1">
      <xmlPr mapId="43" xpath="/ns1:Root/ns1:Prog/ns1:Achieved__P6_1" xmlDataType="string"/>
    </xmlCellPr>
  </singleXmlCell>
  <singleXmlCell id="585" r="N118" connectionId="0">
    <xmlCellPr id="1" uniqueName="1">
      <xmlPr mapId="43" xpath="/ns1:Root/ns1:Prog/ns1:Achieved__P7_1" xmlDataType="string"/>
    </xmlCellPr>
  </singleXmlCell>
  <singleXmlCell id="586" r="O118" connectionId="0">
    <xmlCellPr id="1" uniqueName="1">
      <xmlPr mapId="43" xpath="/ns1:Root/ns1:Prog/ns1:Achieved__P8_1" xmlDataType="string"/>
    </xmlCellPr>
  </singleXmlCell>
  <singleXmlCell id="587" r="P118" connectionId="0">
    <xmlCellPr id="1" uniqueName="1">
      <xmlPr mapId="43" xpath="/ns1:Root/ns1:Prog/ns1:Achieved__P9_1" xmlDataType="string"/>
    </xmlCellPr>
  </singleXmlCell>
  <singleXmlCell id="588" r="Q118" connectionId="0">
    <xmlCellPr id="1" uniqueName="1">
      <xmlPr mapId="43" xpath="/ns1:Root/ns1:Prog/ns1:Achieved__P10_1" xmlDataType="string"/>
    </xmlCellPr>
  </singleXmlCell>
  <singleXmlCell id="589" r="R118" connectionId="0">
    <xmlCellPr id="1" uniqueName="1">
      <xmlPr mapId="43" xpath="/ns1:Root/ns1:Prog/ns1:Achieved__P11_1" xmlDataType="string"/>
    </xmlCellPr>
  </singleXmlCell>
  <singleXmlCell id="590" r="S118" connectionId="0">
    <xmlCellPr id="1" uniqueName="1">
      <xmlPr mapId="43" xpath="/ns1:Root/ns1:Prog/ns1:Achieved__P12_1" xmlDataType="string"/>
    </xmlCellPr>
  </singleXmlCell>
  <singleXmlCell id="591" r="H119" connectionId="0">
    <xmlCellPr id="1" uniqueName="1">
      <xmlPr mapId="43" xpath="/ns1:Root/ns1:Prog/ns1:Target_P1_2" xmlDataType="double"/>
    </xmlCellPr>
  </singleXmlCell>
  <singleXmlCell id="592" r="I119" connectionId="0">
    <xmlCellPr id="1" uniqueName="1">
      <xmlPr mapId="43" xpath="/ns1:Root/ns1:Prog/ns1:Target_P2_2" xmlDataType="double"/>
    </xmlCellPr>
  </singleXmlCell>
  <singleXmlCell id="593" r="J119" connectionId="0">
    <xmlCellPr id="1" uniqueName="1">
      <xmlPr mapId="43" xpath="/ns1:Root/ns1:Prog/ns1:Target_P3_2" xmlDataType="double"/>
    </xmlCellPr>
  </singleXmlCell>
  <singleXmlCell id="594" r="L119" connectionId="0">
    <xmlCellPr id="1" uniqueName="1">
      <xmlPr mapId="43" xpath="/ns1:Root/ns1:Prog/ns1:Target_P5_2" xmlDataType="double"/>
    </xmlCellPr>
  </singleXmlCell>
  <singleXmlCell id="595" r="M119" connectionId="0">
    <xmlCellPr id="1" uniqueName="1">
      <xmlPr mapId="43" xpath="/ns1:Root/ns1:Prog/ns1:Target_P6_2" xmlDataType="double"/>
    </xmlCellPr>
  </singleXmlCell>
  <singleXmlCell id="596" r="N119" connectionId="0">
    <xmlCellPr id="1" uniqueName="1">
      <xmlPr mapId="43" xpath="/ns1:Root/ns1:Prog/ns1:Target_P7_2" xmlDataType="double"/>
    </xmlCellPr>
  </singleXmlCell>
  <singleXmlCell id="597" r="O119" connectionId="0">
    <xmlCellPr id="1" uniqueName="1">
      <xmlPr mapId="43" xpath="/ns1:Root/ns1:Prog/ns1:Target_P8_2" xmlDataType="double"/>
    </xmlCellPr>
  </singleXmlCell>
  <singleXmlCell id="598" r="P119" connectionId="0">
    <xmlCellPr id="1" uniqueName="1">
      <xmlPr mapId="43" xpath="/ns1:Root/ns1:Prog/ns1:Target_P9_2" xmlDataType="double"/>
    </xmlCellPr>
  </singleXmlCell>
  <singleXmlCell id="599" r="Q119" connectionId="0">
    <xmlCellPr id="1" uniqueName="1">
      <xmlPr mapId="43" xpath="/ns1:Root/ns1:Prog/ns1:Target_P10_2" xmlDataType="double"/>
    </xmlCellPr>
  </singleXmlCell>
  <singleXmlCell id="600" r="R119" connectionId="0">
    <xmlCellPr id="1" uniqueName="1">
      <xmlPr mapId="43" xpath="/ns1:Root/ns1:Prog/ns1:Target_P11_2" xmlDataType="double"/>
    </xmlCellPr>
  </singleXmlCell>
  <singleXmlCell id="601" r="S119" connectionId="0">
    <xmlCellPr id="1" uniqueName="1">
      <xmlPr mapId="43" xpath="/ns1:Root/ns1:Prog/ns1:Target_P12_2" xmlDataType="double"/>
    </xmlCellPr>
  </singleXmlCell>
  <singleXmlCell id="602" r="H120" connectionId="0">
    <xmlCellPr id="1" uniqueName="1">
      <xmlPr mapId="43" xpath="/ns1:Root/ns1:Prog/ns1:Achieved__P1_2" xmlDataType="double"/>
    </xmlCellPr>
  </singleXmlCell>
  <singleXmlCell id="603" r="I120" connectionId="0">
    <xmlCellPr id="1" uniqueName="1">
      <xmlPr mapId="43" xpath="/ns1:Root/ns1:Prog/ns1:Achieved__P2_2" xmlDataType="double"/>
    </xmlCellPr>
  </singleXmlCell>
  <singleXmlCell id="604" r="J120" connectionId="0">
    <xmlCellPr id="1" uniqueName="1">
      <xmlPr mapId="43" xpath="/ns1:Root/ns1:Prog/ns1:Achieved__P3_2" xmlDataType="double"/>
    </xmlCellPr>
  </singleXmlCell>
  <singleXmlCell id="605" r="K120" connectionId="0">
    <xmlCellPr id="1" uniqueName="1">
      <xmlPr mapId="43" xpath="/ns1:Root/ns1:Prog/ns1:Achieved__P4_2" xmlDataType="double"/>
    </xmlCellPr>
  </singleXmlCell>
  <singleXmlCell id="606" r="L120" connectionId="0">
    <xmlCellPr id="1" uniqueName="1">
      <xmlPr mapId="43" xpath="/ns1:Root/ns1:Prog/ns1:Achieved__P5_2" xmlDataType="string"/>
    </xmlCellPr>
  </singleXmlCell>
  <singleXmlCell id="607" r="M120" connectionId="0">
    <xmlCellPr id="1" uniqueName="1">
      <xmlPr mapId="43" xpath="/ns1:Root/ns1:Prog/ns1:Achieved__P6_2" xmlDataType="string"/>
    </xmlCellPr>
  </singleXmlCell>
  <singleXmlCell id="608" r="N120" connectionId="0">
    <xmlCellPr id="1" uniqueName="1">
      <xmlPr mapId="43" xpath="/ns1:Root/ns1:Prog/ns1:Achieved__P7_2" xmlDataType="string"/>
    </xmlCellPr>
  </singleXmlCell>
  <singleXmlCell id="609" r="O120" connectionId="0">
    <xmlCellPr id="1" uniqueName="1">
      <xmlPr mapId="43" xpath="/ns1:Root/ns1:Prog/ns1:Achieved__P8_2" xmlDataType="string"/>
    </xmlCellPr>
  </singleXmlCell>
  <singleXmlCell id="610" r="P120" connectionId="0">
    <xmlCellPr id="1" uniqueName="1">
      <xmlPr mapId="43" xpath="/ns1:Root/ns1:Prog/ns1:Achieved__P9_2" xmlDataType="string"/>
    </xmlCellPr>
  </singleXmlCell>
  <singleXmlCell id="611" r="Q120" connectionId="0">
    <xmlCellPr id="1" uniqueName="1">
      <xmlPr mapId="43" xpath="/ns1:Root/ns1:Prog/ns1:Achieved__P10_2" xmlDataType="string"/>
    </xmlCellPr>
  </singleXmlCell>
  <singleXmlCell id="612" r="R120" connectionId="0">
    <xmlCellPr id="1" uniqueName="1">
      <xmlPr mapId="43" xpath="/ns1:Root/ns1:Prog/ns1:Achieved__P11_2" xmlDataType="string"/>
    </xmlCellPr>
  </singleXmlCell>
  <singleXmlCell id="613" r="S120" connectionId="0">
    <xmlCellPr id="1" uniqueName="1">
      <xmlPr mapId="43" xpath="/ns1:Root/ns1:Prog/ns1:Achieved__P12_2" xmlDataType="string"/>
    </xmlCellPr>
  </singleXmlCell>
  <singleXmlCell id="614" r="H121" connectionId="0">
    <xmlCellPr id="1" uniqueName="1">
      <xmlPr mapId="43" xpath="/ns1:Root/ns1:Prog/ns1:Target_P1_3" xmlDataType="double"/>
    </xmlCellPr>
  </singleXmlCell>
  <singleXmlCell id="615" r="I121" connectionId="0">
    <xmlCellPr id="1" uniqueName="1">
      <xmlPr mapId="43" xpath="/ns1:Root/ns1:Prog/ns1:Target_P2_3" xmlDataType="double"/>
    </xmlCellPr>
  </singleXmlCell>
  <singleXmlCell id="616" r="J121" connectionId="0">
    <xmlCellPr id="1" uniqueName="1">
      <xmlPr mapId="43" xpath="/ns1:Root/ns1:Prog/ns1:Target_P3_3" xmlDataType="double"/>
    </xmlCellPr>
  </singleXmlCell>
  <singleXmlCell id="617" r="K121" connectionId="0">
    <xmlCellPr id="1" uniqueName="1">
      <xmlPr mapId="43" xpath="/ns1:Root/ns1:Prog/ns1:Target_P4_3" xmlDataType="double"/>
    </xmlCellPr>
  </singleXmlCell>
  <singleXmlCell id="618" r="L121" connectionId="0">
    <xmlCellPr id="1" uniqueName="1">
      <xmlPr mapId="43" xpath="/ns1:Root/ns1:Prog/ns1:Target_P5_3" xmlDataType="double"/>
    </xmlCellPr>
  </singleXmlCell>
  <singleXmlCell id="619" r="M121" connectionId="0">
    <xmlCellPr id="1" uniqueName="1">
      <xmlPr mapId="43" xpath="/ns1:Root/ns1:Prog/ns1:Target_P6_3" xmlDataType="double"/>
    </xmlCellPr>
  </singleXmlCell>
  <singleXmlCell id="620" r="N121" connectionId="0">
    <xmlCellPr id="1" uniqueName="1">
      <xmlPr mapId="43" xpath="/ns1:Root/ns1:Prog/ns1:Target_P7_3" xmlDataType="double"/>
    </xmlCellPr>
  </singleXmlCell>
  <singleXmlCell id="621" r="O121" connectionId="0">
    <xmlCellPr id="1" uniqueName="1">
      <xmlPr mapId="43" xpath="/ns1:Root/ns1:Prog/ns1:Target_P8_3" xmlDataType="double"/>
    </xmlCellPr>
  </singleXmlCell>
  <singleXmlCell id="622" r="P121" connectionId="0">
    <xmlCellPr id="1" uniqueName="1">
      <xmlPr mapId="43" xpath="/ns1:Root/ns1:Prog/ns1:Target_P9_3" xmlDataType="double"/>
    </xmlCellPr>
  </singleXmlCell>
  <singleXmlCell id="623" r="Q121" connectionId="0">
    <xmlCellPr id="1" uniqueName="1">
      <xmlPr mapId="43" xpath="/ns1:Root/ns1:Prog/ns1:Target_P10_3" xmlDataType="string"/>
    </xmlCellPr>
  </singleXmlCell>
  <singleXmlCell id="624" r="R121" connectionId="0">
    <xmlCellPr id="1" uniqueName="1">
      <xmlPr mapId="43" xpath="/ns1:Root/ns1:Prog/ns1:Target_P11_3" xmlDataType="string"/>
    </xmlCellPr>
  </singleXmlCell>
  <singleXmlCell id="625" r="S121" connectionId="0">
    <xmlCellPr id="1" uniqueName="1">
      <xmlPr mapId="43" xpath="/ns1:Root/ns1:Prog/ns1:Target_P12_3" xmlDataType="double"/>
    </xmlCellPr>
  </singleXmlCell>
  <singleXmlCell id="626" r="H122" connectionId="0">
    <xmlCellPr id="1" uniqueName="1">
      <xmlPr mapId="43" xpath="/ns1:Root/ns1:Prog/ns1:Achieved__P1_3" xmlDataType="string"/>
    </xmlCellPr>
  </singleXmlCell>
  <singleXmlCell id="627" r="I122" connectionId="0">
    <xmlCellPr id="1" uniqueName="1">
      <xmlPr mapId="43" xpath="/ns1:Root/ns1:Prog/ns1:Achieved__P2_3" xmlDataType="double"/>
    </xmlCellPr>
  </singleXmlCell>
  <singleXmlCell id="628" r="J122" connectionId="0">
    <xmlCellPr id="1" uniqueName="1">
      <xmlPr mapId="43" xpath="/ns1:Root/ns1:Prog/ns1:Achieved__P3_3" xmlDataType="string"/>
    </xmlCellPr>
  </singleXmlCell>
  <singleXmlCell id="629" r="K122" connectionId="0">
    <xmlCellPr id="1" uniqueName="1">
      <xmlPr mapId="43" xpath="/ns1:Root/ns1:Prog/ns1:Achieved__P4_3" xmlDataType="double"/>
    </xmlCellPr>
  </singleXmlCell>
  <singleXmlCell id="630" r="L122" connectionId="0">
    <xmlCellPr id="1" uniqueName="1">
      <xmlPr mapId="43" xpath="/ns1:Root/ns1:Prog/ns1:Achieved__P5_3" xmlDataType="string"/>
    </xmlCellPr>
  </singleXmlCell>
  <singleXmlCell id="631" r="M122" connectionId="0">
    <xmlCellPr id="1" uniqueName="1">
      <xmlPr mapId="43" xpath="/ns1:Root/ns1:Prog/ns1:Achieved__P6_3" xmlDataType="string"/>
    </xmlCellPr>
  </singleXmlCell>
  <singleXmlCell id="632" r="N122" connectionId="0">
    <xmlCellPr id="1" uniqueName="1">
      <xmlPr mapId="43" xpath="/ns1:Root/ns1:Prog/ns1:Achieved__P7_3" xmlDataType="string"/>
    </xmlCellPr>
  </singleXmlCell>
  <singleXmlCell id="633" r="O122" connectionId="0">
    <xmlCellPr id="1" uniqueName="1">
      <xmlPr mapId="43" xpath="/ns1:Root/ns1:Prog/ns1:Achieved__P8_3" xmlDataType="string"/>
    </xmlCellPr>
  </singleXmlCell>
  <singleXmlCell id="634" r="P122" connectionId="0">
    <xmlCellPr id="1" uniqueName="1">
      <xmlPr mapId="43" xpath="/ns1:Root/ns1:Prog/ns1:Achieved__P9_3" xmlDataType="string"/>
    </xmlCellPr>
  </singleXmlCell>
  <singleXmlCell id="635" r="Q122" connectionId="0">
    <xmlCellPr id="1" uniqueName="1">
      <xmlPr mapId="43" xpath="/ns1:Root/ns1:Prog/ns1:Achieved__P10_3" xmlDataType="string"/>
    </xmlCellPr>
  </singleXmlCell>
  <singleXmlCell id="636" r="R122" connectionId="0">
    <xmlCellPr id="1" uniqueName="1">
      <xmlPr mapId="43" xpath="/ns1:Root/ns1:Prog/ns1:Achieved__P11_3" xmlDataType="string"/>
    </xmlCellPr>
  </singleXmlCell>
  <singleXmlCell id="637" r="S122" connectionId="0">
    <xmlCellPr id="1" uniqueName="1">
      <xmlPr mapId="43" xpath="/ns1:Root/ns1:Prog/ns1:Achieved__P12_3" xmlDataType="string"/>
    </xmlCellPr>
  </singleXmlCell>
  <singleXmlCell id="638" r="H125" connectionId="0">
    <xmlCellPr id="1" uniqueName="1">
      <xmlPr mapId="43" xpath="/ns1:Root/ns1:Prog/ns1:Target_P1_4" xmlDataType="string"/>
    </xmlCellPr>
  </singleXmlCell>
  <singleXmlCell id="639" r="I125" connectionId="0">
    <xmlCellPr id="1" uniqueName="1">
      <xmlPr mapId="43" xpath="/ns1:Root/ns1:Prog/ns1:Target_P2_4" xmlDataType="string"/>
    </xmlCellPr>
  </singleXmlCell>
  <singleXmlCell id="640" r="J125" connectionId="0">
    <xmlCellPr id="1" uniqueName="1">
      <xmlPr mapId="43" xpath="/ns1:Root/ns1:Prog/ns1:Target_P3_4" xmlDataType="string"/>
    </xmlCellPr>
  </singleXmlCell>
  <singleXmlCell id="641" r="K125" connectionId="0">
    <xmlCellPr id="1" uniqueName="1">
      <xmlPr mapId="43" xpath="/ns1:Root/ns1:Prog/ns1:Target_P4_4" xmlDataType="double"/>
    </xmlCellPr>
  </singleXmlCell>
  <singleXmlCell id="642" r="L125" connectionId="0">
    <xmlCellPr id="1" uniqueName="1">
      <xmlPr mapId="43" xpath="/ns1:Root/ns1:Prog/ns1:Target_P5_4" xmlDataType="string"/>
    </xmlCellPr>
  </singleXmlCell>
  <singleXmlCell id="643" r="M125" connectionId="0">
    <xmlCellPr id="1" uniqueName="1">
      <xmlPr mapId="43" xpath="/ns1:Root/ns1:Prog/ns1:Target_P6_4" xmlDataType="string"/>
    </xmlCellPr>
  </singleXmlCell>
  <singleXmlCell id="644" r="N125" connectionId="0">
    <xmlCellPr id="1" uniqueName="1">
      <xmlPr mapId="43" xpath="/ns1:Root/ns1:Prog/ns1:Target_P7_4" xmlDataType="string"/>
    </xmlCellPr>
  </singleXmlCell>
  <singleXmlCell id="645" r="O125" connectionId="0">
    <xmlCellPr id="1" uniqueName="1">
      <xmlPr mapId="43" xpath="/ns1:Root/ns1:Prog/ns1:Target_P8_4" xmlDataType="double"/>
    </xmlCellPr>
  </singleXmlCell>
  <singleXmlCell id="646" r="P125" connectionId="0">
    <xmlCellPr id="1" uniqueName="1">
      <xmlPr mapId="43" xpath="/ns1:Root/ns1:Prog/ns1:Target_P9_4" xmlDataType="string"/>
    </xmlCellPr>
  </singleXmlCell>
  <singleXmlCell id="647" r="Q125" connectionId="0">
    <xmlCellPr id="1" uniqueName="1">
      <xmlPr mapId="43" xpath="/ns1:Root/ns1:Prog/ns1:Target_P10_4" xmlDataType="string"/>
    </xmlCellPr>
  </singleXmlCell>
  <singleXmlCell id="648" r="R125" connectionId="0">
    <xmlCellPr id="1" uniqueName="1">
      <xmlPr mapId="43" xpath="/ns1:Root/ns1:Prog/ns1:Target_P11_4" xmlDataType="string"/>
    </xmlCellPr>
  </singleXmlCell>
  <singleXmlCell id="649" r="S125" connectionId="0">
    <xmlCellPr id="1" uniqueName="1">
      <xmlPr mapId="43" xpath="/ns1:Root/ns1:Prog/ns1:Target_P12_4" xmlDataType="double"/>
    </xmlCellPr>
  </singleXmlCell>
  <singleXmlCell id="650" r="H126" connectionId="0">
    <xmlCellPr id="1" uniqueName="1">
      <xmlPr mapId="43" xpath="/ns1:Root/ns1:Prog/ns1:Achieved__P1_4" xmlDataType="string"/>
    </xmlCellPr>
  </singleXmlCell>
  <singleXmlCell id="651" r="I126" connectionId="0">
    <xmlCellPr id="1" uniqueName="1">
      <xmlPr mapId="43" xpath="/ns1:Root/ns1:Prog/ns1:Achieved__P2_4" xmlDataType="string"/>
    </xmlCellPr>
  </singleXmlCell>
  <singleXmlCell id="652" r="J126" connectionId="0">
    <xmlCellPr id="1" uniqueName="1">
      <xmlPr mapId="43" xpath="/ns1:Root/ns1:Prog/ns1:Achieved__P3_4" xmlDataType="string"/>
    </xmlCellPr>
  </singleXmlCell>
  <singleXmlCell id="653" r="K126" connectionId="0">
    <xmlCellPr id="1" uniqueName="1">
      <xmlPr mapId="43" xpath="/ns1:Root/ns1:Prog/ns1:Achieved__P4_4" xmlDataType="double"/>
    </xmlCellPr>
  </singleXmlCell>
  <singleXmlCell id="654" r="L126" connectionId="0">
    <xmlCellPr id="1" uniqueName="1">
      <xmlPr mapId="43" xpath="/ns1:Root/ns1:Prog/ns1:Achieved__P5_4" xmlDataType="string"/>
    </xmlCellPr>
  </singleXmlCell>
  <singleXmlCell id="655" r="M126" connectionId="0">
    <xmlCellPr id="1" uniqueName="1">
      <xmlPr mapId="43" xpath="/ns1:Root/ns1:Prog/ns1:Achieved__P6_4" xmlDataType="string"/>
    </xmlCellPr>
  </singleXmlCell>
  <singleXmlCell id="656" r="N126" connectionId="0">
    <xmlCellPr id="1" uniqueName="1">
      <xmlPr mapId="43" xpath="/ns1:Root/ns1:Prog/ns1:Achieved__P7_4" xmlDataType="string"/>
    </xmlCellPr>
  </singleXmlCell>
  <singleXmlCell id="657" r="O126" connectionId="0">
    <xmlCellPr id="1" uniqueName="1">
      <xmlPr mapId="43" xpath="/ns1:Root/ns1:Prog/ns1:Achieved__P8_4" xmlDataType="string"/>
    </xmlCellPr>
  </singleXmlCell>
  <singleXmlCell id="658" r="P126" connectionId="0">
    <xmlCellPr id="1" uniqueName="1">
      <xmlPr mapId="43" xpath="/ns1:Root/ns1:Prog/ns1:Achieved__P9_4" xmlDataType="string"/>
    </xmlCellPr>
  </singleXmlCell>
  <singleXmlCell id="659" r="Q126" connectionId="0">
    <xmlCellPr id="1" uniqueName="1">
      <xmlPr mapId="43" xpath="/ns1:Root/ns1:Prog/ns1:Achieved__P10_4" xmlDataType="string"/>
    </xmlCellPr>
  </singleXmlCell>
  <singleXmlCell id="660" r="R126" connectionId="0">
    <xmlCellPr id="1" uniqueName="1">
      <xmlPr mapId="43" xpath="/ns1:Root/ns1:Prog/ns1:Achieved__P11_4" xmlDataType="string"/>
    </xmlCellPr>
  </singleXmlCell>
  <singleXmlCell id="661" r="S126" connectionId="0">
    <xmlCellPr id="1" uniqueName="1">
      <xmlPr mapId="43" xpath="/ns1:Root/ns1:Prog/ns1:Achieved__P12_4" xmlDataType="string"/>
    </xmlCellPr>
  </singleXmlCell>
  <singleXmlCell id="662" r="H129" connectionId="0">
    <xmlCellPr id="1" uniqueName="1">
      <xmlPr mapId="43" xpath="/ns1:Root/ns1:Prog/ns1:Target_P1_5" xmlDataType="double"/>
    </xmlCellPr>
  </singleXmlCell>
  <singleXmlCell id="663" r="I129" connectionId="0">
    <xmlCellPr id="1" uniqueName="1">
      <xmlPr mapId="43" xpath="/ns1:Root/ns1:Prog/ns1:Target_P2_5" xmlDataType="double"/>
    </xmlCellPr>
  </singleXmlCell>
  <singleXmlCell id="664" r="J129" connectionId="0">
    <xmlCellPr id="1" uniqueName="1">
      <xmlPr mapId="43" xpath="/ns1:Root/ns1:Prog/ns1:Target_P3_5" xmlDataType="double"/>
    </xmlCellPr>
  </singleXmlCell>
  <singleXmlCell id="665" r="K129" connectionId="0">
    <xmlCellPr id="1" uniqueName="1">
      <xmlPr mapId="43" xpath="/ns1:Root/ns1:Prog/ns1:Target_P4_5" xmlDataType="double"/>
    </xmlCellPr>
  </singleXmlCell>
  <singleXmlCell id="666" r="L129" connectionId="0">
    <xmlCellPr id="1" uniqueName="1">
      <xmlPr mapId="43" xpath="/ns1:Root/ns1:Prog/ns1:Target_P5_5" xmlDataType="double"/>
    </xmlCellPr>
  </singleXmlCell>
  <singleXmlCell id="667" r="M129" connectionId="0">
    <xmlCellPr id="1" uniqueName="1">
      <xmlPr mapId="43" xpath="/ns1:Root/ns1:Prog/ns1:Target_P6_5" xmlDataType="double"/>
    </xmlCellPr>
  </singleXmlCell>
  <singleXmlCell id="668" r="N129" connectionId="0">
    <xmlCellPr id="1" uniqueName="1">
      <xmlPr mapId="43" xpath="/ns1:Root/ns1:Prog/ns1:Target_P7_5" xmlDataType="double"/>
    </xmlCellPr>
  </singleXmlCell>
  <singleXmlCell id="669" r="O129" connectionId="0">
    <xmlCellPr id="1" uniqueName="1">
      <xmlPr mapId="43" xpath="/ns1:Root/ns1:Prog/ns1:Target_P8_5" xmlDataType="double"/>
    </xmlCellPr>
  </singleXmlCell>
  <singleXmlCell id="670" r="P129" connectionId="0">
    <xmlCellPr id="1" uniqueName="1">
      <xmlPr mapId="43" xpath="/ns1:Root/ns1:Prog/ns1:Target_P9_5" xmlDataType="double"/>
    </xmlCellPr>
  </singleXmlCell>
  <singleXmlCell id="671" r="Q129" connectionId="0">
    <xmlCellPr id="1" uniqueName="1">
      <xmlPr mapId="43" xpath="/ns1:Root/ns1:Prog/ns1:Target_P10_5" xmlDataType="double"/>
    </xmlCellPr>
  </singleXmlCell>
  <singleXmlCell id="672" r="R129" connectionId="0">
    <xmlCellPr id="1" uniqueName="1">
      <xmlPr mapId="43" xpath="/ns1:Root/ns1:Prog/ns1:Target_P11_5" xmlDataType="double"/>
    </xmlCellPr>
  </singleXmlCell>
  <singleXmlCell id="673" r="S129" connectionId="0">
    <xmlCellPr id="1" uniqueName="1">
      <xmlPr mapId="43" xpath="/ns1:Root/ns1:Prog/ns1:Target_P12_5" xmlDataType="double"/>
    </xmlCellPr>
  </singleXmlCell>
  <singleXmlCell id="674" r="H130" connectionId="0">
    <xmlCellPr id="1" uniqueName="1">
      <xmlPr mapId="43" xpath="/ns1:Root/ns1:Prog/ns1:Achieved__P1_5" xmlDataType="double"/>
    </xmlCellPr>
  </singleXmlCell>
  <singleXmlCell id="675" r="I130" connectionId="0">
    <xmlCellPr id="1" uniqueName="1">
      <xmlPr mapId="43" xpath="/ns1:Root/ns1:Prog/ns1:Achieved__P2_5" xmlDataType="double"/>
    </xmlCellPr>
  </singleXmlCell>
  <singleXmlCell id="676" r="J130" connectionId="0">
    <xmlCellPr id="1" uniqueName="1">
      <xmlPr mapId="43" xpath="/ns1:Root/ns1:Prog/ns1:Achieved__P3_5" xmlDataType="double"/>
    </xmlCellPr>
  </singleXmlCell>
  <singleXmlCell id="677" r="K130" connectionId="0">
    <xmlCellPr id="1" uniqueName="1">
      <xmlPr mapId="43" xpath="/ns1:Root/ns1:Prog/ns1:Achieved__P4_5" xmlDataType="double"/>
    </xmlCellPr>
  </singleXmlCell>
  <singleXmlCell id="678" r="L130" connectionId="0">
    <xmlCellPr id="1" uniqueName="1">
      <xmlPr mapId="43" xpath="/ns1:Root/ns1:Prog/ns1:Achieved__P5_5" xmlDataType="string"/>
    </xmlCellPr>
  </singleXmlCell>
  <singleXmlCell id="679" r="M130" connectionId="0">
    <xmlCellPr id="1" uniqueName="1">
      <xmlPr mapId="43" xpath="/ns1:Root/ns1:Prog/ns1:Achieved__P6_5" xmlDataType="string"/>
    </xmlCellPr>
  </singleXmlCell>
  <singleXmlCell id="680" r="N130" connectionId="0">
    <xmlCellPr id="1" uniqueName="1">
      <xmlPr mapId="43" xpath="/ns1:Root/ns1:Prog/ns1:Achieved__P7_5" xmlDataType="string"/>
    </xmlCellPr>
  </singleXmlCell>
  <singleXmlCell id="681" r="O130" connectionId="0">
    <xmlCellPr id="1" uniqueName="1">
      <xmlPr mapId="43" xpath="/ns1:Root/ns1:Prog/ns1:Achieved__P8_5" xmlDataType="string"/>
    </xmlCellPr>
  </singleXmlCell>
  <singleXmlCell id="682" r="P130" connectionId="0">
    <xmlCellPr id="1" uniqueName="1">
      <xmlPr mapId="43" xpath="/ns1:Root/ns1:Prog/ns1:Achieved__P9_5" xmlDataType="string"/>
    </xmlCellPr>
  </singleXmlCell>
  <singleXmlCell id="683" r="Q130" connectionId="0">
    <xmlCellPr id="1" uniqueName="1">
      <xmlPr mapId="43" xpath="/ns1:Root/ns1:Prog/ns1:Achieved__P10_5" xmlDataType="string"/>
    </xmlCellPr>
  </singleXmlCell>
  <singleXmlCell id="684" r="R130" connectionId="0">
    <xmlCellPr id="1" uniqueName="1">
      <xmlPr mapId="43" xpath="/ns1:Root/ns1:Prog/ns1:Achieved__P11_5" xmlDataType="string"/>
    </xmlCellPr>
  </singleXmlCell>
  <singleXmlCell id="685" r="S130" connectionId="0">
    <xmlCellPr id="1" uniqueName="1">
      <xmlPr mapId="43" xpath="/ns1:Root/ns1:Prog/ns1:Achieved__P12_5" xmlDataType="string"/>
    </xmlCellPr>
  </singleXmlCell>
  <singleXmlCell id="686" r="H131" connectionId="0">
    <xmlCellPr id="1" uniqueName="1">
      <xmlPr mapId="43" xpath="/ns1:Root/ns1:Prog/ns1:Target_P1_6" xmlDataType="double"/>
    </xmlCellPr>
  </singleXmlCell>
  <singleXmlCell id="687" r="I131" connectionId="0">
    <xmlCellPr id="1" uniqueName="1">
      <xmlPr mapId="43" xpath="/ns1:Root/ns1:Prog/ns1:Target_P2_6" xmlDataType="double"/>
    </xmlCellPr>
  </singleXmlCell>
  <singleXmlCell id="688" r="J131" connectionId="0">
    <xmlCellPr id="1" uniqueName="1">
      <xmlPr mapId="43" xpath="/ns1:Root/ns1:Prog/ns1:Target_P3_6" xmlDataType="double"/>
    </xmlCellPr>
  </singleXmlCell>
  <singleXmlCell id="689" r="K131" connectionId="0">
    <xmlCellPr id="1" uniqueName="1">
      <xmlPr mapId="43" xpath="/ns1:Root/ns1:Prog/ns1:Target_P4_6" xmlDataType="double"/>
    </xmlCellPr>
  </singleXmlCell>
  <singleXmlCell id="690" r="L131" connectionId="0">
    <xmlCellPr id="1" uniqueName="1">
      <xmlPr mapId="43" xpath="/ns1:Root/ns1:Prog/ns1:Target_P5_6" xmlDataType="double"/>
    </xmlCellPr>
  </singleXmlCell>
  <singleXmlCell id="691" r="M131" connectionId="0">
    <xmlCellPr id="1" uniqueName="1">
      <xmlPr mapId="43" xpath="/ns1:Root/ns1:Prog/ns1:Target_P6_6" xmlDataType="double"/>
    </xmlCellPr>
  </singleXmlCell>
  <singleXmlCell id="692" r="N131" connectionId="0">
    <xmlCellPr id="1" uniqueName="1">
      <xmlPr mapId="43" xpath="/ns1:Root/ns1:Prog/ns1:Target_P7_6" xmlDataType="double"/>
    </xmlCellPr>
  </singleXmlCell>
  <singleXmlCell id="693" r="O131" connectionId="0">
    <xmlCellPr id="1" uniqueName="1">
      <xmlPr mapId="43" xpath="/ns1:Root/ns1:Prog/ns1:Target_P8_6" xmlDataType="double"/>
    </xmlCellPr>
  </singleXmlCell>
  <singleXmlCell id="694" r="P131" connectionId="0">
    <xmlCellPr id="1" uniqueName="1">
      <xmlPr mapId="43" xpath="/ns1:Root/ns1:Prog/ns1:Target_P9_6" xmlDataType="double"/>
    </xmlCellPr>
  </singleXmlCell>
  <singleXmlCell id="695" r="Q131" connectionId="0">
    <xmlCellPr id="1" uniqueName="1">
      <xmlPr mapId="43" xpath="/ns1:Root/ns1:Prog/ns1:Target_P10_6" xmlDataType="double"/>
    </xmlCellPr>
  </singleXmlCell>
  <singleXmlCell id="696" r="R131" connectionId="0">
    <xmlCellPr id="1" uniqueName="1">
      <xmlPr mapId="43" xpath="/ns1:Root/ns1:Prog/ns1:Target_P11_6" xmlDataType="double"/>
    </xmlCellPr>
  </singleXmlCell>
  <singleXmlCell id="697" r="S131" connectionId="0">
    <xmlCellPr id="1" uniqueName="1">
      <xmlPr mapId="43" xpath="/ns1:Root/ns1:Prog/ns1:Target_P12_6" xmlDataType="double"/>
    </xmlCellPr>
  </singleXmlCell>
  <singleXmlCell id="698" r="H132" connectionId="0">
    <xmlCellPr id="1" uniqueName="1">
      <xmlPr mapId="43" xpath="/ns1:Root/ns1:Prog/ns1:Achieved__P1_6" xmlDataType="double"/>
    </xmlCellPr>
  </singleXmlCell>
  <singleXmlCell id="699" r="I132" connectionId="0">
    <xmlCellPr id="1" uniqueName="1">
      <xmlPr mapId="43" xpath="/ns1:Root/ns1:Prog/ns1:Achieved__P2_6" xmlDataType="double"/>
    </xmlCellPr>
  </singleXmlCell>
  <singleXmlCell id="700" r="J132" connectionId="0">
    <xmlCellPr id="1" uniqueName="1">
      <xmlPr mapId="43" xpath="/ns1:Root/ns1:Prog/ns1:Achieved__P3_6" xmlDataType="double"/>
    </xmlCellPr>
  </singleXmlCell>
  <singleXmlCell id="701" r="K132" connectionId="0">
    <xmlCellPr id="1" uniqueName="1">
      <xmlPr mapId="43" xpath="/ns1:Root/ns1:Prog/ns1:Achieved__P4_6" xmlDataType="double"/>
    </xmlCellPr>
  </singleXmlCell>
  <singleXmlCell id="702" r="L132" connectionId="0">
    <xmlCellPr id="1" uniqueName="1">
      <xmlPr mapId="43" xpath="/ns1:Root/ns1:Prog/ns1:Achieved__P5_6" xmlDataType="string"/>
    </xmlCellPr>
  </singleXmlCell>
  <singleXmlCell id="703" r="M132" connectionId="0">
    <xmlCellPr id="1" uniqueName="1">
      <xmlPr mapId="43" xpath="/ns1:Root/ns1:Prog/ns1:Achieved__P6_6" xmlDataType="string"/>
    </xmlCellPr>
  </singleXmlCell>
  <singleXmlCell id="704" r="N132" connectionId="0">
    <xmlCellPr id="1" uniqueName="1">
      <xmlPr mapId="43" xpath="/ns1:Root/ns1:Prog/ns1:Achieved__P7_6" xmlDataType="string"/>
    </xmlCellPr>
  </singleXmlCell>
  <singleXmlCell id="705" r="O132" connectionId="0">
    <xmlCellPr id="1" uniqueName="1">
      <xmlPr mapId="43" xpath="/ns1:Root/ns1:Prog/ns1:Achieved__P8_6" xmlDataType="string"/>
    </xmlCellPr>
  </singleXmlCell>
  <singleXmlCell id="706" r="P132" connectionId="0">
    <xmlCellPr id="1" uniqueName="1">
      <xmlPr mapId="43" xpath="/ns1:Root/ns1:Prog/ns1:Achieved__P9_6" xmlDataType="string"/>
    </xmlCellPr>
  </singleXmlCell>
  <singleXmlCell id="707" r="Q132" connectionId="0">
    <xmlCellPr id="1" uniqueName="1">
      <xmlPr mapId="43" xpath="/ns1:Root/ns1:Prog/ns1:Achieved__P10_6" xmlDataType="string"/>
    </xmlCellPr>
  </singleXmlCell>
  <singleXmlCell id="708" r="R132" connectionId="0">
    <xmlCellPr id="1" uniqueName="1">
      <xmlPr mapId="43" xpath="/ns1:Root/ns1:Prog/ns1:Achieved__P11_6" xmlDataType="string"/>
    </xmlCellPr>
  </singleXmlCell>
  <singleXmlCell id="709" r="S132" connectionId="0">
    <xmlCellPr id="1" uniqueName="1">
      <xmlPr mapId="43" xpath="/ns1:Root/ns1:Prog/ns1:Achieved__P12_6" xmlDataType="string"/>
    </xmlCellPr>
  </singleXmlCell>
  <singleXmlCell id="710" r="H127" connectionId="0">
    <xmlCellPr id="1" uniqueName="1">
      <xmlPr mapId="43" xpath="/ns1:Root/ns1:Prog/ns1:Target_P1_7" xmlDataType="double"/>
    </xmlCellPr>
  </singleXmlCell>
  <singleXmlCell id="711" r="I127" connectionId="0">
    <xmlCellPr id="1" uniqueName="1">
      <xmlPr mapId="43" xpath="/ns1:Root/ns1:Prog/ns1:Target_P2_7" xmlDataType="double"/>
    </xmlCellPr>
  </singleXmlCell>
  <singleXmlCell id="712" r="J127" connectionId="0">
    <xmlCellPr id="1" uniqueName="1">
      <xmlPr mapId="43" xpath="/ns1:Root/ns1:Prog/ns1:Target_P3_7" xmlDataType="double"/>
    </xmlCellPr>
  </singleXmlCell>
  <singleXmlCell id="713" r="K127" connectionId="0">
    <xmlCellPr id="1" uniqueName="1">
      <xmlPr mapId="43" xpath="/ns1:Root/ns1:Prog/ns1:Target_P4_7" xmlDataType="double"/>
    </xmlCellPr>
  </singleXmlCell>
  <singleXmlCell id="714" r="L127" connectionId="0">
    <xmlCellPr id="1" uniqueName="1">
      <xmlPr mapId="43" xpath="/ns1:Root/ns1:Prog/ns1:Target_P5_7" xmlDataType="double"/>
    </xmlCellPr>
  </singleXmlCell>
  <singleXmlCell id="715" r="M127" connectionId="0">
    <xmlCellPr id="1" uniqueName="1">
      <xmlPr mapId="43" xpath="/ns1:Root/ns1:Prog/ns1:Target_P6_7" xmlDataType="double"/>
    </xmlCellPr>
  </singleXmlCell>
  <singleXmlCell id="716" r="N127" connectionId="0">
    <xmlCellPr id="1" uniqueName="1">
      <xmlPr mapId="43" xpath="/ns1:Root/ns1:Prog/ns1:Target_P7_7" xmlDataType="double"/>
    </xmlCellPr>
  </singleXmlCell>
  <singleXmlCell id="717" r="O127" connectionId="0">
    <xmlCellPr id="1" uniqueName="1">
      <xmlPr mapId="43" xpath="/ns1:Root/ns1:Prog/ns1:Target_P8_7" xmlDataType="double"/>
    </xmlCellPr>
  </singleXmlCell>
  <singleXmlCell id="718" r="P127" connectionId="0">
    <xmlCellPr id="1" uniqueName="1">
      <xmlPr mapId="43" xpath="/ns1:Root/ns1:Prog/ns1:Target_P9_7" xmlDataType="double"/>
    </xmlCellPr>
  </singleXmlCell>
  <singleXmlCell id="719" r="Q127" connectionId="0">
    <xmlCellPr id="1" uniqueName="1">
      <xmlPr mapId="43" xpath="/ns1:Root/ns1:Prog/ns1:Target_P10_7" xmlDataType="double"/>
    </xmlCellPr>
  </singleXmlCell>
  <singleXmlCell id="720" r="R127" connectionId="0">
    <xmlCellPr id="1" uniqueName="1">
      <xmlPr mapId="43" xpath="/ns1:Root/ns1:Prog/ns1:Target_P11_7" xmlDataType="double"/>
    </xmlCellPr>
  </singleXmlCell>
  <singleXmlCell id="721" r="S127" connectionId="0">
    <xmlCellPr id="1" uniqueName="1">
      <xmlPr mapId="43" xpath="/ns1:Root/ns1:Prog/ns1:Target_P12_7" xmlDataType="double"/>
    </xmlCellPr>
  </singleXmlCell>
  <singleXmlCell id="722" r="H128" connectionId="0">
    <xmlCellPr id="1" uniqueName="1">
      <xmlPr mapId="43" xpath="/ns1:Root/ns1:Prog/ns1:Achieved__P1_7" xmlDataType="double"/>
    </xmlCellPr>
  </singleXmlCell>
  <singleXmlCell id="723" r="I128" connectionId="0">
    <xmlCellPr id="1" uniqueName="1">
      <xmlPr mapId="43" xpath="/ns1:Root/ns1:Prog/ns1:Achieved__P2_7" xmlDataType="double"/>
    </xmlCellPr>
  </singleXmlCell>
  <singleXmlCell id="724" r="J128" connectionId="0">
    <xmlCellPr id="1" uniqueName="1">
      <xmlPr mapId="43" xpath="/ns1:Root/ns1:Prog/ns1:Achieved__P3_7" xmlDataType="double"/>
    </xmlCellPr>
  </singleXmlCell>
  <singleXmlCell id="725" r="K128" connectionId="0">
    <xmlCellPr id="1" uniqueName="1">
      <xmlPr mapId="43" xpath="/ns1:Root/ns1:Prog/ns1:Achieved__P4_7" xmlDataType="double"/>
    </xmlCellPr>
  </singleXmlCell>
  <singleXmlCell id="726" r="L128" connectionId="0">
    <xmlCellPr id="1" uniqueName="1">
      <xmlPr mapId="43" xpath="/ns1:Root/ns1:Prog/ns1:Achieved__P5_7" xmlDataType="string"/>
    </xmlCellPr>
  </singleXmlCell>
  <singleXmlCell id="727" r="M128" connectionId="0">
    <xmlCellPr id="1" uniqueName="1">
      <xmlPr mapId="43" xpath="/ns1:Root/ns1:Prog/ns1:Achieved__P6_7" xmlDataType="string"/>
    </xmlCellPr>
  </singleXmlCell>
  <singleXmlCell id="728" r="N128" connectionId="0">
    <xmlCellPr id="1" uniqueName="1">
      <xmlPr mapId="43" xpath="/ns1:Root/ns1:Prog/ns1:Achieved__P7_7" xmlDataType="string"/>
    </xmlCellPr>
  </singleXmlCell>
  <singleXmlCell id="729" r="O128" connectionId="0">
    <xmlCellPr id="1" uniqueName="1">
      <xmlPr mapId="43" xpath="/ns1:Root/ns1:Prog/ns1:Achieved__P8_7" xmlDataType="string"/>
    </xmlCellPr>
  </singleXmlCell>
  <singleXmlCell id="730" r="P128" connectionId="0">
    <xmlCellPr id="1" uniqueName="1">
      <xmlPr mapId="43" xpath="/ns1:Root/ns1:Prog/ns1:Achieved__P9_7" xmlDataType="string"/>
    </xmlCellPr>
  </singleXmlCell>
  <singleXmlCell id="731" r="Q128" connectionId="0">
    <xmlCellPr id="1" uniqueName="1">
      <xmlPr mapId="43" xpath="/ns1:Root/ns1:Prog/ns1:Achieved__P10_7" xmlDataType="string"/>
    </xmlCellPr>
  </singleXmlCell>
  <singleXmlCell id="732" r="R128" connectionId="0">
    <xmlCellPr id="1" uniqueName="1">
      <xmlPr mapId="43" xpath="/ns1:Root/ns1:Prog/ns1:Achieved__P11_7" xmlDataType="string"/>
    </xmlCellPr>
  </singleXmlCell>
  <singleXmlCell id="733" r="S128" connectionId="0">
    <xmlCellPr id="1" uniqueName="1">
      <xmlPr mapId="43" xpath="/ns1:Root/ns1:Prog/ns1:Achieved__P12_7" xmlDataType="string"/>
    </xmlCellPr>
  </singleXmlCell>
  <singleXmlCell id="758" r="H133" connectionId="0">
    <xmlCellPr id="1" uniqueName="1">
      <xmlPr mapId="43" xpath="/ns1:Root/ns1:Prog/ns1:Target_P1_9" xmlDataType="double"/>
    </xmlCellPr>
  </singleXmlCell>
  <singleXmlCell id="759" r="I133" connectionId="0">
    <xmlCellPr id="1" uniqueName="1">
      <xmlPr mapId="43" xpath="/ns1:Root/ns1:Prog/ns1:Target_P2_9" xmlDataType="double"/>
    </xmlCellPr>
  </singleXmlCell>
  <singleXmlCell id="760" r="J133" connectionId="0">
    <xmlCellPr id="1" uniqueName="1">
      <xmlPr mapId="43" xpath="/ns1:Root/ns1:Prog/ns1:Target_P3_9" xmlDataType="double"/>
    </xmlCellPr>
  </singleXmlCell>
  <singleXmlCell id="761" r="K133" connectionId="0">
    <xmlCellPr id="1" uniqueName="1">
      <xmlPr mapId="43" xpath="/ns1:Root/ns1:Prog/ns1:Target_P4_9" xmlDataType="double"/>
    </xmlCellPr>
  </singleXmlCell>
  <singleXmlCell id="762" r="L133" connectionId="0">
    <xmlCellPr id="1" uniqueName="1">
      <xmlPr mapId="43" xpath="/ns1:Root/ns1:Prog/ns1:Target_P5_9" xmlDataType="double"/>
    </xmlCellPr>
  </singleXmlCell>
  <singleXmlCell id="763" r="M133" connectionId="0">
    <xmlCellPr id="1" uniqueName="1">
      <xmlPr mapId="43" xpath="/ns1:Root/ns1:Prog/ns1:Target_P6_9" xmlDataType="double"/>
    </xmlCellPr>
  </singleXmlCell>
  <singleXmlCell id="764" r="N133" connectionId="0">
    <xmlCellPr id="1" uniqueName="1">
      <xmlPr mapId="43" xpath="/ns1:Root/ns1:Prog/ns1:Target_P7_9" xmlDataType="double"/>
    </xmlCellPr>
  </singleXmlCell>
  <singleXmlCell id="765" r="O133" connectionId="0">
    <xmlCellPr id="1" uniqueName="1">
      <xmlPr mapId="43" xpath="/ns1:Root/ns1:Prog/ns1:Target_P8_9" xmlDataType="double"/>
    </xmlCellPr>
  </singleXmlCell>
  <singleXmlCell id="766" r="P133" connectionId="0">
    <xmlCellPr id="1" uniqueName="1">
      <xmlPr mapId="43" xpath="/ns1:Root/ns1:Prog/ns1:Target_P9_9" xmlDataType="double"/>
    </xmlCellPr>
  </singleXmlCell>
  <singleXmlCell id="767" r="Q133" connectionId="0">
    <xmlCellPr id="1" uniqueName="1">
      <xmlPr mapId="43" xpath="/ns1:Root/ns1:Prog/ns1:Target_P10_9" xmlDataType="double"/>
    </xmlCellPr>
  </singleXmlCell>
  <singleXmlCell id="768" r="R133" connectionId="0">
    <xmlCellPr id="1" uniqueName="1">
      <xmlPr mapId="43" xpath="/ns1:Root/ns1:Prog/ns1:Target_P11_9" xmlDataType="double"/>
    </xmlCellPr>
  </singleXmlCell>
  <singleXmlCell id="769" r="S133" connectionId="0">
    <xmlCellPr id="1" uniqueName="1">
      <xmlPr mapId="43" xpath="/ns1:Root/ns1:Prog/ns1:Target_P12_9" xmlDataType="double"/>
    </xmlCellPr>
  </singleXmlCell>
  <singleXmlCell id="770" r="H134" connectionId="0">
    <xmlCellPr id="1" uniqueName="1">
      <xmlPr mapId="43" xpath="/ns1:Root/ns1:Prog/ns1:Achieved__P1_9" xmlDataType="string"/>
    </xmlCellPr>
  </singleXmlCell>
  <singleXmlCell id="771" r="I134" connectionId="0">
    <xmlCellPr id="1" uniqueName="1">
      <xmlPr mapId="43" xpath="/ns1:Root/ns1:Prog/ns1:Achieved__P2_9" xmlDataType="double"/>
    </xmlCellPr>
  </singleXmlCell>
  <singleXmlCell id="772" r="J134" connectionId="0">
    <xmlCellPr id="1" uniqueName="1">
      <xmlPr mapId="43" xpath="/ns1:Root/ns1:Prog/ns1:Achieved__P3_9" xmlDataType="string"/>
    </xmlCellPr>
  </singleXmlCell>
  <singleXmlCell id="773" r="K134" connectionId="0">
    <xmlCellPr id="1" uniqueName="1">
      <xmlPr mapId="43" xpath="/ns1:Root/ns1:Prog/ns1:Achieved__P4_9" xmlDataType="double"/>
    </xmlCellPr>
  </singleXmlCell>
  <singleXmlCell id="774" r="L134" connectionId="0">
    <xmlCellPr id="1" uniqueName="1">
      <xmlPr mapId="43" xpath="/ns1:Root/ns1:Prog/ns1:Achieved__P5_9" xmlDataType="string"/>
    </xmlCellPr>
  </singleXmlCell>
  <singleXmlCell id="775" r="M134" connectionId="0">
    <xmlCellPr id="1" uniqueName="1">
      <xmlPr mapId="43" xpath="/ns1:Root/ns1:Prog/ns1:Achieved__P6_9" xmlDataType="string"/>
    </xmlCellPr>
  </singleXmlCell>
  <singleXmlCell id="776" r="N134" connectionId="0">
    <xmlCellPr id="1" uniqueName="1">
      <xmlPr mapId="43" xpath="/ns1:Root/ns1:Prog/ns1:Achieved__P7_9" xmlDataType="string"/>
    </xmlCellPr>
  </singleXmlCell>
  <singleXmlCell id="777" r="O134" connectionId="0">
    <xmlCellPr id="1" uniqueName="1">
      <xmlPr mapId="43" xpath="/ns1:Root/ns1:Prog/ns1:Achieved__P8_9" xmlDataType="string"/>
    </xmlCellPr>
  </singleXmlCell>
  <singleXmlCell id="778" r="P134" connectionId="0">
    <xmlCellPr id="1" uniqueName="1">
      <xmlPr mapId="43" xpath="/ns1:Root/ns1:Prog/ns1:Achieved__P9_9" xmlDataType="string"/>
    </xmlCellPr>
  </singleXmlCell>
  <singleXmlCell id="779" r="Q134" connectionId="0">
    <xmlCellPr id="1" uniqueName="1">
      <xmlPr mapId="43" xpath="/ns1:Root/ns1:Prog/ns1:Achieved__P10_9" xmlDataType="string"/>
    </xmlCellPr>
  </singleXmlCell>
  <singleXmlCell id="780" r="R134" connectionId="0">
    <xmlCellPr id="1" uniqueName="1">
      <xmlPr mapId="43" xpath="/ns1:Root/ns1:Prog/ns1:Achieved__P11_9" xmlDataType="string"/>
    </xmlCellPr>
  </singleXmlCell>
  <singleXmlCell id="781" r="S134" connectionId="0">
    <xmlCellPr id="1" uniqueName="1">
      <xmlPr mapId="43" xpath="/ns1:Root/ns1:Prog/ns1:Achieved__P12_9" xmlDataType="string"/>
    </xmlCellPr>
  </singleXmlCell>
  <singleXmlCell id="782" r="H135" connectionId="0">
    <xmlCellPr id="1" uniqueName="1">
      <xmlPr mapId="43" xpath="/ns1:Root/ns1:Prog/ns1:Target_P1" xmlDataType="string"/>
    </xmlCellPr>
  </singleXmlCell>
  <singleXmlCell id="783" r="I135" connectionId="0">
    <xmlCellPr id="1" uniqueName="1">
      <xmlPr mapId="43" xpath="/ns1:Root/ns1:Prog/ns1:Target_P2" xmlDataType="string"/>
    </xmlCellPr>
  </singleXmlCell>
  <singleXmlCell id="784" r="J135" connectionId="0">
    <xmlCellPr id="1" uniqueName="1">
      <xmlPr mapId="43" xpath="/ns1:Root/ns1:Prog/ns1:Target_P3" xmlDataType="string"/>
    </xmlCellPr>
  </singleXmlCell>
  <singleXmlCell id="785" r="K135" connectionId="0">
    <xmlCellPr id="1" uniqueName="1">
      <xmlPr mapId="43" xpath="/ns1:Root/ns1:Prog/ns1:Target_P4" xmlDataType="double"/>
    </xmlCellPr>
  </singleXmlCell>
  <singleXmlCell id="786" r="L135" connectionId="0">
    <xmlCellPr id="1" uniqueName="1">
      <xmlPr mapId="43" xpath="/ns1:Root/ns1:Prog/ns1:Target_P5" xmlDataType="string"/>
    </xmlCellPr>
  </singleXmlCell>
  <singleXmlCell id="787" r="M135" connectionId="0">
    <xmlCellPr id="1" uniqueName="1">
      <xmlPr mapId="43" xpath="/ns1:Root/ns1:Prog/ns1:Target_P6" xmlDataType="string"/>
    </xmlCellPr>
  </singleXmlCell>
  <singleXmlCell id="788" r="N135" connectionId="0">
    <xmlCellPr id="1" uniqueName="1">
      <xmlPr mapId="43" xpath="/ns1:Root/ns1:Prog/ns1:Target_P7" xmlDataType="string"/>
    </xmlCellPr>
  </singleXmlCell>
  <singleXmlCell id="789" r="O135" connectionId="0">
    <xmlCellPr id="1" uniqueName="1">
      <xmlPr mapId="43" xpath="/ns1:Root/ns1:Prog/ns1:Target_P8" xmlDataType="string"/>
    </xmlCellPr>
  </singleXmlCell>
  <singleXmlCell id="790" r="P135" connectionId="0">
    <xmlCellPr id="1" uniqueName="1">
      <xmlPr mapId="43" xpath="/ns1:Root/ns1:Prog/ns1:Target_P9" xmlDataType="string"/>
    </xmlCellPr>
  </singleXmlCell>
  <singleXmlCell id="791" r="Q135" connectionId="0">
    <xmlCellPr id="1" uniqueName="1">
      <xmlPr mapId="43" xpath="/ns1:Root/ns1:Prog/ns1:Target_P10" xmlDataType="string"/>
    </xmlCellPr>
  </singleXmlCell>
  <singleXmlCell id="792" r="R135" connectionId="0">
    <xmlCellPr id="1" uniqueName="1">
      <xmlPr mapId="43" xpath="/ns1:Root/ns1:Prog/ns1:Target_P11" xmlDataType="string"/>
    </xmlCellPr>
  </singleXmlCell>
  <singleXmlCell id="793" r="S135" connectionId="0">
    <xmlCellPr id="1" uniqueName="1">
      <xmlPr mapId="43" xpath="/ns1:Root/ns1:Prog/ns1:Target_P12" xmlDataType="string"/>
    </xmlCellPr>
  </singleXmlCell>
  <singleXmlCell id="794" r="H136" connectionId="0">
    <xmlCellPr id="1" uniqueName="1">
      <xmlPr mapId="43" xpath="/ns1:Root/ns1:Prog/ns1:Achieved__P1" xmlDataType="string"/>
    </xmlCellPr>
  </singleXmlCell>
  <singleXmlCell id="795" r="I136" connectionId="0">
    <xmlCellPr id="1" uniqueName="1">
      <xmlPr mapId="43" xpath="/ns1:Root/ns1:Prog/ns1:Achieved__P2" xmlDataType="string"/>
    </xmlCellPr>
  </singleXmlCell>
  <singleXmlCell id="796" r="J136" connectionId="0">
    <xmlCellPr id="1" uniqueName="1">
      <xmlPr mapId="43" xpath="/ns1:Root/ns1:Prog/ns1:Achieved__P3" xmlDataType="string"/>
    </xmlCellPr>
  </singleXmlCell>
  <singleXmlCell id="797" r="K136" connectionId="0">
    <xmlCellPr id="1" uniqueName="1">
      <xmlPr mapId="43" xpath="/ns1:Root/ns1:Prog/ns1:Achieved__P4" xmlDataType="string"/>
    </xmlCellPr>
  </singleXmlCell>
  <singleXmlCell id="798" r="L136" connectionId="0">
    <xmlCellPr id="1" uniqueName="1">
      <xmlPr mapId="43" xpath="/ns1:Root/ns1:Prog/ns1:Achieved__P5" xmlDataType="string"/>
    </xmlCellPr>
  </singleXmlCell>
  <singleXmlCell id="799" r="M136" connectionId="0">
    <xmlCellPr id="1" uniqueName="1">
      <xmlPr mapId="43" xpath="/ns1:Root/ns1:Prog/ns1:Achieved__P6" xmlDataType="string"/>
    </xmlCellPr>
  </singleXmlCell>
  <singleXmlCell id="800" r="N136" connectionId="0">
    <xmlCellPr id="1" uniqueName="1">
      <xmlPr mapId="43" xpath="/ns1:Root/ns1:Prog/ns1:Achieved__P7" xmlDataType="string"/>
    </xmlCellPr>
  </singleXmlCell>
  <singleXmlCell id="801" r="O136" connectionId="0">
    <xmlCellPr id="1" uniqueName="1">
      <xmlPr mapId="43" xpath="/ns1:Root/ns1:Prog/ns1:Achieved__P8" xmlDataType="string"/>
    </xmlCellPr>
  </singleXmlCell>
  <singleXmlCell id="802" r="P136" connectionId="0">
    <xmlCellPr id="1" uniqueName="1">
      <xmlPr mapId="43" xpath="/ns1:Root/ns1:Prog/ns1:Achieved__P9" xmlDataType="string"/>
    </xmlCellPr>
  </singleXmlCell>
  <singleXmlCell id="803" r="Q136" connectionId="0">
    <xmlCellPr id="1" uniqueName="1">
      <xmlPr mapId="43" xpath="/ns1:Root/ns1:Prog/ns1:Achieved__P10" xmlDataType="string"/>
    </xmlCellPr>
  </singleXmlCell>
  <singleXmlCell id="804" r="R136" connectionId="0">
    <xmlCellPr id="1" uniqueName="1">
      <xmlPr mapId="43" xpath="/ns1:Root/ns1:Prog/ns1:Achieved__P11" xmlDataType="string"/>
    </xmlCellPr>
  </singleXmlCell>
  <singleXmlCell id="805" r="S136" connectionId="0">
    <xmlCellPr id="1" uniqueName="1">
      <xmlPr mapId="43" xpath="/ns1:Root/ns1:Prog/ns1:Achieved__P12" xmlDataType="string"/>
    </xmlCellPr>
  </singleXmlCell>
  <singleXmlCell id="806" r="K119" connectionId="0">
    <xmlCellPr id="1" uniqueName="1">
      <xmlPr mapId="43" xpath="/ns1:Root/ns1:Prog/ns1:Target_P4_2" xmlDataType="double"/>
    </xmlCellPr>
  </singleXmlCell>
  <singleXmlCell id="807" r="B117" connectionId="0">
    <xmlCellPr id="1" uniqueName="1">
      <xmlPr mapId="43" xpath="/ns1:Root/ns1:P1" xmlDataType="string"/>
    </xmlCellPr>
  </singleXmlCell>
  <singleXmlCell id="808" r="E117" connectionId="0">
    <xmlCellPr id="1" uniqueName="1">
      <xmlPr mapId="43" xpath="/ns1:Root/ns1:P1_Code" xmlDataType="double"/>
    </xmlCellPr>
  </singleXmlCell>
  <singleXmlCell id="809" r="F117" connectionId="0">
    <xmlCellPr id="1" uniqueName="1">
      <xmlPr mapId="43" xpath="/ns1:Root/ns1:P1_Tied" xmlDataType="string"/>
    </xmlCellPr>
  </singleXmlCell>
  <singleXmlCell id="810" r="B119" connectionId="0">
    <xmlCellPr id="1" uniqueName="1">
      <xmlPr mapId="43" xpath="/ns1:Root/ns1:P2" xmlDataType="string"/>
    </xmlCellPr>
  </singleXmlCell>
  <singleXmlCell id="811" r="E119" connectionId="0">
    <xmlCellPr id="1" uniqueName="1">
      <xmlPr mapId="43" xpath="/ns1:Root/ns1:P2_Code" xmlDataType="double"/>
    </xmlCellPr>
  </singleXmlCell>
  <singleXmlCell id="812" r="F119" connectionId="0">
    <xmlCellPr id="1" uniqueName="1">
      <xmlPr mapId="43" xpath="/ns1:Root/ns1:P2_Tied" xmlDataType="string"/>
    </xmlCellPr>
  </singleXmlCell>
  <singleXmlCell id="813" r="B121" connectionId="0">
    <xmlCellPr id="1" uniqueName="1">
      <xmlPr mapId="43" xpath="/ns1:Root/ns1:P3" xmlDataType="string"/>
    </xmlCellPr>
  </singleXmlCell>
  <singleXmlCell id="814" r="E121" connectionId="0">
    <xmlCellPr id="1" uniqueName="1">
      <xmlPr mapId="43" xpath="/ns1:Root/ns1:P3_Code" xmlDataType="double"/>
    </xmlCellPr>
  </singleXmlCell>
  <singleXmlCell id="815" r="F121" connectionId="0">
    <xmlCellPr id="1" uniqueName="1">
      <xmlPr mapId="43" xpath="/ns1:Root/ns1:P3_Tied" xmlDataType="string"/>
    </xmlCellPr>
  </singleXmlCell>
  <singleXmlCell id="816" r="B125" connectionId="0">
    <xmlCellPr id="1" uniqueName="1">
      <xmlPr mapId="43" xpath="/ns1:Root/ns1:P4" xmlDataType="string"/>
    </xmlCellPr>
  </singleXmlCell>
  <singleXmlCell id="817" r="E125" connectionId="0">
    <xmlCellPr id="1" uniqueName="1">
      <xmlPr mapId="43" xpath="/ns1:Root/ns1:P4_Code" xmlDataType="double"/>
    </xmlCellPr>
  </singleXmlCell>
  <singleXmlCell id="818" r="F125" connectionId="0">
    <xmlCellPr id="1" uniqueName="1">
      <xmlPr mapId="43" xpath="/ns1:Root/ns1:P4_Tied" xmlDataType="string"/>
    </xmlCellPr>
  </singleXmlCell>
  <singleXmlCell id="819" r="B129" connectionId="0">
    <xmlCellPr id="1" uniqueName="1">
      <xmlPr mapId="43" xpath="/ns1:Root/ns1:P5" xmlDataType="string"/>
    </xmlCellPr>
  </singleXmlCell>
  <singleXmlCell id="820" r="E129" connectionId="0">
    <xmlCellPr id="1" uniqueName="1">
      <xmlPr mapId="43" xpath="/ns1:Root/ns1:P5_Code" xmlDataType="double"/>
    </xmlCellPr>
  </singleXmlCell>
  <singleXmlCell id="821" r="F129" connectionId="0">
    <xmlCellPr id="1" uniqueName="1">
      <xmlPr mapId="43" xpath="/ns1:Root/ns1:P5_Tied" xmlDataType="string"/>
    </xmlCellPr>
  </singleXmlCell>
  <singleXmlCell id="822" r="B131" connectionId="0">
    <xmlCellPr id="1" uniqueName="1">
      <xmlPr mapId="43" xpath="/ns1:Root/ns1:P6" xmlDataType="string"/>
    </xmlCellPr>
  </singleXmlCell>
  <singleXmlCell id="823" r="E131" connectionId="0">
    <xmlCellPr id="1" uniqueName="1">
      <xmlPr mapId="43" xpath="/ns1:Root/ns1:P6_Code" xmlDataType="double"/>
    </xmlCellPr>
  </singleXmlCell>
  <singleXmlCell id="824" r="F131" connectionId="0">
    <xmlCellPr id="1" uniqueName="1">
      <xmlPr mapId="43" xpath="/ns1:Root/ns1:P6_Tied" xmlDataType="string"/>
    </xmlCellPr>
  </singleXmlCell>
  <singleXmlCell id="825" r="B127" connectionId="0">
    <xmlCellPr id="1" uniqueName="1">
      <xmlPr mapId="43" xpath="/ns1:Root/ns1:P7" xmlDataType="string"/>
    </xmlCellPr>
  </singleXmlCell>
  <singleXmlCell id="826" r="E127" connectionId="0">
    <xmlCellPr id="1" uniqueName="1">
      <xmlPr mapId="43" xpath="/ns1:Root/ns1:P7_Code" xmlDataType="double"/>
    </xmlCellPr>
  </singleXmlCell>
  <singleXmlCell id="827" r="F127" connectionId="0">
    <xmlCellPr id="1" uniqueName="1">
      <xmlPr mapId="43" xpath="/ns1:Root/ns1:P7_Tied" xmlDataType="string"/>
    </xmlCellPr>
  </singleXmlCell>
  <singleXmlCell id="831" r="B133" connectionId="0">
    <xmlCellPr id="1" uniqueName="1">
      <xmlPr mapId="43" xpath="/ns1:Root/ns1:P9" xmlDataType="string"/>
    </xmlCellPr>
  </singleXmlCell>
  <singleXmlCell id="832" r="E133" connectionId="0">
    <xmlCellPr id="1" uniqueName="1">
      <xmlPr mapId="43" xpath="/ns1:Root/ns1:P9_Code" xmlDataType="double"/>
    </xmlCellPr>
  </singleXmlCell>
  <singleXmlCell id="833" r="F133" connectionId="0">
    <xmlCellPr id="1" uniqueName="1">
      <xmlPr mapId="43" xpath="/ns1:Root/ns1:P9_Tied" xmlDataType="double"/>
    </xmlCellPr>
  </singleXmlCell>
  <singleXmlCell id="834" r="B135" connectionId="0">
    <xmlCellPr id="1" uniqueName="1">
      <xmlPr mapId="43" xpath="/ns1:Root/ns1:P10" xmlDataType="string"/>
    </xmlCellPr>
  </singleXmlCell>
  <singleXmlCell id="835" r="E135" connectionId="0">
    <xmlCellPr id="1" uniqueName="1">
      <xmlPr mapId="43" xpath="/ns1:Root/ns1:P10_Code" xmlDataType="double"/>
    </xmlCellPr>
  </singleXmlCell>
  <singleXmlCell id="836" r="F135"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indexed="51"/>
  </sheetPr>
  <dimension ref="B1:O22"/>
  <sheetViews>
    <sheetView showGridLines="0" showRowColHeaders="0"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36" t="str">
        <f>+'Detalii despre Grant'!B3:J3</f>
        <v>Dashboard:  Moldova - HIV / AIDS</v>
      </c>
      <c r="C2" s="536"/>
      <c r="D2" s="536"/>
      <c r="E2" s="536"/>
      <c r="F2" s="536"/>
      <c r="G2" s="536"/>
      <c r="H2" s="536"/>
      <c r="I2" s="536"/>
      <c r="J2" s="536"/>
      <c r="K2" s="536"/>
      <c r="L2" s="536"/>
      <c r="M2" s="1"/>
      <c r="N2" s="1"/>
      <c r="O2" s="1"/>
    </row>
    <row r="4" spans="2:15" ht="21">
      <c r="B4" s="537" t="str">
        <f>+IF('Introducerea datelor'!G6="Please Select", "",'Introducerea datelor'!G6) &amp;"  "&amp;+IF('Introducerea datelor'!G8="Please Select", "", 'Introducerea datelor'!G8&amp;",  ")&amp;+IF('Introducerea datelor'!I8="Please Select","",'Introducerea datelor'!I8)</f>
        <v>HIV / AIDS  Faza 2</v>
      </c>
      <c r="C4" s="537"/>
      <c r="D4" s="537"/>
      <c r="E4" s="538"/>
      <c r="F4" s="224"/>
      <c r="G4" s="224"/>
      <c r="H4" s="338" t="str">
        <f>+'Introducerea datelor'!B6&amp;" "&amp;+'Introducerea datelor'!C6</f>
        <v>No. Grantului : MOL-H-PCIMU</v>
      </c>
      <c r="I4" s="338"/>
      <c r="J4" s="223"/>
      <c r="K4" s="224"/>
      <c r="L4" s="224"/>
    </row>
    <row r="22" spans="2:12" ht="26.25">
      <c r="B22" s="539" t="s">
        <v>331</v>
      </c>
      <c r="C22" s="540"/>
      <c r="D22" s="540"/>
      <c r="E22" s="540"/>
      <c r="F22" s="540"/>
      <c r="G22" s="540"/>
      <c r="H22" s="540"/>
      <c r="I22" s="540"/>
      <c r="J22" s="540"/>
      <c r="K22" s="540"/>
      <c r="L22" s="540"/>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96" t="str">
        <f>'Detalii despre Grant'!B3:J3</f>
        <v>Dashboard:  Moldova - HIV / AIDS</v>
      </c>
      <c r="C3" s="996"/>
      <c r="D3" s="996"/>
      <c r="E3" s="996"/>
      <c r="F3" s="996"/>
      <c r="G3" s="996"/>
      <c r="H3" s="996"/>
      <c r="I3" s="1"/>
    </row>
    <row r="6" spans="2:15" ht="18.75">
      <c r="B6" s="949" t="s">
        <v>287</v>
      </c>
      <c r="C6" s="949"/>
      <c r="D6" s="949"/>
      <c r="E6" s="949"/>
      <c r="F6" s="949"/>
      <c r="G6" s="949"/>
      <c r="H6" s="949"/>
    </row>
    <row r="8" spans="2:15" ht="18.75">
      <c r="B8" s="62" t="s">
        <v>26</v>
      </c>
      <c r="C8" s="62" t="s">
        <v>29</v>
      </c>
      <c r="D8" s="62" t="s">
        <v>30</v>
      </c>
      <c r="E8" s="62" t="s">
        <v>35</v>
      </c>
      <c r="F8" s="62" t="s">
        <v>264</v>
      </c>
      <c r="G8" s="62" t="s">
        <v>246</v>
      </c>
      <c r="H8" s="62" t="s">
        <v>268</v>
      </c>
      <c r="I8" s="63" t="s">
        <v>73</v>
      </c>
      <c r="J8" s="63" t="s">
        <v>111</v>
      </c>
      <c r="M8" s="19"/>
      <c r="N8" s="19"/>
      <c r="O8" s="19"/>
    </row>
    <row r="9" spans="2:15">
      <c r="B9" s="86" t="s">
        <v>321</v>
      </c>
      <c r="C9" s="86" t="s">
        <v>321</v>
      </c>
      <c r="D9" s="86" t="s">
        <v>321</v>
      </c>
      <c r="E9" s="86" t="s">
        <v>321</v>
      </c>
      <c r="F9" s="86" t="s">
        <v>321</v>
      </c>
      <c r="G9" s="86" t="s">
        <v>321</v>
      </c>
      <c r="H9" s="86" t="s">
        <v>321</v>
      </c>
      <c r="I9" s="409" t="s">
        <v>321</v>
      </c>
      <c r="J9" s="86" t="s">
        <v>321</v>
      </c>
      <c r="M9" s="19"/>
      <c r="N9" s="19"/>
      <c r="O9" s="19"/>
    </row>
    <row r="10" spans="2:15">
      <c r="B10" s="57" t="s">
        <v>21</v>
      </c>
      <c r="C10" s="57" t="s">
        <v>12</v>
      </c>
      <c r="D10" s="57" t="s">
        <v>10</v>
      </c>
      <c r="E10" s="57" t="s">
        <v>11</v>
      </c>
      <c r="F10" s="57" t="s">
        <v>91</v>
      </c>
      <c r="G10" s="418" t="s">
        <v>37</v>
      </c>
      <c r="H10" s="60" t="s">
        <v>42</v>
      </c>
      <c r="I10" s="27" t="s">
        <v>272</v>
      </c>
      <c r="J10" s="86" t="s">
        <v>112</v>
      </c>
      <c r="M10" s="19"/>
      <c r="N10" s="19"/>
      <c r="O10" s="19"/>
    </row>
    <row r="11" spans="2:15">
      <c r="B11" s="57" t="s">
        <v>27</v>
      </c>
      <c r="C11" s="57" t="s">
        <v>7</v>
      </c>
      <c r="D11" s="57" t="s">
        <v>13</v>
      </c>
      <c r="E11" s="57" t="s">
        <v>9</v>
      </c>
      <c r="F11" s="57" t="s">
        <v>92</v>
      </c>
      <c r="G11" s="418" t="s">
        <v>38</v>
      </c>
      <c r="H11" s="60" t="s">
        <v>43</v>
      </c>
      <c r="I11" s="27" t="s">
        <v>273</v>
      </c>
      <c r="J11" s="86" t="s">
        <v>113</v>
      </c>
      <c r="M11" s="19"/>
      <c r="N11" s="19"/>
      <c r="O11" s="19"/>
    </row>
    <row r="12" spans="2:15">
      <c r="B12" s="57" t="s">
        <v>28</v>
      </c>
      <c r="D12" s="57" t="s">
        <v>16</v>
      </c>
      <c r="E12" s="57" t="s">
        <v>17</v>
      </c>
      <c r="F12" s="57" t="s">
        <v>93</v>
      </c>
      <c r="G12" s="418" t="s">
        <v>39</v>
      </c>
      <c r="H12" s="60" t="s">
        <v>44</v>
      </c>
      <c r="I12" s="27" t="s">
        <v>274</v>
      </c>
      <c r="J12" s="86" t="s">
        <v>114</v>
      </c>
      <c r="M12" s="191"/>
      <c r="N12" s="19"/>
      <c r="O12" s="19"/>
    </row>
    <row r="13" spans="2:15">
      <c r="B13" s="57" t="s">
        <v>69</v>
      </c>
      <c r="D13" s="57" t="s">
        <v>18</v>
      </c>
      <c r="E13" s="58"/>
      <c r="F13" s="57" t="s">
        <v>94</v>
      </c>
      <c r="G13" s="418" t="s">
        <v>40</v>
      </c>
      <c r="H13" s="60" t="s">
        <v>45</v>
      </c>
      <c r="I13" s="27" t="s">
        <v>275</v>
      </c>
      <c r="J13" s="86" t="s">
        <v>115</v>
      </c>
      <c r="M13" s="191"/>
      <c r="N13" s="19"/>
      <c r="O13" s="19"/>
    </row>
    <row r="14" spans="2:15">
      <c r="B14" s="57" t="s">
        <v>70</v>
      </c>
      <c r="D14" s="57" t="s">
        <v>31</v>
      </c>
      <c r="F14" s="57" t="s">
        <v>102</v>
      </c>
      <c r="G14" s="418" t="s">
        <v>41</v>
      </c>
      <c r="H14" s="60" t="s">
        <v>46</v>
      </c>
      <c r="I14" s="27" t="s">
        <v>249</v>
      </c>
      <c r="J14" s="86" t="s">
        <v>116</v>
      </c>
      <c r="M14" s="191"/>
      <c r="N14" s="19"/>
      <c r="O14" s="19"/>
    </row>
    <row r="15" spans="2:15">
      <c r="D15" s="57" t="s">
        <v>32</v>
      </c>
      <c r="F15" s="57" t="s">
        <v>103</v>
      </c>
      <c r="H15" s="60" t="s">
        <v>47</v>
      </c>
      <c r="I15" s="27" t="s">
        <v>58</v>
      </c>
      <c r="J15" s="86" t="s">
        <v>117</v>
      </c>
      <c r="M15" s="191"/>
      <c r="N15" s="19"/>
      <c r="O15" s="19"/>
    </row>
    <row r="16" spans="2:15">
      <c r="D16" s="57" t="s">
        <v>33</v>
      </c>
      <c r="F16" s="57" t="s">
        <v>104</v>
      </c>
      <c r="H16" s="60" t="s">
        <v>48</v>
      </c>
      <c r="I16" s="27" t="s">
        <v>59</v>
      </c>
      <c r="J16" s="86" t="s">
        <v>118</v>
      </c>
      <c r="M16" s="191"/>
      <c r="N16" s="19"/>
      <c r="O16" s="19"/>
    </row>
    <row r="17" spans="4:15">
      <c r="D17" s="57" t="s">
        <v>34</v>
      </c>
      <c r="F17" s="57" t="s">
        <v>105</v>
      </c>
      <c r="H17" s="60" t="s">
        <v>49</v>
      </c>
      <c r="I17" s="27" t="s">
        <v>60</v>
      </c>
      <c r="J17" s="86" t="s">
        <v>119</v>
      </c>
      <c r="M17" s="191"/>
      <c r="N17" s="19"/>
      <c r="O17" s="19"/>
    </row>
    <row r="18" spans="4:15">
      <c r="D18" s="57" t="s">
        <v>8</v>
      </c>
      <c r="F18" s="57" t="s">
        <v>106</v>
      </c>
      <c r="H18" s="60" t="s">
        <v>50</v>
      </c>
      <c r="I18" s="27" t="s">
        <v>61</v>
      </c>
      <c r="J18" s="86" t="s">
        <v>120</v>
      </c>
      <c r="M18" s="191"/>
      <c r="N18" s="19"/>
      <c r="O18" s="19"/>
    </row>
    <row r="19" spans="4:15">
      <c r="D19" s="417" t="s">
        <v>318</v>
      </c>
      <c r="F19" s="57" t="s">
        <v>107</v>
      </c>
      <c r="H19" s="60" t="s">
        <v>51</v>
      </c>
      <c r="I19" s="27" t="s">
        <v>62</v>
      </c>
      <c r="J19" s="86" t="s">
        <v>121</v>
      </c>
      <c r="M19" s="191"/>
      <c r="N19" s="19"/>
      <c r="O19" s="19"/>
    </row>
    <row r="20" spans="4:15">
      <c r="D20" s="59"/>
      <c r="F20" s="57" t="s">
        <v>108</v>
      </c>
      <c r="H20" s="60" t="s">
        <v>244</v>
      </c>
      <c r="I20" s="27" t="s">
        <v>63</v>
      </c>
      <c r="J20" s="86" t="s">
        <v>122</v>
      </c>
      <c r="M20" s="19"/>
      <c r="N20" s="19"/>
      <c r="O20" s="19"/>
    </row>
    <row r="21" spans="4:15">
      <c r="D21" s="61"/>
      <c r="F21" s="57" t="s">
        <v>265</v>
      </c>
      <c r="H21" s="61"/>
      <c r="I21" s="27" t="s">
        <v>65</v>
      </c>
      <c r="J21" s="86" t="s">
        <v>123</v>
      </c>
      <c r="M21" s="19"/>
      <c r="N21" s="19"/>
      <c r="O21" s="19"/>
    </row>
    <row r="22" spans="4:15">
      <c r="H22" s="61"/>
      <c r="I22" s="27" t="s">
        <v>66</v>
      </c>
      <c r="J22" s="86" t="s">
        <v>124</v>
      </c>
      <c r="M22" s="19"/>
      <c r="N22" s="19"/>
      <c r="O22" s="19"/>
    </row>
    <row r="23" spans="4:15">
      <c r="I23" s="27" t="s">
        <v>64</v>
      </c>
      <c r="J23" s="86" t="s">
        <v>125</v>
      </c>
      <c r="M23" s="19"/>
      <c r="N23" s="19"/>
      <c r="O23" s="19"/>
    </row>
    <row r="24" spans="4:15">
      <c r="I24" s="27" t="s">
        <v>281</v>
      </c>
      <c r="J24" s="86" t="s">
        <v>126</v>
      </c>
      <c r="M24" s="19"/>
      <c r="N24" s="19"/>
      <c r="O24" s="19"/>
    </row>
    <row r="25" spans="4:15">
      <c r="I25" s="45"/>
      <c r="J25" s="86" t="s">
        <v>127</v>
      </c>
    </row>
    <row r="26" spans="4:15">
      <c r="I26" s="27" t="s">
        <v>282</v>
      </c>
      <c r="J26" s="86" t="s">
        <v>128</v>
      </c>
    </row>
    <row r="27" spans="4:15">
      <c r="I27" s="27" t="s">
        <v>280</v>
      </c>
      <c r="J27" s="86" t="s">
        <v>129</v>
      </c>
    </row>
    <row r="28" spans="4:15">
      <c r="I28" s="45"/>
      <c r="J28" s="86" t="s">
        <v>130</v>
      </c>
    </row>
    <row r="29" spans="4:15">
      <c r="I29" s="45"/>
      <c r="J29" s="86" t="s">
        <v>131</v>
      </c>
    </row>
    <row r="30" spans="4:15">
      <c r="I30" s="45"/>
      <c r="J30" s="86" t="s">
        <v>132</v>
      </c>
    </row>
    <row r="31" spans="4:15">
      <c r="J31" s="86" t="s">
        <v>133</v>
      </c>
    </row>
    <row r="32" spans="4:15">
      <c r="J32" s="86" t="s">
        <v>134</v>
      </c>
    </row>
    <row r="33" spans="10:10">
      <c r="J33" s="86" t="s">
        <v>135</v>
      </c>
    </row>
    <row r="34" spans="10:10">
      <c r="J34" s="86" t="s">
        <v>136</v>
      </c>
    </row>
    <row r="35" spans="10:10">
      <c r="J35" s="86" t="s">
        <v>137</v>
      </c>
    </row>
    <row r="36" spans="10:10">
      <c r="J36" s="86" t="s">
        <v>137</v>
      </c>
    </row>
    <row r="37" spans="10:10">
      <c r="J37" s="86" t="s">
        <v>138</v>
      </c>
    </row>
    <row r="38" spans="10:10">
      <c r="J38" s="86" t="s">
        <v>139</v>
      </c>
    </row>
    <row r="39" spans="10:10">
      <c r="J39" s="86" t="s">
        <v>140</v>
      </c>
    </row>
    <row r="40" spans="10:10">
      <c r="J40" s="86" t="s">
        <v>141</v>
      </c>
    </row>
    <row r="41" spans="10:10">
      <c r="J41" s="86" t="s">
        <v>142</v>
      </c>
    </row>
    <row r="42" spans="10:10">
      <c r="J42" s="86" t="s">
        <v>143</v>
      </c>
    </row>
    <row r="43" spans="10:10">
      <c r="J43" s="86" t="s">
        <v>144</v>
      </c>
    </row>
    <row r="44" spans="10:10">
      <c r="J44" s="86" t="s">
        <v>145</v>
      </c>
    </row>
    <row r="45" spans="10:10">
      <c r="J45" s="86" t="s">
        <v>146</v>
      </c>
    </row>
    <row r="46" spans="10:10">
      <c r="J46" s="86" t="s">
        <v>147</v>
      </c>
    </row>
    <row r="47" spans="10:10">
      <c r="J47" s="86" t="s">
        <v>148</v>
      </c>
    </row>
    <row r="48" spans="10:10">
      <c r="J48" s="86" t="s">
        <v>149</v>
      </c>
    </row>
    <row r="49" spans="10:10">
      <c r="J49" s="86" t="s">
        <v>150</v>
      </c>
    </row>
    <row r="50" spans="10:10">
      <c r="J50" s="86" t="s">
        <v>151</v>
      </c>
    </row>
    <row r="51" spans="10:10">
      <c r="J51" s="86" t="s">
        <v>152</v>
      </c>
    </row>
    <row r="52" spans="10:10">
      <c r="J52" s="86" t="s">
        <v>153</v>
      </c>
    </row>
    <row r="53" spans="10:10">
      <c r="J53" s="86" t="s">
        <v>154</v>
      </c>
    </row>
    <row r="54" spans="10:10">
      <c r="J54" s="86" t="s">
        <v>155</v>
      </c>
    </row>
    <row r="55" spans="10:10">
      <c r="J55" s="86" t="s">
        <v>156</v>
      </c>
    </row>
    <row r="56" spans="10:10">
      <c r="J56" s="86" t="s">
        <v>157</v>
      </c>
    </row>
    <row r="57" spans="10:10">
      <c r="J57" s="86" t="s">
        <v>158</v>
      </c>
    </row>
    <row r="58" spans="10:10">
      <c r="J58" s="86" t="s">
        <v>159</v>
      </c>
    </row>
    <row r="59" spans="10:10">
      <c r="J59" s="86" t="s">
        <v>160</v>
      </c>
    </row>
    <row r="60" spans="10:10">
      <c r="J60" s="86" t="s">
        <v>161</v>
      </c>
    </row>
    <row r="61" spans="10:10">
      <c r="J61" s="86" t="s">
        <v>162</v>
      </c>
    </row>
    <row r="62" spans="10:10">
      <c r="J62" s="86" t="s">
        <v>163</v>
      </c>
    </row>
    <row r="63" spans="10:10">
      <c r="J63" s="86" t="s">
        <v>164</v>
      </c>
    </row>
    <row r="64" spans="10:10">
      <c r="J64" s="86" t="s">
        <v>165</v>
      </c>
    </row>
    <row r="65" spans="10:10">
      <c r="J65" s="86" t="s">
        <v>166</v>
      </c>
    </row>
    <row r="66" spans="10:10">
      <c r="J66" s="86" t="s">
        <v>167</v>
      </c>
    </row>
    <row r="67" spans="10:10">
      <c r="J67" s="86" t="s">
        <v>168</v>
      </c>
    </row>
    <row r="68" spans="10:10">
      <c r="J68" s="86" t="s">
        <v>169</v>
      </c>
    </row>
    <row r="69" spans="10:10">
      <c r="J69" s="86" t="s">
        <v>170</v>
      </c>
    </row>
    <row r="70" spans="10:10">
      <c r="J70" s="86" t="s">
        <v>171</v>
      </c>
    </row>
    <row r="71" spans="10:10">
      <c r="J71" s="86" t="s">
        <v>172</v>
      </c>
    </row>
    <row r="72" spans="10:10">
      <c r="J72" s="86" t="s">
        <v>173</v>
      </c>
    </row>
    <row r="73" spans="10:10">
      <c r="J73" s="86" t="s">
        <v>174</v>
      </c>
    </row>
    <row r="74" spans="10:10">
      <c r="J74" s="86" t="s">
        <v>175</v>
      </c>
    </row>
    <row r="75" spans="10:10">
      <c r="J75" s="86" t="s">
        <v>176</v>
      </c>
    </row>
    <row r="76" spans="10:10">
      <c r="J76" s="86" t="s">
        <v>177</v>
      </c>
    </row>
    <row r="77" spans="10:10">
      <c r="J77" s="86" t="s">
        <v>178</v>
      </c>
    </row>
    <row r="78" spans="10:10">
      <c r="J78" s="86" t="s">
        <v>179</v>
      </c>
    </row>
    <row r="79" spans="10:10">
      <c r="J79" s="86" t="s">
        <v>180</v>
      </c>
    </row>
    <row r="80" spans="10:10">
      <c r="J80" s="86" t="s">
        <v>181</v>
      </c>
    </row>
    <row r="81" spans="10:10">
      <c r="J81" s="86" t="s">
        <v>182</v>
      </c>
    </row>
    <row r="82" spans="10:10">
      <c r="J82" s="86" t="s">
        <v>183</v>
      </c>
    </row>
    <row r="83" spans="10:10">
      <c r="J83" s="86" t="s">
        <v>184</v>
      </c>
    </row>
    <row r="84" spans="10:10">
      <c r="J84" s="86" t="s">
        <v>185</v>
      </c>
    </row>
    <row r="85" spans="10:10">
      <c r="J85" s="86" t="s">
        <v>186</v>
      </c>
    </row>
    <row r="86" spans="10:10">
      <c r="J86" s="86" t="s">
        <v>187</v>
      </c>
    </row>
    <row r="87" spans="10:10">
      <c r="J87" s="86" t="s">
        <v>188</v>
      </c>
    </row>
    <row r="88" spans="10:10">
      <c r="J88" s="86" t="s">
        <v>189</v>
      </c>
    </row>
    <row r="89" spans="10:10">
      <c r="J89" s="86" t="s">
        <v>190</v>
      </c>
    </row>
    <row r="90" spans="10:10">
      <c r="J90" s="86" t="s">
        <v>191</v>
      </c>
    </row>
    <row r="91" spans="10:10">
      <c r="J91" s="86" t="s">
        <v>192</v>
      </c>
    </row>
    <row r="92" spans="10:10">
      <c r="J92" s="86" t="s">
        <v>193</v>
      </c>
    </row>
    <row r="93" spans="10:10">
      <c r="J93" s="86" t="s">
        <v>194</v>
      </c>
    </row>
    <row r="94" spans="10:10">
      <c r="J94" s="86" t="s">
        <v>195</v>
      </c>
    </row>
    <row r="95" spans="10:10">
      <c r="J95" s="86" t="s">
        <v>196</v>
      </c>
    </row>
    <row r="96" spans="10:10">
      <c r="J96" s="86" t="s">
        <v>197</v>
      </c>
    </row>
    <row r="97" spans="10:10">
      <c r="J97" s="86" t="s">
        <v>198</v>
      </c>
    </row>
    <row r="98" spans="10:10">
      <c r="J98" s="86" t="s">
        <v>199</v>
      </c>
    </row>
    <row r="99" spans="10:10">
      <c r="J99" s="86" t="s">
        <v>200</v>
      </c>
    </row>
    <row r="100" spans="10:10">
      <c r="J100" s="86" t="s">
        <v>201</v>
      </c>
    </row>
    <row r="101" spans="10:10">
      <c r="J101" s="86" t="s">
        <v>202</v>
      </c>
    </row>
    <row r="102" spans="10:10">
      <c r="J102" s="86" t="s">
        <v>203</v>
      </c>
    </row>
    <row r="103" spans="10:10">
      <c r="J103" s="86" t="s">
        <v>204</v>
      </c>
    </row>
    <row r="104" spans="10:10">
      <c r="J104" s="86" t="s">
        <v>205</v>
      </c>
    </row>
    <row r="105" spans="10:10">
      <c r="J105" s="86" t="s">
        <v>206</v>
      </c>
    </row>
    <row r="106" spans="10:10">
      <c r="J106" s="86" t="s">
        <v>207</v>
      </c>
    </row>
    <row r="107" spans="10:10">
      <c r="J107" s="86" t="s">
        <v>208</v>
      </c>
    </row>
    <row r="108" spans="10:10">
      <c r="J108" s="86" t="s">
        <v>209</v>
      </c>
    </row>
    <row r="109" spans="10:10">
      <c r="J109" s="86" t="s">
        <v>210</v>
      </c>
    </row>
    <row r="110" spans="10:10">
      <c r="J110" s="86" t="s">
        <v>211</v>
      </c>
    </row>
    <row r="111" spans="10:10">
      <c r="J111" s="86" t="s">
        <v>68</v>
      </c>
    </row>
    <row r="112" spans="10:10">
      <c r="J112" s="86" t="s">
        <v>212</v>
      </c>
    </row>
    <row r="113" spans="10:10">
      <c r="J113" s="86" t="s">
        <v>213</v>
      </c>
    </row>
    <row r="114" spans="10:10">
      <c r="J114" s="86" t="s">
        <v>214</v>
      </c>
    </row>
    <row r="115" spans="10:10">
      <c r="J115" s="86" t="s">
        <v>215</v>
      </c>
    </row>
    <row r="116" spans="10:10">
      <c r="J116" s="86" t="s">
        <v>216</v>
      </c>
    </row>
    <row r="117" spans="10:10">
      <c r="J117" s="86" t="s">
        <v>217</v>
      </c>
    </row>
    <row r="118" spans="10:10">
      <c r="J118" s="86" t="s">
        <v>218</v>
      </c>
    </row>
    <row r="119" spans="10:10">
      <c r="J119" s="86" t="s">
        <v>219</v>
      </c>
    </row>
    <row r="120" spans="10:10">
      <c r="J120" s="86" t="s">
        <v>220</v>
      </c>
    </row>
    <row r="121" spans="10:10">
      <c r="J121" s="86" t="s">
        <v>221</v>
      </c>
    </row>
    <row r="122" spans="10:10">
      <c r="J122" s="86" t="s">
        <v>222</v>
      </c>
    </row>
    <row r="123" spans="10:10">
      <c r="J123" s="86" t="s">
        <v>223</v>
      </c>
    </row>
    <row r="124" spans="10:10">
      <c r="J124" s="86" t="s">
        <v>224</v>
      </c>
    </row>
    <row r="125" spans="10:10">
      <c r="J125" s="86" t="s">
        <v>225</v>
      </c>
    </row>
    <row r="126" spans="10:10">
      <c r="J126" s="86" t="s">
        <v>226</v>
      </c>
    </row>
    <row r="127" spans="10:10">
      <c r="J127" s="86" t="s">
        <v>227</v>
      </c>
    </row>
    <row r="128" spans="10:10">
      <c r="J128" s="86" t="s">
        <v>228</v>
      </c>
    </row>
    <row r="129" spans="10:10">
      <c r="J129" s="86" t="s">
        <v>229</v>
      </c>
    </row>
    <row r="130" spans="10:10">
      <c r="J130" s="86" t="s">
        <v>230</v>
      </c>
    </row>
    <row r="131" spans="10:10">
      <c r="J131" s="86" t="s">
        <v>231</v>
      </c>
    </row>
    <row r="132" spans="10:10">
      <c r="J132" s="86" t="s">
        <v>232</v>
      </c>
    </row>
    <row r="133" spans="10:10">
      <c r="J133" s="86" t="s">
        <v>233</v>
      </c>
    </row>
    <row r="134" spans="10:10">
      <c r="J134" s="86" t="s">
        <v>234</v>
      </c>
    </row>
    <row r="135" spans="10:10">
      <c r="J135" s="86" t="s">
        <v>235</v>
      </c>
    </row>
    <row r="136" spans="10:10">
      <c r="J136" s="86" t="s">
        <v>236</v>
      </c>
    </row>
    <row r="137" spans="10:10">
      <c r="J137" s="86" t="s">
        <v>237</v>
      </c>
    </row>
    <row r="138" spans="10:10">
      <c r="J138" s="86" t="s">
        <v>238</v>
      </c>
    </row>
    <row r="139" spans="10:10">
      <c r="J139" s="86" t="s">
        <v>239</v>
      </c>
    </row>
    <row r="140" spans="10:10">
      <c r="J140" s="86" t="s">
        <v>240</v>
      </c>
    </row>
    <row r="141" spans="10:10">
      <c r="J141" s="86" t="s">
        <v>241</v>
      </c>
    </row>
    <row r="142" spans="10:10">
      <c r="J142" s="86" t="s">
        <v>242</v>
      </c>
    </row>
    <row r="143" spans="10:10">
      <c r="J143" s="86" t="s">
        <v>243</v>
      </c>
    </row>
    <row r="144" spans="10:10">
      <c r="J144" s="407"/>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sheetPr codeName="Sheet3">
    <tabColor rgb="FFFFC000"/>
  </sheetPr>
  <dimension ref="A1:V55"/>
  <sheetViews>
    <sheetView showGridLines="0" zoomScale="85" zoomScaleNormal="85" workbookViewId="0">
      <pane ySplit="2" topLeftCell="A35" activePane="bottomLeft" state="frozen"/>
      <selection activeCell="E22" sqref="E22"/>
      <selection pane="bottomLeft" activeCell="M43" sqref="M43"/>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5703125" style="36" customWidth="1"/>
    <col min="15" max="15" width="3" style="36"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55" t="str">
        <f>+"Dashboard: "&amp;" "&amp;+IF('Introducerea datelor'!C4="Please Select","",'Introducerea datelor'!C4&amp;" - ")&amp;+IF('Introducerea datelor'!G6="Please Select","",'Introducerea datelor'!G6)</f>
        <v>Dashboard:  Moldova - HIV / AIDS</v>
      </c>
      <c r="C2" s="555"/>
      <c r="D2" s="555"/>
      <c r="E2" s="555"/>
      <c r="F2" s="555"/>
      <c r="G2" s="555"/>
      <c r="H2" s="555"/>
      <c r="I2" s="555"/>
      <c r="J2" s="555"/>
      <c r="K2" s="555"/>
      <c r="L2" s="555"/>
      <c r="M2" s="555"/>
    </row>
    <row r="3" spans="1:15" ht="15.75" customHeight="1">
      <c r="A3" s="3"/>
      <c r="B3" s="215"/>
      <c r="C3" s="215"/>
      <c r="D3" s="215"/>
      <c r="E3" s="215"/>
      <c r="F3" s="215"/>
      <c r="G3" s="215"/>
      <c r="H3" s="215"/>
      <c r="I3" s="215"/>
      <c r="J3" s="215"/>
      <c r="K3" s="216"/>
      <c r="L3" s="216"/>
      <c r="M3" s="3"/>
    </row>
    <row r="5" spans="1:15" ht="23.25">
      <c r="B5" s="554" t="s">
        <v>261</v>
      </c>
      <c r="C5" s="554"/>
      <c r="D5" s="554"/>
      <c r="E5" s="554"/>
      <c r="F5" s="554"/>
      <c r="G5" s="554"/>
      <c r="H5" s="554"/>
      <c r="I5" s="554"/>
      <c r="J5" s="554"/>
      <c r="K5" s="554"/>
      <c r="L5" s="554"/>
      <c r="M5" s="554"/>
      <c r="N5" s="554"/>
      <c r="O5" s="554"/>
    </row>
    <row r="7" spans="1:15" ht="21">
      <c r="B7" s="556" t="s">
        <v>250</v>
      </c>
      <c r="C7" s="557"/>
      <c r="D7" s="558"/>
      <c r="E7" s="556" t="s">
        <v>251</v>
      </c>
      <c r="F7" s="557"/>
      <c r="G7" s="557"/>
      <c r="H7" s="557"/>
      <c r="I7" s="558"/>
      <c r="J7" s="556" t="s">
        <v>252</v>
      </c>
      <c r="K7" s="557"/>
      <c r="L7" s="558"/>
      <c r="M7" s="556" t="s">
        <v>302</v>
      </c>
      <c r="N7" s="557"/>
      <c r="O7" s="558"/>
    </row>
    <row r="8" spans="1:15" ht="92.25" customHeight="1">
      <c r="B8" s="567" t="str">
        <f>+'Introducerea datelor'!B27</f>
        <v>F1: Bugetul și debursările de către Fondul Global</v>
      </c>
      <c r="C8" s="568"/>
      <c r="D8" s="569"/>
      <c r="E8" s="559" t="s">
        <v>326</v>
      </c>
      <c r="F8" s="560"/>
      <c r="G8" s="560"/>
      <c r="H8" s="560"/>
      <c r="I8" s="561"/>
      <c r="J8" s="542" t="s">
        <v>303</v>
      </c>
      <c r="K8" s="543"/>
      <c r="L8" s="544"/>
      <c r="M8" s="542" t="s">
        <v>327</v>
      </c>
      <c r="N8" s="543"/>
      <c r="O8" s="544"/>
    </row>
    <row r="9" spans="1:15" ht="117.75" customHeight="1">
      <c r="B9" s="567" t="str">
        <f>+'Introducerea datelor'!B36</f>
        <v>F2: Bugetul și cheltuielile actuale după Obiectivele Grantului</v>
      </c>
      <c r="C9" s="568"/>
      <c r="D9" s="569"/>
      <c r="E9" s="550" t="s">
        <v>311</v>
      </c>
      <c r="F9" s="551"/>
      <c r="G9" s="551"/>
      <c r="H9" s="551"/>
      <c r="I9" s="552"/>
      <c r="J9" s="542" t="s">
        <v>305</v>
      </c>
      <c r="K9" s="543"/>
      <c r="L9" s="544"/>
      <c r="M9" s="542" t="s">
        <v>327</v>
      </c>
      <c r="N9" s="543"/>
      <c r="O9" s="544"/>
    </row>
    <row r="10" spans="1:15" ht="152.25" customHeight="1">
      <c r="B10" s="562" t="str">
        <f>+'Introducerea datelor'!B49</f>
        <v>F3: Debursări și cheltuieli</v>
      </c>
      <c r="C10" s="565"/>
      <c r="D10" s="566"/>
      <c r="E10" s="550" t="s">
        <v>328</v>
      </c>
      <c r="F10" s="551"/>
      <c r="G10" s="551"/>
      <c r="H10" s="551"/>
      <c r="I10" s="552"/>
      <c r="J10" s="542" t="s">
        <v>312</v>
      </c>
      <c r="K10" s="543"/>
      <c r="L10" s="544"/>
      <c r="M10" s="542" t="s">
        <v>304</v>
      </c>
      <c r="N10" s="543"/>
      <c r="O10" s="544"/>
    </row>
    <row r="11" spans="1:15" ht="279.75" customHeight="1">
      <c r="B11" s="562" t="str">
        <f>+'Introducerea datelor'!B58</f>
        <v xml:space="preserve">F4: Ultima perioadă de raportare și debursare a RP </v>
      </c>
      <c r="C11" s="563"/>
      <c r="D11" s="564"/>
      <c r="E11" s="550" t="s">
        <v>332</v>
      </c>
      <c r="F11" s="551"/>
      <c r="G11" s="551"/>
      <c r="H11" s="551"/>
      <c r="I11" s="552"/>
      <c r="J11" s="542" t="s">
        <v>313</v>
      </c>
      <c r="K11" s="543"/>
      <c r="L11" s="544"/>
      <c r="M11" s="542" t="s">
        <v>255</v>
      </c>
      <c r="N11" s="543"/>
      <c r="O11" s="544"/>
    </row>
    <row r="12" spans="1:15" s="19" customFormat="1">
      <c r="B12" s="541"/>
      <c r="C12" s="541"/>
      <c r="D12" s="541"/>
      <c r="E12" s="545"/>
      <c r="F12" s="545"/>
      <c r="G12" s="545"/>
      <c r="H12" s="545"/>
      <c r="I12" s="545"/>
      <c r="J12" s="545"/>
      <c r="K12" s="545"/>
      <c r="L12" s="545"/>
      <c r="M12" s="545"/>
      <c r="N12" s="545"/>
      <c r="O12" s="545"/>
    </row>
    <row r="13" spans="1:15" s="19" customFormat="1">
      <c r="B13" s="553"/>
      <c r="C13" s="553"/>
      <c r="D13" s="553"/>
      <c r="E13" s="546"/>
      <c r="F13" s="546"/>
      <c r="G13" s="546"/>
      <c r="H13" s="546"/>
      <c r="I13" s="546"/>
      <c r="J13" s="546"/>
      <c r="K13" s="546"/>
      <c r="L13" s="546"/>
      <c r="M13" s="546"/>
      <c r="N13" s="546"/>
      <c r="O13" s="546"/>
    </row>
    <row r="14" spans="1:15" s="19" customFormat="1">
      <c r="B14" s="553"/>
      <c r="C14" s="553"/>
      <c r="D14" s="553"/>
      <c r="E14" s="546"/>
      <c r="F14" s="546"/>
      <c r="G14" s="546"/>
      <c r="H14" s="546"/>
      <c r="I14" s="546"/>
      <c r="J14" s="546"/>
      <c r="K14" s="546"/>
      <c r="L14" s="546"/>
      <c r="M14" s="546"/>
      <c r="N14" s="546"/>
      <c r="O14" s="546"/>
    </row>
    <row r="15" spans="1:15" s="19" customFormat="1">
      <c r="B15" s="553"/>
      <c r="C15" s="553"/>
      <c r="D15" s="553"/>
      <c r="E15" s="546"/>
      <c r="F15" s="546"/>
      <c r="G15" s="546"/>
      <c r="H15" s="546"/>
      <c r="I15" s="546"/>
      <c r="J15" s="546"/>
      <c r="K15" s="546"/>
      <c r="L15" s="546"/>
      <c r="M15" s="546"/>
      <c r="N15" s="546"/>
      <c r="O15" s="546"/>
    </row>
    <row r="16" spans="1:15" ht="23.25">
      <c r="B16" s="554" t="s">
        <v>262</v>
      </c>
      <c r="C16" s="554"/>
      <c r="D16" s="554"/>
      <c r="E16" s="554"/>
      <c r="F16" s="554"/>
      <c r="G16" s="554"/>
      <c r="H16" s="554"/>
      <c r="I16" s="554"/>
      <c r="J16" s="554"/>
      <c r="K16" s="554"/>
      <c r="L16" s="554"/>
      <c r="M16" s="554"/>
      <c r="N16" s="554"/>
      <c r="O16" s="554"/>
    </row>
    <row r="18" spans="1:15" ht="21">
      <c r="B18" s="547" t="s">
        <v>250</v>
      </c>
      <c r="C18" s="548"/>
      <c r="D18" s="549"/>
      <c r="E18" s="547" t="s">
        <v>251</v>
      </c>
      <c r="F18" s="548"/>
      <c r="G18" s="548"/>
      <c r="H18" s="548"/>
      <c r="I18" s="549"/>
      <c r="J18" s="547" t="s">
        <v>252</v>
      </c>
      <c r="K18" s="548"/>
      <c r="L18" s="549"/>
      <c r="M18" s="547" t="s">
        <v>253</v>
      </c>
      <c r="N18" s="548"/>
      <c r="O18" s="549"/>
    </row>
    <row r="19" spans="1:15" ht="114" customHeight="1">
      <c r="B19" s="567" t="str">
        <f>+'Introducerea datelor'!B69</f>
        <v xml:space="preserve">M1: Statutul Condițiilor Precedente și a Acțiunilor Prestabilite în Timp </v>
      </c>
      <c r="C19" s="608"/>
      <c r="D19" s="609"/>
      <c r="E19" s="550" t="s">
        <v>260</v>
      </c>
      <c r="F19" s="551"/>
      <c r="G19" s="551"/>
      <c r="H19" s="551"/>
      <c r="I19" s="552"/>
      <c r="J19" s="542" t="s">
        <v>306</v>
      </c>
      <c r="K19" s="543"/>
      <c r="L19" s="544"/>
      <c r="M19" s="542" t="s">
        <v>307</v>
      </c>
      <c r="N19" s="543"/>
      <c r="O19" s="544"/>
    </row>
    <row r="20" spans="1:15" ht="102.75" customHeight="1">
      <c r="B20" s="567" t="str">
        <f>+'Introducerea datelor'!B76</f>
        <v xml:space="preserve">M2: Statutul pozițiilor cheie a RP </v>
      </c>
      <c r="C20" s="608"/>
      <c r="D20" s="609"/>
      <c r="E20" s="550" t="s">
        <v>329</v>
      </c>
      <c r="F20" s="551"/>
      <c r="G20" s="551"/>
      <c r="H20" s="551"/>
      <c r="I20" s="552"/>
      <c r="J20" s="542" t="s">
        <v>257</v>
      </c>
      <c r="K20" s="543"/>
      <c r="L20" s="544"/>
      <c r="M20" s="542" t="s">
        <v>256</v>
      </c>
      <c r="N20" s="543"/>
      <c r="O20" s="544"/>
    </row>
    <row r="21" spans="1:15" ht="111.75" customHeight="1">
      <c r="B21" s="567" t="str">
        <f>+'Introducerea datelor'!B81</f>
        <v xml:space="preserve">M3: Aranjamente contractuale (SR) </v>
      </c>
      <c r="C21" s="608"/>
      <c r="D21" s="609"/>
      <c r="E21" s="610" t="s">
        <v>0</v>
      </c>
      <c r="F21" s="551"/>
      <c r="G21" s="551"/>
      <c r="H21" s="551"/>
      <c r="I21" s="552"/>
      <c r="J21" s="542" t="s">
        <v>308</v>
      </c>
      <c r="K21" s="543"/>
      <c r="L21" s="544"/>
      <c r="M21" s="542" t="s">
        <v>309</v>
      </c>
      <c r="N21" s="543"/>
      <c r="O21" s="544"/>
    </row>
    <row r="22" spans="1:15" ht="74.25" customHeight="1">
      <c r="B22" s="567" t="str">
        <f>+'Introducerea datelor'!B86</f>
        <v>M4: Numărul rapoartelor complete recepționate la timp</v>
      </c>
      <c r="C22" s="608"/>
      <c r="D22" s="609"/>
      <c r="E22" s="610" t="s">
        <v>333</v>
      </c>
      <c r="F22" s="617"/>
      <c r="G22" s="617"/>
      <c r="H22" s="617"/>
      <c r="I22" s="618"/>
      <c r="J22" s="542" t="s">
        <v>314</v>
      </c>
      <c r="K22" s="543"/>
      <c r="L22" s="544"/>
      <c r="M22" s="542" t="s">
        <v>258</v>
      </c>
      <c r="N22" s="543"/>
      <c r="O22" s="544"/>
    </row>
    <row r="23" spans="1:15" ht="207.75" customHeight="1">
      <c r="B23" s="611" t="str">
        <f>+'Introducerea datelor'!B92</f>
        <v xml:space="preserve">M5: Bugetul și Procurarea produselor medicale, echipamentului medical, medicamentelor și produselor farmaceutice </v>
      </c>
      <c r="C23" s="612"/>
      <c r="D23" s="613"/>
      <c r="E23" s="619" t="s">
        <v>315</v>
      </c>
      <c r="F23" s="620"/>
      <c r="G23" s="620"/>
      <c r="H23" s="620"/>
      <c r="I23" s="621"/>
      <c r="J23" s="631" t="s">
        <v>254</v>
      </c>
      <c r="K23" s="632"/>
      <c r="L23" s="633"/>
      <c r="M23" s="631" t="s">
        <v>259</v>
      </c>
      <c r="N23" s="632"/>
      <c r="O23" s="633"/>
    </row>
    <row r="24" spans="1:15" ht="114.75" customHeight="1">
      <c r="B24" s="614"/>
      <c r="C24" s="615"/>
      <c r="D24" s="616"/>
      <c r="E24" s="622" t="s">
        <v>310</v>
      </c>
      <c r="F24" s="623"/>
      <c r="G24" s="623"/>
      <c r="H24" s="623"/>
      <c r="I24" s="624"/>
      <c r="J24" s="634"/>
      <c r="K24" s="635"/>
      <c r="L24" s="636"/>
      <c r="M24" s="634"/>
      <c r="N24" s="635"/>
      <c r="O24" s="636"/>
    </row>
    <row r="25" spans="1:15" ht="409.6" customHeight="1">
      <c r="B25" s="567" t="str">
        <f>+'Introducerea datelor'!B105</f>
        <v>M6: Diferență între stocul curent și stocul de siguranță</v>
      </c>
      <c r="C25" s="608"/>
      <c r="D25" s="609"/>
      <c r="E25" s="643" t="s">
        <v>334</v>
      </c>
      <c r="F25" s="644"/>
      <c r="G25" s="644"/>
      <c r="H25" s="644"/>
      <c r="I25" s="645"/>
      <c r="J25" s="628" t="s">
        <v>316</v>
      </c>
      <c r="K25" s="629"/>
      <c r="L25" s="630"/>
      <c r="M25" s="625" t="s">
        <v>317</v>
      </c>
      <c r="N25" s="626"/>
      <c r="O25" s="627"/>
    </row>
    <row r="29" spans="1:15" ht="18.75">
      <c r="B29" s="246"/>
    </row>
    <row r="30" spans="1:15" ht="23.25">
      <c r="B30" s="554" t="s">
        <v>362</v>
      </c>
      <c r="C30" s="554"/>
      <c r="D30" s="554"/>
      <c r="E30" s="554"/>
      <c r="F30" s="554"/>
      <c r="G30" s="554"/>
      <c r="H30" s="554"/>
      <c r="I30" s="554"/>
      <c r="J30" s="554"/>
      <c r="K30" s="554"/>
      <c r="L30" s="554"/>
      <c r="M30" s="554"/>
      <c r="N30" s="554"/>
      <c r="O30" s="554"/>
    </row>
    <row r="32" spans="1:15" ht="28.5" customHeight="1">
      <c r="A32" s="240"/>
      <c r="B32" s="573" t="s">
        <v>301</v>
      </c>
      <c r="C32" s="574"/>
      <c r="D32" s="575"/>
      <c r="E32" s="576" t="s">
        <v>509</v>
      </c>
      <c r="F32" s="577"/>
      <c r="G32" s="577"/>
      <c r="H32" s="577"/>
      <c r="I32" s="578"/>
      <c r="J32" s="576" t="s">
        <v>355</v>
      </c>
      <c r="K32" s="577"/>
      <c r="L32" s="578"/>
      <c r="M32" s="576" t="s">
        <v>358</v>
      </c>
      <c r="N32" s="577"/>
      <c r="O32" s="578"/>
    </row>
    <row r="33" spans="1:15" ht="66" customHeight="1">
      <c r="A33" s="241"/>
      <c r="B33" s="595" t="s">
        <v>506</v>
      </c>
      <c r="C33" s="598"/>
      <c r="D33" s="599"/>
      <c r="E33" s="642" t="s">
        <v>349</v>
      </c>
      <c r="F33" s="603"/>
      <c r="G33" s="603"/>
      <c r="H33" s="603"/>
      <c r="I33" s="604"/>
      <c r="J33" s="588" t="s">
        <v>356</v>
      </c>
      <c r="K33" s="589"/>
      <c r="L33" s="590"/>
      <c r="M33" s="594" t="s">
        <v>352</v>
      </c>
      <c r="N33" s="592"/>
      <c r="O33" s="593"/>
    </row>
    <row r="34" spans="1:15" ht="98.25" customHeight="1">
      <c r="A34" s="241"/>
      <c r="B34" s="595" t="s">
        <v>507</v>
      </c>
      <c r="C34" s="598"/>
      <c r="D34" s="599"/>
      <c r="E34" s="642" t="s">
        <v>350</v>
      </c>
      <c r="F34" s="603"/>
      <c r="G34" s="603"/>
      <c r="H34" s="603"/>
      <c r="I34" s="604"/>
      <c r="J34" s="588" t="s">
        <v>356</v>
      </c>
      <c r="K34" s="589"/>
      <c r="L34" s="590"/>
      <c r="M34" s="594" t="s">
        <v>353</v>
      </c>
      <c r="N34" s="592"/>
      <c r="O34" s="593"/>
    </row>
    <row r="35" spans="1:15" ht="85.5" customHeight="1">
      <c r="A35" s="241"/>
      <c r="B35" s="605" t="s">
        <v>364</v>
      </c>
      <c r="C35" s="661"/>
      <c r="D35" s="662"/>
      <c r="E35" s="602" t="s">
        <v>371</v>
      </c>
      <c r="F35" s="603"/>
      <c r="G35" s="603"/>
      <c r="H35" s="603"/>
      <c r="I35" s="604"/>
      <c r="J35" s="588" t="s">
        <v>357</v>
      </c>
      <c r="K35" s="589"/>
      <c r="L35" s="590"/>
      <c r="M35" s="591" t="s">
        <v>376</v>
      </c>
      <c r="N35" s="592"/>
      <c r="O35" s="593"/>
    </row>
    <row r="36" spans="1:15" ht="124.5" hidden="1" customHeight="1">
      <c r="A36" s="241"/>
      <c r="B36" s="595" t="s">
        <v>363</v>
      </c>
      <c r="C36" s="596"/>
      <c r="D36" s="597"/>
      <c r="E36" s="594" t="s">
        <v>351</v>
      </c>
      <c r="F36" s="592"/>
      <c r="G36" s="592"/>
      <c r="H36" s="592"/>
      <c r="I36" s="593"/>
      <c r="J36" s="588" t="s">
        <v>356</v>
      </c>
      <c r="K36" s="589"/>
      <c r="L36" s="590"/>
      <c r="M36" s="594" t="s">
        <v>354</v>
      </c>
      <c r="N36" s="592"/>
      <c r="O36" s="593"/>
    </row>
    <row r="37" spans="1:15" ht="9.75" customHeight="1">
      <c r="A37" s="241"/>
      <c r="B37" s="639"/>
      <c r="C37" s="640"/>
      <c r="D37" s="641"/>
      <c r="E37" s="468"/>
      <c r="F37" s="469"/>
      <c r="G37" s="469"/>
      <c r="H37" s="469"/>
      <c r="I37" s="470"/>
      <c r="J37" s="471"/>
      <c r="K37" s="472"/>
      <c r="L37" s="473"/>
      <c r="M37" s="471"/>
      <c r="N37" s="472"/>
      <c r="O37" s="473"/>
    </row>
    <row r="38" spans="1:15" ht="91.5" customHeight="1">
      <c r="A38" s="241"/>
      <c r="B38" s="595" t="s">
        <v>502</v>
      </c>
      <c r="C38" s="598"/>
      <c r="D38" s="599"/>
      <c r="E38" s="591" t="s">
        <v>367</v>
      </c>
      <c r="F38" s="637"/>
      <c r="G38" s="637"/>
      <c r="H38" s="637"/>
      <c r="I38" s="638"/>
      <c r="J38" s="588" t="s">
        <v>356</v>
      </c>
      <c r="K38" s="589"/>
      <c r="L38" s="590"/>
      <c r="M38" s="481" t="s">
        <v>380</v>
      </c>
      <c r="N38" s="474"/>
      <c r="O38" s="475"/>
    </row>
    <row r="39" spans="1:15" ht="69" customHeight="1">
      <c r="A39" s="241"/>
      <c r="B39" s="595" t="s">
        <v>505</v>
      </c>
      <c r="C39" s="598"/>
      <c r="D39" s="599"/>
      <c r="E39" s="646" t="s">
        <v>370</v>
      </c>
      <c r="F39" s="647"/>
      <c r="G39" s="647"/>
      <c r="H39" s="647"/>
      <c r="I39" s="648"/>
      <c r="J39" s="588" t="s">
        <v>356</v>
      </c>
      <c r="K39" s="589"/>
      <c r="L39" s="590"/>
      <c r="M39" s="591" t="s">
        <v>377</v>
      </c>
      <c r="N39" s="592"/>
      <c r="O39" s="593"/>
    </row>
    <row r="40" spans="1:15" ht="93" customHeight="1">
      <c r="A40" s="241"/>
      <c r="B40" s="595" t="s">
        <v>503</v>
      </c>
      <c r="C40" s="598"/>
      <c r="D40" s="599"/>
      <c r="E40" s="602" t="s">
        <v>368</v>
      </c>
      <c r="F40" s="603"/>
      <c r="G40" s="603"/>
      <c r="H40" s="603"/>
      <c r="I40" s="604"/>
      <c r="J40" s="588" t="s">
        <v>356</v>
      </c>
      <c r="K40" s="589"/>
      <c r="L40" s="590"/>
      <c r="M40" s="591" t="s">
        <v>379</v>
      </c>
      <c r="N40" s="592"/>
      <c r="O40" s="593"/>
    </row>
    <row r="41" spans="1:15" ht="97.5" customHeight="1">
      <c r="A41" s="241"/>
      <c r="B41" s="595" t="s">
        <v>504</v>
      </c>
      <c r="C41" s="598"/>
      <c r="D41" s="599"/>
      <c r="E41" s="591" t="s">
        <v>369</v>
      </c>
      <c r="F41" s="592"/>
      <c r="G41" s="592"/>
      <c r="H41" s="592"/>
      <c r="I41" s="593"/>
      <c r="J41" s="588" t="s">
        <v>356</v>
      </c>
      <c r="K41" s="589"/>
      <c r="L41" s="590"/>
      <c r="M41" s="481" t="s">
        <v>378</v>
      </c>
      <c r="N41" s="474"/>
      <c r="O41" s="475"/>
    </row>
    <row r="42" spans="1:15" ht="98.25" customHeight="1">
      <c r="A42" s="241"/>
      <c r="B42" s="595" t="s">
        <v>508</v>
      </c>
      <c r="C42" s="598"/>
      <c r="D42" s="599"/>
      <c r="E42" s="642" t="s">
        <v>500</v>
      </c>
      <c r="F42" s="603"/>
      <c r="G42" s="603"/>
      <c r="H42" s="603"/>
      <c r="I42" s="604"/>
      <c r="J42" s="588" t="s">
        <v>356</v>
      </c>
      <c r="K42" s="589"/>
      <c r="L42" s="590"/>
      <c r="M42" s="594" t="s">
        <v>501</v>
      </c>
      <c r="N42" s="592"/>
      <c r="O42" s="593"/>
    </row>
    <row r="44" spans="1:15" ht="84" hidden="1" customHeight="1">
      <c r="A44" s="241"/>
      <c r="B44" s="605" t="s">
        <v>365</v>
      </c>
      <c r="C44" s="606"/>
      <c r="D44" s="607"/>
      <c r="E44" s="591" t="s">
        <v>372</v>
      </c>
      <c r="F44" s="600"/>
      <c r="G44" s="600"/>
      <c r="H44" s="600"/>
      <c r="I44" s="601"/>
      <c r="J44" s="588" t="s">
        <v>356</v>
      </c>
      <c r="K44" s="589"/>
      <c r="L44" s="590"/>
      <c r="M44" s="591" t="s">
        <v>375</v>
      </c>
      <c r="N44" s="600"/>
      <c r="O44" s="601"/>
    </row>
    <row r="45" spans="1:15" ht="88.5" hidden="1" customHeight="1">
      <c r="A45" s="241"/>
      <c r="B45" s="605" t="s">
        <v>366</v>
      </c>
      <c r="C45" s="661"/>
      <c r="D45" s="662"/>
      <c r="E45" s="602" t="s">
        <v>373</v>
      </c>
      <c r="F45" s="603"/>
      <c r="G45" s="603"/>
      <c r="H45" s="603"/>
      <c r="I45" s="604"/>
      <c r="J45" s="588" t="s">
        <v>357</v>
      </c>
      <c r="K45" s="589"/>
      <c r="L45" s="590"/>
      <c r="M45" s="481" t="s">
        <v>374</v>
      </c>
      <c r="N45" s="474"/>
      <c r="O45" s="475"/>
    </row>
    <row r="46" spans="1:15" ht="64.5" hidden="1" customHeight="1">
      <c r="A46" s="241"/>
      <c r="B46" s="658"/>
      <c r="C46" s="659"/>
      <c r="D46" s="660"/>
      <c r="E46" s="655"/>
      <c r="F46" s="656"/>
      <c r="G46" s="656"/>
      <c r="H46" s="656"/>
      <c r="I46" s="657"/>
      <c r="J46" s="652"/>
      <c r="K46" s="653"/>
      <c r="L46" s="654"/>
      <c r="M46" s="254"/>
      <c r="N46" s="255"/>
      <c r="O46" s="256"/>
    </row>
    <row r="47" spans="1:15" ht="49.5" hidden="1" customHeight="1">
      <c r="B47" s="658"/>
      <c r="C47" s="659"/>
      <c r="D47" s="660"/>
      <c r="E47" s="655"/>
      <c r="F47" s="656"/>
      <c r="G47" s="656"/>
      <c r="H47" s="656"/>
      <c r="I47" s="657"/>
      <c r="J47" s="652"/>
      <c r="K47" s="653"/>
      <c r="L47" s="654"/>
      <c r="M47" s="254"/>
      <c r="N47" s="255"/>
      <c r="O47" s="256"/>
    </row>
    <row r="48" spans="1:15" ht="30" hidden="1" customHeight="1">
      <c r="B48" s="649"/>
      <c r="C48" s="650"/>
      <c r="D48" s="651"/>
      <c r="E48" s="242"/>
      <c r="F48" s="243"/>
      <c r="G48" s="243"/>
      <c r="H48" s="243"/>
      <c r="I48" s="244"/>
      <c r="J48" s="254"/>
      <c r="K48" s="255"/>
      <c r="L48" s="256"/>
      <c r="M48" s="254"/>
      <c r="N48" s="255"/>
      <c r="O48" s="256"/>
    </row>
    <row r="49" spans="2:15" ht="44.25" hidden="1" customHeight="1">
      <c r="B49" s="582" t="s">
        <v>271</v>
      </c>
      <c r="C49" s="583"/>
      <c r="D49" s="584"/>
      <c r="E49" s="585" t="s">
        <v>251</v>
      </c>
      <c r="F49" s="586"/>
      <c r="G49" s="586"/>
      <c r="H49" s="586"/>
      <c r="I49" s="587"/>
      <c r="J49" s="585" t="s">
        <v>252</v>
      </c>
      <c r="K49" s="586"/>
      <c r="L49" s="587"/>
      <c r="M49" s="585" t="s">
        <v>253</v>
      </c>
      <c r="N49" s="586"/>
      <c r="O49" s="587"/>
    </row>
    <row r="50" spans="2:15" ht="33.75" hidden="1" customHeight="1">
      <c r="B50" s="237"/>
      <c r="C50" s="238"/>
      <c r="D50" s="238"/>
      <c r="E50" s="231"/>
      <c r="F50" s="233"/>
      <c r="G50" s="233"/>
      <c r="H50" s="233"/>
      <c r="I50" s="233"/>
      <c r="J50" s="231"/>
      <c r="K50" s="231"/>
      <c r="L50" s="232"/>
      <c r="M50" s="230"/>
      <c r="N50" s="231"/>
      <c r="O50" s="232"/>
    </row>
    <row r="51" spans="2:15" ht="15.75" customHeight="1">
      <c r="B51" s="579" t="s">
        <v>270</v>
      </c>
      <c r="C51" s="580"/>
      <c r="D51" s="580"/>
      <c r="E51" s="580"/>
      <c r="F51" s="580"/>
      <c r="G51" s="580"/>
      <c r="H51" s="580"/>
      <c r="I51" s="580"/>
      <c r="J51" s="580"/>
      <c r="K51" s="580"/>
      <c r="L51" s="581"/>
      <c r="M51" s="570" t="s">
        <v>263</v>
      </c>
      <c r="N51" s="571"/>
      <c r="O51" s="572"/>
    </row>
    <row r="52" spans="2:15">
      <c r="D52" s="217"/>
    </row>
    <row r="54" spans="2:15">
      <c r="D54" s="217"/>
    </row>
    <row r="55" spans="2:15">
      <c r="D55" s="217"/>
    </row>
  </sheetData>
  <mergeCells count="128">
    <mergeCell ref="M44:O44"/>
    <mergeCell ref="B42:D42"/>
    <mergeCell ref="E42:I42"/>
    <mergeCell ref="J42:L42"/>
    <mergeCell ref="M42:O42"/>
    <mergeCell ref="B35:D35"/>
    <mergeCell ref="B39:D39"/>
    <mergeCell ref="E35:I35"/>
    <mergeCell ref="J44:L44"/>
    <mergeCell ref="B48:D48"/>
    <mergeCell ref="J45:L45"/>
    <mergeCell ref="J46:L46"/>
    <mergeCell ref="J47:L47"/>
    <mergeCell ref="E46:I46"/>
    <mergeCell ref="B46:D46"/>
    <mergeCell ref="B47:D47"/>
    <mergeCell ref="E47:I47"/>
    <mergeCell ref="B45:D45"/>
    <mergeCell ref="B25:D25"/>
    <mergeCell ref="B33:D33"/>
    <mergeCell ref="B34:D34"/>
    <mergeCell ref="E38:I38"/>
    <mergeCell ref="E36:I36"/>
    <mergeCell ref="J39:L39"/>
    <mergeCell ref="M39:O39"/>
    <mergeCell ref="B41:D41"/>
    <mergeCell ref="M40:O40"/>
    <mergeCell ref="E41:I41"/>
    <mergeCell ref="B38:D38"/>
    <mergeCell ref="J38:L38"/>
    <mergeCell ref="J41:L41"/>
    <mergeCell ref="E40:I40"/>
    <mergeCell ref="J40:L40"/>
    <mergeCell ref="B37:D37"/>
    <mergeCell ref="E33:I33"/>
    <mergeCell ref="E34:I34"/>
    <mergeCell ref="E25:I25"/>
    <mergeCell ref="E39:I39"/>
    <mergeCell ref="J20:L20"/>
    <mergeCell ref="M20:O20"/>
    <mergeCell ref="M25:O25"/>
    <mergeCell ref="J25:L25"/>
    <mergeCell ref="J21:L21"/>
    <mergeCell ref="M21:O21"/>
    <mergeCell ref="J23:L24"/>
    <mergeCell ref="M22:O22"/>
    <mergeCell ref="M23:O24"/>
    <mergeCell ref="J22:L22"/>
    <mergeCell ref="B20:D20"/>
    <mergeCell ref="E20:I20"/>
    <mergeCell ref="B21:D21"/>
    <mergeCell ref="E21:I21"/>
    <mergeCell ref="B22:D22"/>
    <mergeCell ref="B23:D24"/>
    <mergeCell ref="B14:D14"/>
    <mergeCell ref="E14:I14"/>
    <mergeCell ref="B19:D19"/>
    <mergeCell ref="E22:I22"/>
    <mergeCell ref="E23:I23"/>
    <mergeCell ref="E24:I24"/>
    <mergeCell ref="M51:O51"/>
    <mergeCell ref="B30:O30"/>
    <mergeCell ref="B32:D32"/>
    <mergeCell ref="E32:I32"/>
    <mergeCell ref="J32:L32"/>
    <mergeCell ref="M32:O32"/>
    <mergeCell ref="B51:L51"/>
    <mergeCell ref="B49:D49"/>
    <mergeCell ref="E49:I49"/>
    <mergeCell ref="J49:L49"/>
    <mergeCell ref="M49:O49"/>
    <mergeCell ref="J35:L35"/>
    <mergeCell ref="M35:O35"/>
    <mergeCell ref="M36:O36"/>
    <mergeCell ref="M33:O33"/>
    <mergeCell ref="M34:O34"/>
    <mergeCell ref="J33:L33"/>
    <mergeCell ref="J34:L34"/>
    <mergeCell ref="B36:D36"/>
    <mergeCell ref="J36:L36"/>
    <mergeCell ref="B40:D40"/>
    <mergeCell ref="E44:I44"/>
    <mergeCell ref="E45:I45"/>
    <mergeCell ref="B44:D4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sheetPr codeName="Sheet2">
    <tabColor rgb="FFFFC000"/>
  </sheetPr>
  <dimension ref="A1:AJ151"/>
  <sheetViews>
    <sheetView showGridLines="0" view="pageBreakPreview" topLeftCell="B107" zoomScale="60" zoomScaleNormal="100" workbookViewId="0">
      <selection activeCell="O103" sqref="O103"/>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8.140625" customWidth="1"/>
    <col min="8" max="8" width="17.5703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5703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708" t="s">
        <v>462</v>
      </c>
      <c r="C2" s="708"/>
      <c r="D2" s="708"/>
      <c r="E2" s="708"/>
      <c r="F2" s="708"/>
      <c r="G2" s="708"/>
      <c r="H2" s="708"/>
      <c r="I2" s="708"/>
      <c r="J2" s="708"/>
      <c r="K2" s="272"/>
      <c r="L2" s="272"/>
      <c r="M2" s="272"/>
    </row>
    <row r="3" spans="1:13" ht="4.5" customHeight="1">
      <c r="A3" s="3"/>
      <c r="B3" s="3"/>
      <c r="C3" s="3"/>
      <c r="D3" s="3"/>
      <c r="E3" s="3"/>
      <c r="F3" s="3"/>
      <c r="G3" s="3"/>
      <c r="H3" s="3"/>
      <c r="I3" s="3"/>
      <c r="J3" s="3"/>
      <c r="K3" s="3"/>
      <c r="L3" s="3"/>
      <c r="M3" s="3"/>
    </row>
    <row r="4" spans="1:13" ht="60.75" customHeight="1">
      <c r="A4" s="3"/>
      <c r="B4" s="270" t="s">
        <v>463</v>
      </c>
      <c r="C4" s="726" t="s">
        <v>188</v>
      </c>
      <c r="D4" s="727"/>
      <c r="E4" s="714" t="s">
        <v>468</v>
      </c>
      <c r="F4" s="714"/>
      <c r="G4" s="728" t="s">
        <v>348</v>
      </c>
      <c r="H4" s="729"/>
      <c r="I4" s="729"/>
      <c r="J4" s="730"/>
      <c r="K4" s="503"/>
      <c r="L4" s="3"/>
      <c r="M4" s="3"/>
    </row>
    <row r="5" spans="1:13" ht="3" customHeight="1">
      <c r="A5" s="3"/>
      <c r="B5" s="270"/>
      <c r="C5" s="3"/>
      <c r="D5" s="3"/>
      <c r="E5" s="273"/>
      <c r="F5" s="273"/>
      <c r="G5" s="3"/>
      <c r="H5" s="3"/>
      <c r="I5" s="3"/>
      <c r="J5" s="3"/>
      <c r="K5" s="3"/>
      <c r="L5" s="3"/>
      <c r="M5" s="3"/>
    </row>
    <row r="6" spans="1:13">
      <c r="A6" s="3"/>
      <c r="B6" s="270" t="s">
        <v>464</v>
      </c>
      <c r="C6" s="726" t="s">
        <v>472</v>
      </c>
      <c r="D6" s="727"/>
      <c r="E6" s="714" t="s">
        <v>469</v>
      </c>
      <c r="F6" s="714"/>
      <c r="G6" s="304" t="s">
        <v>21</v>
      </c>
      <c r="H6" s="270" t="s">
        <v>473</v>
      </c>
      <c r="I6" s="733">
        <f>8974543/1.33+2670709.95</f>
        <v>9418486.6417293232</v>
      </c>
      <c r="J6" s="734"/>
      <c r="K6" s="503"/>
      <c r="L6" s="3"/>
      <c r="M6" s="3"/>
    </row>
    <row r="7" spans="1:13" ht="3" customHeight="1">
      <c r="A7" s="3"/>
      <c r="B7" s="270"/>
      <c r="C7" s="3"/>
      <c r="D7" s="3"/>
      <c r="E7" s="273"/>
      <c r="F7" s="273"/>
      <c r="G7" s="3"/>
      <c r="H7" s="270"/>
      <c r="I7" s="3"/>
      <c r="J7" s="3"/>
      <c r="K7" s="3"/>
      <c r="L7" s="3"/>
      <c r="M7" s="3"/>
    </row>
    <row r="8" spans="1:13">
      <c r="A8" s="3"/>
      <c r="B8" s="270" t="s">
        <v>465</v>
      </c>
      <c r="C8" s="726" t="s">
        <v>347</v>
      </c>
      <c r="D8" s="727"/>
      <c r="E8" s="274"/>
      <c r="F8" s="269" t="s">
        <v>470</v>
      </c>
      <c r="G8" s="394" t="s">
        <v>321</v>
      </c>
      <c r="H8" s="269" t="s">
        <v>474</v>
      </c>
      <c r="I8" s="726" t="s">
        <v>511</v>
      </c>
      <c r="J8" s="727"/>
      <c r="K8" s="278"/>
      <c r="L8" s="3"/>
      <c r="M8" s="3"/>
    </row>
    <row r="9" spans="1:13" ht="3" customHeight="1">
      <c r="A9" s="3"/>
      <c r="B9" s="273"/>
      <c r="C9" s="3"/>
      <c r="D9" s="3"/>
      <c r="E9" s="273"/>
      <c r="F9" s="273"/>
      <c r="G9" s="3"/>
      <c r="H9" s="3"/>
      <c r="I9" s="3"/>
      <c r="J9" s="3"/>
      <c r="K9" s="3"/>
      <c r="L9" s="3"/>
      <c r="M9" s="3"/>
    </row>
    <row r="10" spans="1:13">
      <c r="A10" s="3"/>
      <c r="B10" s="270" t="s">
        <v>466</v>
      </c>
      <c r="C10" s="737">
        <v>41275</v>
      </c>
      <c r="D10" s="738"/>
      <c r="E10" s="731" t="s">
        <v>471</v>
      </c>
      <c r="F10" s="732"/>
      <c r="G10" s="726" t="s">
        <v>50</v>
      </c>
      <c r="H10" s="736"/>
      <c r="I10" s="736"/>
      <c r="J10" s="727"/>
      <c r="K10" s="3"/>
      <c r="L10" s="3"/>
      <c r="M10" s="3"/>
    </row>
    <row r="11" spans="1:13" ht="5.25" customHeight="1">
      <c r="A11" s="3"/>
      <c r="B11" s="3"/>
      <c r="C11" s="3"/>
      <c r="D11" s="3"/>
      <c r="E11" s="3"/>
      <c r="F11" s="3"/>
      <c r="G11" s="3"/>
      <c r="H11" s="3"/>
      <c r="I11" s="3"/>
      <c r="J11" s="3"/>
      <c r="K11" s="3"/>
      <c r="L11" s="3"/>
      <c r="M11" s="3"/>
    </row>
    <row r="12" spans="1:13" ht="15" customHeight="1">
      <c r="A12" s="3"/>
      <c r="B12" s="502" t="s">
        <v>467</v>
      </c>
      <c r="C12" s="739" t="s">
        <v>38</v>
      </c>
      <c r="D12" s="739"/>
      <c r="E12" s="731" t="s">
        <v>266</v>
      </c>
      <c r="F12" s="714"/>
      <c r="G12" s="735" t="s">
        <v>494</v>
      </c>
      <c r="H12" s="735"/>
      <c r="I12" s="735"/>
      <c r="J12" s="735"/>
      <c r="K12" s="3"/>
      <c r="L12" s="3"/>
      <c r="M12" s="3"/>
    </row>
    <row r="13" spans="1:13" ht="5.25" customHeight="1">
      <c r="A13" s="3"/>
      <c r="B13" s="3"/>
      <c r="C13" s="3"/>
      <c r="D13" s="3"/>
      <c r="E13" s="3"/>
      <c r="F13" s="3"/>
      <c r="G13" s="3"/>
      <c r="H13" s="3"/>
      <c r="I13" s="3"/>
      <c r="J13" s="3"/>
      <c r="K13" s="3"/>
      <c r="L13" s="3"/>
      <c r="M13" s="3"/>
    </row>
    <row r="14" spans="1:13" ht="15.75" customHeight="1">
      <c r="A14" s="3"/>
      <c r="B14" s="708" t="s">
        <v>461</v>
      </c>
      <c r="C14" s="708"/>
      <c r="D14" s="708"/>
      <c r="E14" s="708"/>
      <c r="F14" s="708"/>
      <c r="G14" s="708"/>
      <c r="H14" s="708"/>
      <c r="I14" s="708"/>
      <c r="J14" s="708"/>
      <c r="K14" s="3"/>
      <c r="L14" s="3"/>
      <c r="M14" s="3"/>
    </row>
    <row r="15" spans="1:13" ht="3" customHeight="1">
      <c r="A15" s="3"/>
      <c r="B15" s="3"/>
      <c r="C15" s="3"/>
      <c r="D15" s="3"/>
      <c r="E15" s="3"/>
      <c r="F15" s="3"/>
      <c r="G15" s="3"/>
      <c r="H15" s="3"/>
      <c r="I15" s="3"/>
      <c r="J15" s="3"/>
      <c r="K15" s="3"/>
      <c r="L15" s="3"/>
      <c r="M15" s="3"/>
    </row>
    <row r="16" spans="1:13">
      <c r="A16" s="3"/>
      <c r="B16" s="502" t="s">
        <v>483</v>
      </c>
      <c r="C16" s="394" t="s">
        <v>105</v>
      </c>
      <c r="D16" s="269" t="s">
        <v>481</v>
      </c>
      <c r="E16" s="275">
        <v>41456</v>
      </c>
      <c r="F16" s="271" t="s">
        <v>482</v>
      </c>
      <c r="G16" s="275">
        <v>41639</v>
      </c>
      <c r="H16" s="731" t="s">
        <v>480</v>
      </c>
      <c r="I16" s="732"/>
      <c r="J16" s="275">
        <v>41780</v>
      </c>
      <c r="K16" s="504"/>
      <c r="L16" s="3"/>
      <c r="M16" s="3"/>
    </row>
    <row r="17" spans="1:35" ht="3" customHeight="1">
      <c r="A17" s="3"/>
      <c r="B17" s="3"/>
      <c r="C17" s="3"/>
      <c r="D17" s="3"/>
      <c r="E17" s="3"/>
      <c r="F17" s="3"/>
      <c r="G17" s="3"/>
      <c r="H17" s="3"/>
      <c r="I17" s="3"/>
      <c r="J17" s="3"/>
      <c r="K17" s="3"/>
      <c r="L17" s="3"/>
      <c r="M17" s="3"/>
    </row>
    <row r="18" spans="1:35" ht="15.75" customHeight="1">
      <c r="A18" s="3"/>
      <c r="B18" s="742" t="s">
        <v>484</v>
      </c>
      <c r="C18" s="732"/>
      <c r="D18" s="728" t="s">
        <v>422</v>
      </c>
      <c r="E18" s="729"/>
      <c r="F18" s="730"/>
      <c r="G18" s="276"/>
      <c r="H18" s="276"/>
      <c r="I18" s="276"/>
      <c r="J18" s="276"/>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708" t="s">
        <v>460</v>
      </c>
      <c r="C21" s="708"/>
      <c r="D21" s="708"/>
      <c r="E21" s="708"/>
      <c r="F21" s="708"/>
      <c r="G21" s="708"/>
      <c r="H21" s="708"/>
      <c r="I21" s="708"/>
      <c r="J21" s="708"/>
      <c r="K21" s="3"/>
      <c r="L21" s="3"/>
      <c r="M21" s="3"/>
    </row>
    <row r="22" spans="1:35">
      <c r="A22" s="3"/>
      <c r="B22" s="273" t="s">
        <v>475</v>
      </c>
      <c r="C22" s="3"/>
      <c r="D22" s="3"/>
      <c r="E22" s="277"/>
      <c r="F22" s="277"/>
      <c r="G22" s="3"/>
      <c r="H22" s="3"/>
      <c r="I22" s="277"/>
      <c r="J22" s="277"/>
      <c r="K22" s="3"/>
      <c r="L22" s="3"/>
      <c r="M22" s="3"/>
    </row>
    <row r="23" spans="1:35" ht="3" customHeight="1">
      <c r="A23" s="3"/>
      <c r="B23" s="3"/>
      <c r="C23" s="3"/>
      <c r="D23" s="3"/>
      <c r="E23" s="3"/>
      <c r="F23" s="3"/>
      <c r="G23" s="3"/>
      <c r="H23" s="3"/>
      <c r="I23" s="3"/>
      <c r="J23" s="3"/>
      <c r="K23" s="3"/>
      <c r="L23" s="3"/>
      <c r="M23" s="3"/>
    </row>
    <row r="24" spans="1:35" ht="15.75" thickBot="1">
      <c r="A24" s="3"/>
      <c r="B24" s="270" t="s">
        <v>476</v>
      </c>
      <c r="C24" s="380"/>
      <c r="D24" s="714" t="s">
        <v>477</v>
      </c>
      <c r="E24" s="714"/>
      <c r="F24" s="381"/>
      <c r="G24" s="714" t="s">
        <v>478</v>
      </c>
      <c r="H24" s="714"/>
      <c r="I24" s="706"/>
      <c r="J24" s="707"/>
      <c r="K24" s="3"/>
      <c r="L24" s="3"/>
      <c r="M24" s="3"/>
      <c r="N24" s="20"/>
    </row>
    <row r="25" spans="1:35" ht="19.5" thickBot="1">
      <c r="A25" s="3"/>
      <c r="B25" s="87" t="s">
        <v>330</v>
      </c>
      <c r="C25" s="88"/>
      <c r="D25" s="88"/>
      <c r="E25" s="88"/>
      <c r="F25" s="88"/>
      <c r="G25" s="88"/>
      <c r="H25" s="259"/>
      <c r="I25" s="89"/>
      <c r="J25" s="89"/>
      <c r="K25" s="259" t="s">
        <v>479</v>
      </c>
      <c r="L25" s="88"/>
      <c r="M25" s="88"/>
      <c r="N25" s="402"/>
      <c r="O25" s="40"/>
      <c r="AI25" s="44"/>
    </row>
    <row r="26" spans="1:35">
      <c r="A26" s="3"/>
      <c r="B26" s="745" t="s">
        <v>485</v>
      </c>
      <c r="C26" s="746"/>
      <c r="D26" s="416" t="s">
        <v>7</v>
      </c>
      <c r="E26" s="91"/>
      <c r="F26" s="91"/>
      <c r="G26" s="91"/>
      <c r="H26" s="91"/>
      <c r="I26" s="91"/>
      <c r="J26" s="92"/>
      <c r="K26" s="91"/>
      <c r="L26" s="91"/>
      <c r="M26" s="91"/>
      <c r="N26" s="40"/>
      <c r="O26" s="40"/>
      <c r="AI26" s="44"/>
    </row>
    <row r="27" spans="1:35" ht="18.75">
      <c r="A27" s="3"/>
      <c r="B27" s="90" t="s">
        <v>397</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748" t="s">
        <v>53</v>
      </c>
      <c r="C29" s="749"/>
      <c r="D29" s="749"/>
      <c r="E29" s="749"/>
      <c r="F29" s="749"/>
      <c r="G29" s="749"/>
      <c r="H29" s="749"/>
      <c r="I29" s="749"/>
      <c r="J29" s="749"/>
      <c r="K29" s="749"/>
      <c r="L29" s="749"/>
      <c r="M29" s="749"/>
      <c r="N29" s="750"/>
      <c r="P29" s="203"/>
      <c r="Q29" s="204"/>
      <c r="R29" s="205">
        <f>+C33</f>
        <v>1156487.969924812</v>
      </c>
      <c r="S29" s="203"/>
    </row>
    <row r="30" spans="1:35">
      <c r="A30" s="3"/>
      <c r="B30" s="93" t="s">
        <v>457</v>
      </c>
      <c r="C30" s="378" t="s">
        <v>340</v>
      </c>
      <c r="D30" s="378" t="s">
        <v>341</v>
      </c>
      <c r="E30" s="378" t="s">
        <v>342</v>
      </c>
      <c r="F30" s="378" t="s">
        <v>343</v>
      </c>
      <c r="G30" s="378" t="s">
        <v>344</v>
      </c>
      <c r="H30" s="378" t="s">
        <v>345</v>
      </c>
      <c r="I30" s="361" t="s">
        <v>510</v>
      </c>
      <c r="J30" s="361" t="s">
        <v>520</v>
      </c>
      <c r="K30" s="361" t="s">
        <v>106</v>
      </c>
      <c r="L30" s="361" t="s">
        <v>107</v>
      </c>
      <c r="M30" s="361" t="s">
        <v>108</v>
      </c>
      <c r="N30" s="362" t="s">
        <v>265</v>
      </c>
      <c r="O30" s="363" t="s">
        <v>1</v>
      </c>
      <c r="P30" s="203"/>
      <c r="Q30" s="204"/>
      <c r="R30" s="205">
        <f>+D33</f>
        <v>2692842.8571428573</v>
      </c>
      <c r="S30" s="203"/>
    </row>
    <row r="31" spans="1:35">
      <c r="A31" s="3"/>
      <c r="B31" s="267" t="str">
        <f>CONCATENATE("Buget (in ",'Introducerea datelor'!$D$26,")")</f>
        <v>Buget (in €)</v>
      </c>
      <c r="C31" s="372">
        <f>1538129/1.33</f>
        <v>1156487.969924812</v>
      </c>
      <c r="D31" s="371">
        <f>2043352/1.33</f>
        <v>1536354.8872180451</v>
      </c>
      <c r="E31" s="371">
        <f>2080365.84/1.33</f>
        <v>1564184.8421052631</v>
      </c>
      <c r="F31" s="371">
        <f>2052099.16/1.33</f>
        <v>1542931.6992481202</v>
      </c>
      <c r="G31" s="371">
        <f>1187674.77/1.33</f>
        <v>892988.5488721804</v>
      </c>
      <c r="H31" s="371">
        <f>1059912.23/1.33</f>
        <v>796926.48872180446</v>
      </c>
      <c r="I31" s="371">
        <v>354911.93</v>
      </c>
      <c r="J31" s="371">
        <v>1423518.47</v>
      </c>
      <c r="K31" s="371"/>
      <c r="L31" s="371"/>
      <c r="M31" s="371"/>
      <c r="N31" s="371"/>
      <c r="O31" s="695">
        <f>+SUM(C35:N35)</f>
        <v>0</v>
      </c>
      <c r="P31" s="203"/>
      <c r="Q31" s="204"/>
      <c r="R31" s="205">
        <f>+E33</f>
        <v>4257027.6992481202</v>
      </c>
      <c r="S31" s="203"/>
    </row>
    <row r="32" spans="1:35">
      <c r="A32" s="3"/>
      <c r="B32" s="93" t="str">
        <f>CONCATENATE("Debursări de către FG (in ", $D$26,")")</f>
        <v>Debursări de către FG (in €)</v>
      </c>
      <c r="C32" s="372">
        <f>3877267/1.33</f>
        <v>2915238.3458646615</v>
      </c>
      <c r="D32" s="372"/>
      <c r="E32" s="372">
        <f>2289766/1.33</f>
        <v>1721628.5714285714</v>
      </c>
      <c r="F32" s="372">
        <f>761395/1.33</f>
        <v>572477.44360902254</v>
      </c>
      <c r="G32" s="372">
        <f>804434/1.33</f>
        <v>604837.59398496232</v>
      </c>
      <c r="H32" s="372">
        <f>1241681/1.33</f>
        <v>933594.73684210517</v>
      </c>
      <c r="I32" s="371">
        <v>2183484</v>
      </c>
      <c r="J32" s="371"/>
      <c r="K32" s="371"/>
      <c r="L32" s="371"/>
      <c r="M32" s="371"/>
      <c r="N32" s="371"/>
      <c r="O32" s="696"/>
      <c r="P32" s="203"/>
      <c r="Q32" s="204"/>
      <c r="R32" s="205">
        <f>+F33</f>
        <v>5799959.3984962404</v>
      </c>
      <c r="S32" s="203"/>
    </row>
    <row r="33" spans="1:35">
      <c r="A33" s="3"/>
      <c r="B33" s="94" t="s">
        <v>458</v>
      </c>
      <c r="C33" s="373">
        <f>+C31</f>
        <v>1156487.969924812</v>
      </c>
      <c r="D33" s="373">
        <f>IF(AND(D31=0,D32=0),0,+C33+D31)</f>
        <v>2692842.8571428573</v>
      </c>
      <c r="E33" s="373">
        <f t="shared" ref="E33:N33" si="0">IF(AND(E31=0,E32=0),0,+D33+E31)</f>
        <v>4257027.6992481202</v>
      </c>
      <c r="F33" s="373">
        <f t="shared" si="0"/>
        <v>5799959.3984962404</v>
      </c>
      <c r="G33" s="373">
        <f t="shared" si="0"/>
        <v>6692947.9473684207</v>
      </c>
      <c r="H33" s="373">
        <f t="shared" si="0"/>
        <v>7489874.4360902254</v>
      </c>
      <c r="I33" s="373">
        <f t="shared" si="0"/>
        <v>7844786.3660902251</v>
      </c>
      <c r="J33" s="373">
        <f t="shared" si="0"/>
        <v>9268304.8360902257</v>
      </c>
      <c r="K33" s="373">
        <f t="shared" si="0"/>
        <v>0</v>
      </c>
      <c r="L33" s="373">
        <f t="shared" si="0"/>
        <v>0</v>
      </c>
      <c r="M33" s="373">
        <f t="shared" si="0"/>
        <v>0</v>
      </c>
      <c r="N33" s="373">
        <f t="shared" si="0"/>
        <v>0</v>
      </c>
      <c r="O33" s="696"/>
      <c r="P33" s="352"/>
      <c r="Q33" s="204"/>
      <c r="R33" s="205">
        <f>+G33</f>
        <v>6692947.9473684207</v>
      </c>
      <c r="S33" s="203"/>
    </row>
    <row r="34" spans="1:35" ht="15.75" thickBot="1">
      <c r="A34" s="3"/>
      <c r="B34" s="95" t="s">
        <v>459</v>
      </c>
      <c r="C34" s="374">
        <f>+C32</f>
        <v>2915238.3458646615</v>
      </c>
      <c r="D34" s="374">
        <f>IF(AND(D31=0,D32=0),0,+C34+D32)</f>
        <v>2915238.3458646615</v>
      </c>
      <c r="E34" s="374">
        <f t="shared" ref="E34:N34" si="1">IF(AND(E31=0,E32=0),0,+D34+E32)</f>
        <v>4636866.9172932329</v>
      </c>
      <c r="F34" s="374">
        <f t="shared" si="1"/>
        <v>5209344.3609022554</v>
      </c>
      <c r="G34" s="374">
        <f t="shared" si="1"/>
        <v>5814181.9548872178</v>
      </c>
      <c r="H34" s="374">
        <f t="shared" si="1"/>
        <v>6747776.691729323</v>
      </c>
      <c r="I34" s="374">
        <f t="shared" si="1"/>
        <v>8931260.6917293221</v>
      </c>
      <c r="J34" s="374">
        <f t="shared" si="1"/>
        <v>8931260.6917293221</v>
      </c>
      <c r="K34" s="374">
        <f t="shared" si="1"/>
        <v>0</v>
      </c>
      <c r="L34" s="374">
        <f t="shared" si="1"/>
        <v>0</v>
      </c>
      <c r="M34" s="374">
        <f t="shared" si="1"/>
        <v>0</v>
      </c>
      <c r="N34" s="374">
        <f t="shared" si="1"/>
        <v>0</v>
      </c>
      <c r="O34" s="697"/>
      <c r="P34" s="352"/>
      <c r="Q34" s="204"/>
      <c r="R34" s="205">
        <f>+H33</f>
        <v>7489874.4360902254</v>
      </c>
      <c r="S34" s="203"/>
    </row>
    <row r="35" spans="1:35">
      <c r="A35" s="3"/>
      <c r="B35" s="3"/>
      <c r="C35" s="330">
        <f>+IF(AND(C30=$C$16,C33&lt;&gt;0),C34/C33,0)</f>
        <v>0</v>
      </c>
      <c r="D35" s="330">
        <f t="shared" ref="D35:N35" si="2">+IF(AND(D30=$C$16,D33&lt;&gt;0),D34/D33,0)</f>
        <v>0</v>
      </c>
      <c r="E35" s="330">
        <f t="shared" si="2"/>
        <v>0</v>
      </c>
      <c r="F35" s="330">
        <f t="shared" si="2"/>
        <v>0</v>
      </c>
      <c r="G35" s="330">
        <f t="shared" si="2"/>
        <v>0</v>
      </c>
      <c r="H35" s="330">
        <f t="shared" si="2"/>
        <v>0</v>
      </c>
      <c r="I35" s="330">
        <f t="shared" si="2"/>
        <v>0</v>
      </c>
      <c r="J35" s="330">
        <f t="shared" si="2"/>
        <v>0</v>
      </c>
      <c r="K35" s="330">
        <f t="shared" si="2"/>
        <v>0</v>
      </c>
      <c r="L35" s="330">
        <f t="shared" si="2"/>
        <v>0</v>
      </c>
      <c r="M35" s="330">
        <f t="shared" si="2"/>
        <v>0</v>
      </c>
      <c r="N35" s="330">
        <f t="shared" si="2"/>
        <v>0</v>
      </c>
      <c r="O35" s="278"/>
      <c r="P35" s="206"/>
      <c r="Q35" s="207"/>
      <c r="R35" s="205">
        <f>+I33</f>
        <v>7844786.3660902251</v>
      </c>
      <c r="S35" s="203"/>
    </row>
    <row r="36" spans="1:35" ht="18.75">
      <c r="A36" s="3"/>
      <c r="B36" s="90" t="s">
        <v>398</v>
      </c>
      <c r="C36" s="3"/>
      <c r="D36" s="3"/>
      <c r="E36" s="343"/>
      <c r="F36" s="3"/>
      <c r="G36" s="253"/>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84" t="s">
        <v>399</v>
      </c>
      <c r="C38" s="385" t="str">
        <f>CONCATENATE("Bugetul Cumulativ (in ",'Introducerea datelor'!$D$26,")")</f>
        <v>Bugetul Cumulativ (in €)</v>
      </c>
      <c r="D38" s="386" t="str">
        <f>CONCATENATE("Cheltuielile Cumulative (in ",'Introducerea datelor'!$D$26,")")</f>
        <v>Cheltuielile Cumulative (in €)</v>
      </c>
      <c r="E38" s="265"/>
      <c r="F38" s="281"/>
      <c r="G38" s="3"/>
      <c r="H38" s="3"/>
      <c r="I38" s="3"/>
      <c r="J38" s="101"/>
      <c r="K38" s="42"/>
      <c r="N38"/>
      <c r="O38"/>
      <c r="AE38" s="20"/>
      <c r="AF38" s="36"/>
    </row>
    <row r="39" spans="1:35" ht="14.25" customHeight="1">
      <c r="A39" s="3"/>
      <c r="B39" s="387" t="s">
        <v>392</v>
      </c>
      <c r="C39" s="382">
        <f>4226970.82/1.33+29864.71+257241.06</f>
        <v>3465279.3188721803</v>
      </c>
      <c r="D39" s="388">
        <f>4330797.13/1.33-11568.2+420785.53</f>
        <v>3665455.7736090217</v>
      </c>
      <c r="E39" s="279"/>
      <c r="F39" s="354"/>
      <c r="G39" s="355"/>
      <c r="H39" s="3"/>
      <c r="I39" s="3"/>
      <c r="J39" s="102"/>
      <c r="K39" s="43"/>
      <c r="N39"/>
      <c r="O39"/>
      <c r="AE39" s="20"/>
      <c r="AF39" s="36"/>
    </row>
    <row r="40" spans="1:35" ht="27" customHeight="1">
      <c r="A40" s="3"/>
      <c r="B40" s="467" t="s">
        <v>393</v>
      </c>
      <c r="C40" s="382">
        <f>4605004.18/1.33+246380.46+1077874.65</f>
        <v>4786664.2678947365</v>
      </c>
      <c r="D40" s="388">
        <f>3724458.36/1.33+174099.98+761020.35</f>
        <v>3735464.961578947</v>
      </c>
      <c r="E40" s="15"/>
      <c r="F40" s="354"/>
      <c r="G40" s="355"/>
      <c r="H40" s="3"/>
      <c r="I40" s="3"/>
      <c r="J40" s="3"/>
      <c r="K40" s="43"/>
      <c r="N40"/>
      <c r="O40"/>
      <c r="AE40" s="20"/>
      <c r="AF40" s="36"/>
    </row>
    <row r="41" spans="1:35">
      <c r="A41" s="3"/>
      <c r="B41" s="389" t="s">
        <v>394</v>
      </c>
      <c r="C41" s="383">
        <f>494396/1.33</f>
        <v>371726.31578947365</v>
      </c>
      <c r="D41" s="388">
        <f>379591.62/1.33</f>
        <v>285407.23308270675</v>
      </c>
      <c r="E41" s="15"/>
      <c r="F41" s="356"/>
      <c r="G41" s="3"/>
      <c r="H41" s="3"/>
      <c r="I41" s="3"/>
      <c r="J41" s="3"/>
      <c r="K41" s="43"/>
      <c r="N41"/>
      <c r="O41"/>
      <c r="AE41" s="20"/>
      <c r="AF41" s="36"/>
    </row>
    <row r="42" spans="1:35" ht="30" customHeight="1">
      <c r="A42" s="3"/>
      <c r="B42" s="387" t="s">
        <v>395</v>
      </c>
      <c r="C42" s="382">
        <f>635162/1.33</f>
        <v>477565.41353383457</v>
      </c>
      <c r="D42" s="388">
        <f>379860.55/1.33</f>
        <v>285609.43609022553</v>
      </c>
      <c r="E42" s="15"/>
      <c r="F42" s="353"/>
      <c r="G42" s="3"/>
      <c r="H42" s="3"/>
      <c r="I42" s="3"/>
      <c r="J42" s="3"/>
      <c r="K42" s="20"/>
      <c r="N42"/>
      <c r="O42"/>
      <c r="AE42" s="20"/>
      <c r="AF42" s="36"/>
    </row>
    <row r="43" spans="1:35">
      <c r="A43" s="3"/>
      <c r="B43" s="389" t="s">
        <v>396</v>
      </c>
      <c r="C43" s="383" t="s">
        <v>391</v>
      </c>
      <c r="D43" s="388">
        <f>95024.71/1.33+4977.66+4478.49</f>
        <v>80903.300375939856</v>
      </c>
      <c r="E43" s="15"/>
      <c r="F43" s="280"/>
      <c r="G43" s="3"/>
      <c r="H43" s="3"/>
      <c r="I43" s="3"/>
      <c r="J43" s="3"/>
      <c r="K43" s="20"/>
      <c r="N43"/>
      <c r="O43"/>
      <c r="AE43" s="20"/>
      <c r="AF43" s="36"/>
    </row>
    <row r="44" spans="1:35">
      <c r="A44" s="3"/>
      <c r="B44" s="389" t="s">
        <v>512</v>
      </c>
      <c r="C44" s="383">
        <f>78666.76+88402.76</f>
        <v>167069.51999999999</v>
      </c>
      <c r="D44" s="388">
        <f>71057.26+82404.28</f>
        <v>153461.53999999998</v>
      </c>
      <c r="E44" s="15"/>
      <c r="F44" s="410"/>
      <c r="G44" s="3"/>
      <c r="H44" s="3"/>
      <c r="I44" s="3"/>
      <c r="J44" s="3"/>
      <c r="K44" s="20"/>
      <c r="N44"/>
      <c r="O44"/>
      <c r="AE44" s="20"/>
      <c r="AF44" s="36"/>
    </row>
    <row r="45" spans="1:35" ht="15.75" thickBot="1">
      <c r="A45" s="3"/>
      <c r="B45" s="389" t="s">
        <v>513</v>
      </c>
      <c r="C45" s="383"/>
      <c r="D45" s="388">
        <f>230666.15+51457.42</f>
        <v>282123.57</v>
      </c>
      <c r="E45" s="15"/>
      <c r="F45" s="280"/>
      <c r="G45" s="15"/>
      <c r="H45" s="15"/>
      <c r="I45" s="15"/>
      <c r="J45" s="15"/>
      <c r="K45" s="20"/>
      <c r="N45"/>
      <c r="O45"/>
      <c r="AE45" s="36"/>
      <c r="AF45" s="36"/>
    </row>
    <row r="46" spans="1:35" ht="15.75" hidden="1" thickBot="1">
      <c r="A46" s="3"/>
      <c r="B46" s="390"/>
      <c r="C46" s="382"/>
      <c r="D46" s="388"/>
      <c r="E46" s="15"/>
      <c r="F46" s="15"/>
      <c r="G46" s="15"/>
      <c r="H46" s="15"/>
      <c r="I46" s="15"/>
      <c r="J46" s="15"/>
      <c r="K46" s="20"/>
      <c r="N46"/>
      <c r="O46"/>
      <c r="AE46" s="36"/>
      <c r="AF46" s="36"/>
    </row>
    <row r="47" spans="1:35" ht="15.75" thickBot="1">
      <c r="A47" s="3"/>
      <c r="B47" s="391" t="s">
        <v>52</v>
      </c>
      <c r="C47" s="392">
        <f>SUM(C39:C46)</f>
        <v>9268304.8360902257</v>
      </c>
      <c r="D47" s="393">
        <f>SUM(D39:D46)</f>
        <v>8488425.8147368412</v>
      </c>
      <c r="E47" s="278"/>
      <c r="F47" s="701" t="str">
        <f ca="1">+IF((ROUND(C47,0)=ROUND(OFFSET(B33,0,RIGHT('Introducerea datelor'!$C$16,LEN('Introducerea datelor'!$C$16)-1),1,1),0)),"OK: Datele coincid","Atentie: Datele nu coincid")</f>
        <v>OK: Datele coincid</v>
      </c>
      <c r="G47" s="702"/>
      <c r="H47" s="702"/>
      <c r="I47" s="703"/>
      <c r="J47" s="197"/>
      <c r="K47" s="197"/>
      <c r="L47" s="197"/>
      <c r="M47" s="206"/>
      <c r="N47" s="207"/>
      <c r="O47" s="205"/>
      <c r="P47" s="203"/>
      <c r="AE47" s="36"/>
      <c r="AF47" s="36"/>
    </row>
    <row r="48" spans="1:35">
      <c r="A48" s="3"/>
      <c r="B48" s="3"/>
      <c r="C48" s="197"/>
      <c r="D48" s="197"/>
      <c r="E48" s="262"/>
      <c r="F48" s="197"/>
      <c r="G48" s="197"/>
      <c r="H48" s="197"/>
      <c r="I48" s="197"/>
      <c r="J48" s="197"/>
      <c r="K48" s="197"/>
      <c r="L48" s="197"/>
      <c r="M48" s="197"/>
      <c r="N48" s="197"/>
      <c r="O48" s="197"/>
      <c r="P48" s="206"/>
      <c r="Q48" s="207"/>
      <c r="R48" s="205"/>
      <c r="S48" s="203"/>
    </row>
    <row r="49" spans="1:35" ht="18.75">
      <c r="A49" s="3"/>
      <c r="B49" s="90" t="s">
        <v>400</v>
      </c>
      <c r="C49" s="3"/>
      <c r="D49" s="3"/>
      <c r="E49" s="3"/>
      <c r="F49" s="3"/>
      <c r="G49" s="3"/>
      <c r="H49" s="3"/>
      <c r="I49" s="3"/>
      <c r="J49" s="3"/>
      <c r="K49" s="3"/>
      <c r="L49" s="3"/>
      <c r="M49" s="3"/>
      <c r="P49" s="203"/>
      <c r="Q49" s="204"/>
      <c r="R49" s="205">
        <f>+J33</f>
        <v>9268304.8360902257</v>
      </c>
      <c r="S49" s="203"/>
    </row>
    <row r="50" spans="1:35" ht="15.75" thickBot="1">
      <c r="A50" s="3"/>
      <c r="B50" s="3"/>
      <c r="C50" s="3"/>
      <c r="D50" s="3"/>
      <c r="E50" s="3"/>
      <c r="F50" s="3"/>
      <c r="G50" s="3"/>
      <c r="H50" s="3"/>
      <c r="I50" s="3"/>
      <c r="J50" s="3"/>
      <c r="K50" s="3"/>
      <c r="L50" s="3"/>
      <c r="M50" s="3"/>
      <c r="P50" s="203"/>
      <c r="Q50" s="204"/>
      <c r="R50" s="205">
        <f>+K33</f>
        <v>0</v>
      </c>
      <c r="S50" s="203"/>
    </row>
    <row r="51" spans="1:35" ht="35.25" customHeight="1">
      <c r="A51" s="3"/>
      <c r="B51" s="284"/>
      <c r="C51" s="285" t="s">
        <v>401</v>
      </c>
      <c r="D51" s="285" t="s">
        <v>402</v>
      </c>
      <c r="E51" s="408" t="str">
        <f>CONCATENATE("Total Cheltuit și debursat (in ",D26,")")</f>
        <v>Total Cheltuit și debursat (in €)</v>
      </c>
      <c r="F51" s="3"/>
      <c r="G51" s="288"/>
      <c r="H51" s="281"/>
      <c r="I51" s="268"/>
      <c r="J51" s="268"/>
      <c r="K51" s="268"/>
      <c r="L51" s="268"/>
      <c r="M51" s="22"/>
      <c r="N51" s="22"/>
      <c r="O51" s="203"/>
      <c r="P51" s="204"/>
      <c r="Q51" s="205">
        <f>+M33</f>
        <v>0</v>
      </c>
      <c r="R51" s="203"/>
      <c r="AH51" s="20"/>
    </row>
    <row r="52" spans="1:35">
      <c r="A52" s="3"/>
      <c r="B52" s="282" t="s">
        <v>486</v>
      </c>
      <c r="C52" s="375">
        <v>8931260.6899999995</v>
      </c>
      <c r="D52" s="376">
        <v>0</v>
      </c>
      <c r="E52" s="495">
        <f>+D52+C52</f>
        <v>8931260.6899999995</v>
      </c>
      <c r="F52" s="3"/>
      <c r="G52" s="97"/>
      <c r="H52" s="286"/>
      <c r="I52" s="96"/>
      <c r="J52" s="200"/>
      <c r="K52" s="201"/>
      <c r="L52" s="98"/>
      <c r="M52" s="37"/>
      <c r="N52" s="37"/>
      <c r="O52" s="203"/>
      <c r="P52" s="203"/>
      <c r="Q52" s="203"/>
      <c r="R52" s="203"/>
      <c r="AH52" s="20"/>
    </row>
    <row r="53" spans="1:35">
      <c r="A53" s="3"/>
      <c r="B53" s="282" t="s">
        <v>487</v>
      </c>
      <c r="C53" s="375">
        <v>7168279.7400000002</v>
      </c>
      <c r="D53" s="375">
        <v>1320146.07</v>
      </c>
      <c r="E53" s="495">
        <f>+D53+C53</f>
        <v>8488425.8100000005</v>
      </c>
      <c r="F53" s="3"/>
      <c r="G53" s="247"/>
      <c r="H53" s="286"/>
      <c r="I53" s="96"/>
      <c r="J53" s="200"/>
      <c r="K53" s="200"/>
      <c r="L53" s="98"/>
      <c r="M53" s="38"/>
      <c r="N53" s="38"/>
      <c r="O53" s="203"/>
      <c r="P53" s="203"/>
      <c r="Q53" s="203"/>
      <c r="R53" s="203"/>
      <c r="AH53" s="20"/>
    </row>
    <row r="54" spans="1:35">
      <c r="A54" s="3"/>
      <c r="B54" s="282" t="s">
        <v>488</v>
      </c>
      <c r="C54" s="375">
        <v>2216733.56</v>
      </c>
      <c r="D54" s="375">
        <v>391351.3</v>
      </c>
      <c r="E54" s="495">
        <f>+D54+C54</f>
        <v>2608084.86</v>
      </c>
      <c r="F54" s="3"/>
      <c r="G54" s="97"/>
      <c r="H54" s="286"/>
      <c r="I54" s="96"/>
      <c r="J54" s="200"/>
      <c r="K54" s="201"/>
      <c r="L54" s="98"/>
      <c r="M54" s="37"/>
      <c r="N54" s="37"/>
      <c r="O54"/>
      <c r="AH54" s="20"/>
    </row>
    <row r="55" spans="1:35" ht="15.75" thickBot="1">
      <c r="A55" s="3"/>
      <c r="B55" s="283" t="s">
        <v>489</v>
      </c>
      <c r="C55" s="377">
        <v>2216733.56</v>
      </c>
      <c r="D55" s="377">
        <v>282336.05</v>
      </c>
      <c r="E55" s="496">
        <f>+D55+C55</f>
        <v>2499069.61</v>
      </c>
      <c r="F55" s="3"/>
      <c r="G55" s="248"/>
      <c r="H55" s="287"/>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66"/>
      <c r="E57" s="3"/>
      <c r="F57" s="3"/>
      <c r="G57" s="3"/>
      <c r="H57" s="3"/>
      <c r="I57" s="3"/>
      <c r="J57" s="3"/>
      <c r="K57" s="3"/>
      <c r="L57" s="3"/>
      <c r="M57" s="3"/>
    </row>
    <row r="58" spans="1:35" ht="18.75">
      <c r="A58" s="3"/>
      <c r="B58" s="90" t="s">
        <v>403</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757" t="s">
        <v>404</v>
      </c>
      <c r="C60" s="758"/>
      <c r="D60" s="759"/>
      <c r="E60" s="3"/>
      <c r="F60" s="3"/>
      <c r="G60" s="3"/>
      <c r="H60" s="3"/>
      <c r="I60" s="3"/>
      <c r="J60" s="3"/>
      <c r="K60" s="3"/>
      <c r="L60" s="3"/>
      <c r="M60" s="36"/>
      <c r="O60"/>
    </row>
    <row r="61" spans="1:35">
      <c r="A61" s="3"/>
      <c r="B61" s="103"/>
      <c r="C61" s="290" t="s">
        <v>405</v>
      </c>
      <c r="D61" s="291" t="s">
        <v>406</v>
      </c>
      <c r="E61" s="3"/>
      <c r="F61" s="3"/>
      <c r="G61" s="3"/>
      <c r="H61" s="3"/>
      <c r="I61" s="3"/>
      <c r="J61" s="3"/>
      <c r="K61" s="3"/>
      <c r="L61" s="3"/>
      <c r="M61" s="36"/>
      <c r="O61"/>
    </row>
    <row r="62" spans="1:35">
      <c r="A62" s="3"/>
      <c r="B62" s="104" t="s">
        <v>407</v>
      </c>
      <c r="C62" s="357">
        <v>60</v>
      </c>
      <c r="D62" s="358">
        <v>50</v>
      </c>
      <c r="E62" s="3"/>
      <c r="F62" s="3"/>
      <c r="G62" s="3"/>
      <c r="H62" s="3"/>
      <c r="I62" s="3"/>
      <c r="J62" s="3"/>
      <c r="K62" s="3"/>
      <c r="L62" s="3"/>
      <c r="M62" s="36"/>
      <c r="O62"/>
    </row>
    <row r="63" spans="1:35">
      <c r="A63" s="3"/>
      <c r="B63" s="289" t="s">
        <v>408</v>
      </c>
      <c r="C63" s="357">
        <v>45</v>
      </c>
      <c r="D63" s="358">
        <f>45+50</f>
        <v>95</v>
      </c>
      <c r="E63" s="3"/>
      <c r="F63" s="3"/>
      <c r="G63" s="3"/>
      <c r="H63" s="286"/>
      <c r="I63" s="286"/>
      <c r="J63" s="3"/>
      <c r="K63" s="3"/>
      <c r="L63" s="3"/>
      <c r="M63" s="36"/>
      <c r="O63"/>
    </row>
    <row r="64" spans="1:35" ht="15.75" thickBot="1">
      <c r="A64" s="3"/>
      <c r="B64" s="105" t="s">
        <v>409</v>
      </c>
      <c r="C64" s="359">
        <v>20</v>
      </c>
      <c r="D64" s="360">
        <v>2</v>
      </c>
      <c r="E64" s="3"/>
      <c r="F64" s="3"/>
      <c r="G64" s="3"/>
      <c r="H64" s="286"/>
      <c r="I64" s="286"/>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4"/>
      <c r="M66" s="3"/>
      <c r="AC66" s="19"/>
      <c r="AD66" s="19"/>
    </row>
    <row r="67" spans="1:30" ht="19.5" thickBot="1">
      <c r="A67" s="3"/>
      <c r="B67" s="106" t="s">
        <v>410</v>
      </c>
      <c r="C67" s="107"/>
      <c r="D67" s="107"/>
      <c r="E67" s="107"/>
      <c r="F67" s="107"/>
      <c r="G67" s="107"/>
      <c r="H67" s="314" t="s">
        <v>411</v>
      </c>
      <c r="I67" s="107"/>
      <c r="J67" s="108"/>
      <c r="K67" s="108"/>
      <c r="L67" s="405"/>
      <c r="M67" s="406"/>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412</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60">
      <c r="A71" s="3"/>
      <c r="B71" s="743"/>
      <c r="C71" s="744"/>
      <c r="D71" s="113" t="s">
        <v>413</v>
      </c>
      <c r="E71" s="114" t="s">
        <v>414</v>
      </c>
      <c r="F71" s="114" t="s">
        <v>415</v>
      </c>
      <c r="G71" s="115" t="s">
        <v>52</v>
      </c>
      <c r="H71" s="299"/>
      <c r="I71" s="300"/>
      <c r="J71" s="15"/>
      <c r="K71" s="2"/>
      <c r="L71" s="2"/>
      <c r="M71" s="2"/>
      <c r="N71" s="20"/>
      <c r="O71" s="19"/>
      <c r="P71" s="19"/>
      <c r="Q71" s="19"/>
      <c r="R71" s="19"/>
      <c r="S71" s="19"/>
    </row>
    <row r="72" spans="1:30">
      <c r="A72" s="3"/>
      <c r="B72" s="740" t="s">
        <v>416</v>
      </c>
      <c r="C72" s="741"/>
      <c r="D72" s="250">
        <v>0</v>
      </c>
      <c r="E72" s="250">
        <v>0</v>
      </c>
      <c r="F72" s="250">
        <v>0</v>
      </c>
      <c r="G72" s="117">
        <f>SUM(D72:F72)</f>
        <v>0</v>
      </c>
      <c r="H72" s="280"/>
      <c r="I72" s="298"/>
      <c r="J72" s="298"/>
      <c r="K72" s="2"/>
      <c r="L72" s="2"/>
      <c r="M72" s="2"/>
      <c r="N72" s="20"/>
      <c r="O72" s="19"/>
      <c r="P72" s="19"/>
      <c r="Q72" s="19"/>
      <c r="R72" s="19"/>
      <c r="S72" s="19"/>
    </row>
    <row r="73" spans="1:30" ht="15.75" thickBot="1">
      <c r="A73" s="3"/>
      <c r="B73" s="709" t="s">
        <v>417</v>
      </c>
      <c r="C73" s="710"/>
      <c r="D73" s="251">
        <v>0</v>
      </c>
      <c r="E73" s="251">
        <v>0</v>
      </c>
      <c r="F73" s="251">
        <v>0</v>
      </c>
      <c r="G73" s="119">
        <f>SUM(D73:F73)</f>
        <v>0</v>
      </c>
      <c r="H73" s="280"/>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418</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0"/>
      <c r="C78" s="480" t="s">
        <v>419</v>
      </c>
      <c r="D78" s="480" t="s">
        <v>420</v>
      </c>
      <c r="E78" s="121" t="s">
        <v>421</v>
      </c>
      <c r="F78" s="15"/>
      <c r="G78" s="15"/>
      <c r="H78" s="15"/>
      <c r="I78" s="300"/>
      <c r="J78" s="2"/>
      <c r="K78" s="2"/>
      <c r="L78" s="2"/>
      <c r="M78" s="2"/>
      <c r="N78" s="19"/>
      <c r="O78" s="19"/>
      <c r="P78" s="19"/>
      <c r="S78" s="19"/>
    </row>
    <row r="79" spans="1:30" ht="15.75" thickBot="1">
      <c r="A79" s="3"/>
      <c r="B79" s="122" t="s">
        <v>422</v>
      </c>
      <c r="C79" s="344">
        <v>6</v>
      </c>
      <c r="D79" s="344">
        <v>5</v>
      </c>
      <c r="E79" s="345">
        <f>+C79-D79</f>
        <v>1</v>
      </c>
      <c r="F79" s="258"/>
      <c r="G79" s="263"/>
      <c r="H79" s="15"/>
      <c r="I79" s="298"/>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423</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0"/>
      <c r="C83" s="480" t="s">
        <v>425</v>
      </c>
      <c r="D83" s="480" t="s">
        <v>426</v>
      </c>
      <c r="E83" s="480" t="s">
        <v>427</v>
      </c>
      <c r="F83" s="480" t="s">
        <v>428</v>
      </c>
      <c r="G83" s="149" t="s">
        <v>429</v>
      </c>
      <c r="H83" s="264"/>
      <c r="I83" s="300"/>
      <c r="J83" s="2"/>
      <c r="K83" s="2"/>
      <c r="L83" s="2"/>
      <c r="M83" s="2"/>
      <c r="N83" s="19"/>
      <c r="O83" s="19"/>
      <c r="P83" s="19"/>
      <c r="S83" s="19"/>
    </row>
    <row r="84" spans="1:36" ht="15.75" thickBot="1">
      <c r="A84" s="3"/>
      <c r="B84" s="122" t="s">
        <v>109</v>
      </c>
      <c r="C84" s="344">
        <v>1</v>
      </c>
      <c r="D84" s="344">
        <v>1</v>
      </c>
      <c r="E84" s="344">
        <v>1</v>
      </c>
      <c r="F84" s="344">
        <v>1</v>
      </c>
      <c r="G84" s="346">
        <v>1</v>
      </c>
      <c r="H84" s="301"/>
      <c r="I84" s="280"/>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424</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0"/>
      <c r="C88" s="123" t="s">
        <v>430</v>
      </c>
      <c r="D88" s="123" t="s">
        <v>431</v>
      </c>
      <c r="E88" s="124" t="s">
        <v>432</v>
      </c>
      <c r="F88" s="2"/>
      <c r="G88" s="2"/>
      <c r="H88" s="2"/>
      <c r="I88" s="2"/>
      <c r="J88" s="19"/>
      <c r="K88" s="19"/>
      <c r="L88" s="19"/>
      <c r="N88"/>
      <c r="O88" s="19"/>
      <c r="AG88" s="36"/>
      <c r="AJ88"/>
    </row>
    <row r="89" spans="1:36">
      <c r="A89" s="3"/>
      <c r="B89" s="116" t="s">
        <v>323</v>
      </c>
      <c r="C89" s="250"/>
      <c r="D89" s="252"/>
      <c r="E89" s="302">
        <f>C89-D89</f>
        <v>0</v>
      </c>
      <c r="F89" s="523"/>
      <c r="G89" s="2"/>
      <c r="H89" s="2"/>
      <c r="I89" s="2"/>
      <c r="J89" s="19"/>
      <c r="K89" s="19"/>
      <c r="L89" s="19"/>
      <c r="N89"/>
      <c r="O89" s="19"/>
      <c r="AG89" s="36"/>
      <c r="AJ89"/>
    </row>
    <row r="90" spans="1:36" ht="15.75" thickBot="1">
      <c r="A90" s="3"/>
      <c r="B90" s="118" t="s">
        <v>324</v>
      </c>
      <c r="C90" s="251">
        <v>2</v>
      </c>
      <c r="D90" s="303">
        <v>2</v>
      </c>
      <c r="E90" s="453">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433</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14"/>
      <c r="C94" s="378" t="s">
        <v>340</v>
      </c>
      <c r="D94" s="378" t="s">
        <v>341</v>
      </c>
      <c r="E94" s="378" t="s">
        <v>342</v>
      </c>
      <c r="F94" s="378" t="s">
        <v>343</v>
      </c>
      <c r="G94" s="378" t="s">
        <v>344</v>
      </c>
      <c r="H94" s="378" t="s">
        <v>345</v>
      </c>
      <c r="I94" s="364" t="s">
        <v>510</v>
      </c>
      <c r="J94" s="364" t="s">
        <v>519</v>
      </c>
      <c r="K94" s="364" t="s">
        <v>106</v>
      </c>
      <c r="L94" s="364" t="s">
        <v>107</v>
      </c>
      <c r="M94" s="364" t="s">
        <v>108</v>
      </c>
      <c r="N94" s="365" t="s">
        <v>265</v>
      </c>
      <c r="O94" s="20"/>
      <c r="P94" s="20"/>
      <c r="S94" s="19"/>
    </row>
    <row r="95" spans="1:36" ht="15" customHeight="1">
      <c r="A95" s="3"/>
      <c r="B95" s="366" t="s">
        <v>434</v>
      </c>
      <c r="C95" s="347">
        <f>1118283/1.33</f>
        <v>840814.28571428568</v>
      </c>
      <c r="D95" s="347">
        <f>1134772/1.33</f>
        <v>853212.03007518791</v>
      </c>
      <c r="E95" s="347">
        <f>1455805/1.33</f>
        <v>1094590.2255639096</v>
      </c>
      <c r="F95" s="347">
        <f>1181304.93/1.33</f>
        <v>888199.19548872171</v>
      </c>
      <c r="G95" s="347">
        <f>604820.37/1.33</f>
        <v>454752.1578947368</v>
      </c>
      <c r="H95" s="347">
        <f>536112.23/1.33</f>
        <v>403091.90225563908</v>
      </c>
      <c r="I95" s="347">
        <v>245949.25</v>
      </c>
      <c r="J95" s="347">
        <v>1108292.71</v>
      </c>
      <c r="K95" s="347"/>
      <c r="L95" s="347"/>
      <c r="M95" s="347"/>
      <c r="N95" s="454"/>
      <c r="O95" s="20"/>
      <c r="P95" s="20"/>
      <c r="S95" s="19"/>
    </row>
    <row r="96" spans="1:36" ht="15" customHeight="1">
      <c r="A96" s="3"/>
      <c r="B96" s="366" t="s">
        <v>435</v>
      </c>
      <c r="C96" s="347">
        <f>297027.52/1.33</f>
        <v>223328.96240601505</v>
      </c>
      <c r="D96" s="347">
        <f>942138.21/1.33</f>
        <v>708374.59398496232</v>
      </c>
      <c r="E96" s="347">
        <f>(734489+228557)/1.33</f>
        <v>724094.73684210528</v>
      </c>
      <c r="F96" s="347">
        <f>1338441.95/1.33</f>
        <v>1006347.3308270676</v>
      </c>
      <c r="G96" s="347">
        <f>683483.4/1.33</f>
        <v>513897.29323308269</v>
      </c>
      <c r="H96" s="347">
        <f>1101583/1.33</f>
        <v>828257.89473684202</v>
      </c>
      <c r="I96" s="347">
        <v>514257.81</v>
      </c>
      <c r="J96" s="347">
        <f>725655.99</f>
        <v>725655.99</v>
      </c>
      <c r="K96" s="347"/>
      <c r="L96" s="347"/>
      <c r="M96" s="347"/>
      <c r="N96" s="454"/>
      <c r="O96" s="20"/>
      <c r="P96" s="20"/>
      <c r="S96" s="19"/>
    </row>
    <row r="97" spans="1:19" ht="15" customHeight="1">
      <c r="A97" s="3"/>
      <c r="B97" s="366" t="s">
        <v>436</v>
      </c>
      <c r="C97" s="347">
        <f>297027.52/1.33</f>
        <v>223328.96240601505</v>
      </c>
      <c r="D97" s="347">
        <f>942138.21/1.33</f>
        <v>708374.59398496232</v>
      </c>
      <c r="E97" s="347">
        <f>734488.78/1.33</f>
        <v>552247.20300751878</v>
      </c>
      <c r="F97" s="347">
        <f>1274908.45/1.33</f>
        <v>958577.78195488709</v>
      </c>
      <c r="G97" s="347">
        <f>506538.26/1.33</f>
        <v>380855.83458646614</v>
      </c>
      <c r="H97" s="347">
        <f>1252577.39/1.33</f>
        <v>941787.51127819531</v>
      </c>
      <c r="I97" s="347">
        <v>332666.63</v>
      </c>
      <c r="J97" s="347">
        <v>871018.79</v>
      </c>
      <c r="K97" s="347"/>
      <c r="L97" s="347"/>
      <c r="M97" s="347"/>
      <c r="N97" s="454"/>
      <c r="O97" s="20"/>
      <c r="P97" s="20"/>
      <c r="S97" s="19"/>
    </row>
    <row r="98" spans="1:19" ht="15" customHeight="1">
      <c r="A98" s="3"/>
      <c r="B98" s="305" t="s">
        <v>437</v>
      </c>
      <c r="C98" s="348">
        <f>+C95</f>
        <v>840814.28571428568</v>
      </c>
      <c r="D98" s="348">
        <f t="shared" ref="D98:N98" si="3">+C98+D95</f>
        <v>1694026.3157894737</v>
      </c>
      <c r="E98" s="348">
        <f>+D98+E95</f>
        <v>2788616.5413533831</v>
      </c>
      <c r="F98" s="348">
        <f t="shared" si="3"/>
        <v>3676815.7368421047</v>
      </c>
      <c r="G98" s="348">
        <f t="shared" si="3"/>
        <v>4131567.8947368413</v>
      </c>
      <c r="H98" s="348">
        <f t="shared" si="3"/>
        <v>4534659.7969924808</v>
      </c>
      <c r="I98" s="348">
        <f t="shared" si="3"/>
        <v>4780609.0469924808</v>
      </c>
      <c r="J98" s="348">
        <f t="shared" si="3"/>
        <v>5888901.7569924807</v>
      </c>
      <c r="K98" s="348">
        <f t="shared" si="3"/>
        <v>5888901.7569924807</v>
      </c>
      <c r="L98" s="348">
        <f t="shared" si="3"/>
        <v>5888901.7569924807</v>
      </c>
      <c r="M98" s="348">
        <f t="shared" si="3"/>
        <v>5888901.7569924807</v>
      </c>
      <c r="N98" s="455">
        <f t="shared" si="3"/>
        <v>5888901.7569924807</v>
      </c>
      <c r="O98" s="20"/>
      <c r="P98" s="20"/>
      <c r="S98" s="19"/>
    </row>
    <row r="99" spans="1:19" ht="15" customHeight="1">
      <c r="A99" s="3"/>
      <c r="B99" s="305" t="s">
        <v>438</v>
      </c>
      <c r="C99" s="348">
        <f>+C96</f>
        <v>223328.96240601505</v>
      </c>
      <c r="D99" s="348">
        <f t="shared" ref="D99:N99" si="4">+C99+D96</f>
        <v>931703.55639097735</v>
      </c>
      <c r="E99" s="348">
        <f>+D99+E96</f>
        <v>1655798.2932330826</v>
      </c>
      <c r="F99" s="348">
        <f t="shared" si="4"/>
        <v>2662145.6240601502</v>
      </c>
      <c r="G99" s="348">
        <f t="shared" si="4"/>
        <v>3176042.9172932329</v>
      </c>
      <c r="H99" s="348">
        <f t="shared" si="4"/>
        <v>4004300.8120300751</v>
      </c>
      <c r="I99" s="348">
        <f t="shared" si="4"/>
        <v>4518558.6220300747</v>
      </c>
      <c r="J99" s="348">
        <f t="shared" si="4"/>
        <v>5244214.6120300749</v>
      </c>
      <c r="K99" s="348">
        <f t="shared" si="4"/>
        <v>5244214.6120300749</v>
      </c>
      <c r="L99" s="348">
        <f t="shared" si="4"/>
        <v>5244214.6120300749</v>
      </c>
      <c r="M99" s="348">
        <f t="shared" si="4"/>
        <v>5244214.6120300749</v>
      </c>
      <c r="N99" s="455">
        <f t="shared" si="4"/>
        <v>5244214.6120300749</v>
      </c>
      <c r="O99" s="20"/>
      <c r="P99" s="20"/>
      <c r="S99" s="19"/>
    </row>
    <row r="100" spans="1:19" ht="15.75" thickBot="1">
      <c r="A100" s="3"/>
      <c r="B100" s="450" t="s">
        <v>439</v>
      </c>
      <c r="C100" s="451">
        <f>+C97</f>
        <v>223328.96240601505</v>
      </c>
      <c r="D100" s="452">
        <f t="shared" ref="D100:N100" si="5">+C100+D97</f>
        <v>931703.55639097735</v>
      </c>
      <c r="E100" s="452">
        <f>+D100+E97</f>
        <v>1483950.7593984962</v>
      </c>
      <c r="F100" s="452">
        <f t="shared" si="5"/>
        <v>2442528.5413533831</v>
      </c>
      <c r="G100" s="452">
        <f t="shared" si="5"/>
        <v>2823384.3759398493</v>
      </c>
      <c r="H100" s="452">
        <f t="shared" si="5"/>
        <v>3765171.8872180446</v>
      </c>
      <c r="I100" s="452">
        <f t="shared" si="5"/>
        <v>4097838.5172180445</v>
      </c>
      <c r="J100" s="452">
        <f t="shared" si="5"/>
        <v>4968857.307218045</v>
      </c>
      <c r="K100" s="452">
        <f t="shared" si="5"/>
        <v>4968857.307218045</v>
      </c>
      <c r="L100" s="452">
        <f t="shared" si="5"/>
        <v>4968857.307218045</v>
      </c>
      <c r="M100" s="452">
        <f t="shared" si="5"/>
        <v>4968857.307218045</v>
      </c>
      <c r="N100" s="456">
        <f t="shared" si="5"/>
        <v>4968857.307218045</v>
      </c>
      <c r="O100" s="20"/>
      <c r="P100" s="20"/>
      <c r="S100" s="19"/>
    </row>
    <row r="101" spans="1:19">
      <c r="A101" s="3"/>
      <c r="B101" s="3"/>
      <c r="C101" s="2"/>
      <c r="D101" s="2"/>
      <c r="E101" s="2"/>
      <c r="F101" s="2"/>
      <c r="G101" s="2"/>
      <c r="H101" s="2"/>
      <c r="I101" s="15"/>
      <c r="J101" s="125"/>
      <c r="K101" s="126"/>
      <c r="L101" s="15"/>
      <c r="M101" s="127"/>
      <c r="N101" s="20"/>
      <c r="O101" s="20"/>
      <c r="P101" s="20"/>
      <c r="S101" s="19"/>
    </row>
    <row r="102" spans="1:19">
      <c r="A102" s="3"/>
      <c r="B102" s="2" t="s">
        <v>440</v>
      </c>
      <c r="C102" s="2"/>
      <c r="D102" s="2"/>
      <c r="E102" s="2"/>
      <c r="F102" s="2"/>
      <c r="G102" s="2"/>
      <c r="H102" s="2"/>
      <c r="I102" s="15"/>
      <c r="J102" s="125"/>
      <c r="K102" s="126"/>
      <c r="L102" s="15"/>
      <c r="M102" s="127"/>
      <c r="N102" s="20"/>
      <c r="O102" s="20"/>
      <c r="P102" s="20"/>
      <c r="S102" s="19"/>
    </row>
    <row r="103" spans="1:19">
      <c r="A103" s="3"/>
      <c r="C103" s="2"/>
      <c r="D103" s="2"/>
      <c r="E103" s="2"/>
      <c r="F103" s="2"/>
      <c r="G103" s="2"/>
      <c r="H103" s="2"/>
      <c r="I103" s="15"/>
      <c r="J103" s="125"/>
      <c r="K103" s="127"/>
      <c r="L103" s="15"/>
      <c r="M103" s="127"/>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441</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06" t="s">
        <v>442</v>
      </c>
      <c r="C107" s="307" t="s">
        <v>443</v>
      </c>
      <c r="D107" s="309" t="s">
        <v>444</v>
      </c>
      <c r="E107" s="309" t="s">
        <v>445</v>
      </c>
      <c r="F107" s="308" t="s">
        <v>446</v>
      </c>
      <c r="G107" s="308" t="s">
        <v>447</v>
      </c>
      <c r="H107" s="309" t="s">
        <v>448</v>
      </c>
      <c r="I107" s="309" t="s">
        <v>449</v>
      </c>
      <c r="J107" s="309" t="s">
        <v>450</v>
      </c>
      <c r="K107" s="310" t="s">
        <v>451</v>
      </c>
      <c r="L107" s="2"/>
      <c r="M107" s="20"/>
      <c r="N107" s="20"/>
      <c r="O107" s="20"/>
      <c r="P107" s="19"/>
      <c r="R107" s="20"/>
    </row>
    <row r="108" spans="1:19">
      <c r="A108" s="3"/>
      <c r="B108" s="764" t="s">
        <v>321</v>
      </c>
      <c r="C108" s="395" t="s">
        <v>321</v>
      </c>
      <c r="D108" s="396"/>
      <c r="E108" s="397" t="str">
        <f>IF(ISBLANK(D108),"",D108*30)</f>
        <v/>
      </c>
      <c r="F108" s="349"/>
      <c r="G108" s="350" t="str">
        <f>IF(AND(E108&gt;0,F108&gt;0),(F108*E108),"")</f>
        <v/>
      </c>
      <c r="H108" s="349"/>
      <c r="I108" s="413" t="str">
        <f>IF(AND(G108&gt;0,H108&gt;0),H108/G108,"")</f>
        <v/>
      </c>
      <c r="J108" s="398"/>
      <c r="K108" s="457" t="str">
        <f>IF(AND(I108&gt;0,J108&gt;0),I108-J108,"")</f>
        <v/>
      </c>
      <c r="L108" s="2"/>
      <c r="M108" s="20"/>
      <c r="N108" s="20"/>
      <c r="O108" s="20"/>
      <c r="P108" s="19"/>
      <c r="R108" s="20"/>
    </row>
    <row r="109" spans="1:19">
      <c r="A109" s="3"/>
      <c r="B109" s="765"/>
      <c r="C109" s="395" t="s">
        <v>321</v>
      </c>
      <c r="D109" s="396"/>
      <c r="E109" s="397" t="str">
        <f>IF(ISBLANK(D109),"",D109*30)</f>
        <v/>
      </c>
      <c r="F109" s="349"/>
      <c r="G109" s="350" t="str">
        <f>IF(AND(E109&gt;0,F109&gt;0),(F109*E109),"")</f>
        <v/>
      </c>
      <c r="H109" s="349"/>
      <c r="I109" s="413" t="str">
        <f>IF(AND(G109&gt;0,H109&gt;0),H109/G109,"")</f>
        <v/>
      </c>
      <c r="J109" s="398"/>
      <c r="K109" s="457" t="str">
        <f>IF(AND(I109&gt;0,J109&gt;0),I109-J109,"")</f>
        <v/>
      </c>
      <c r="L109" s="2"/>
      <c r="M109" s="20"/>
      <c r="N109" s="20"/>
      <c r="O109" s="20"/>
      <c r="P109" s="19"/>
    </row>
    <row r="110" spans="1:19">
      <c r="A110" s="3"/>
      <c r="B110" s="765"/>
      <c r="C110" s="395" t="s">
        <v>321</v>
      </c>
      <c r="D110" s="396"/>
      <c r="E110" s="397" t="str">
        <f>IF(ISBLANK(D110),"",D110*30)</f>
        <v/>
      </c>
      <c r="F110" s="349"/>
      <c r="G110" s="350" t="str">
        <f>IF(AND(E110&gt;0,F110&gt;0),(F110*E110),"")</f>
        <v/>
      </c>
      <c r="H110" s="349"/>
      <c r="I110" s="413" t="str">
        <f>IF(AND(G110&gt;0,H110&gt;0),H110/G110,"")</f>
        <v/>
      </c>
      <c r="J110" s="398"/>
      <c r="K110" s="457" t="str">
        <f>IF(AND(I110&gt;0,J110&gt;0),I110-J110,"")</f>
        <v/>
      </c>
      <c r="L110" s="2"/>
      <c r="M110" s="20"/>
      <c r="N110" s="20"/>
      <c r="O110" s="20"/>
      <c r="P110" s="19"/>
      <c r="R110" s="20"/>
    </row>
    <row r="111" spans="1:19" ht="15.75" thickBot="1">
      <c r="A111" s="3"/>
      <c r="B111" s="766"/>
      <c r="C111" s="399" t="s">
        <v>321</v>
      </c>
      <c r="D111" s="400"/>
      <c r="E111" s="447" t="str">
        <f>IF(ISBLANK(D111),"",D111*30)</f>
        <v/>
      </c>
      <c r="F111" s="351"/>
      <c r="G111" s="448" t="str">
        <f>IF(AND(E111&gt;0,F111&gt;0),(F111*E111),"")</f>
        <v/>
      </c>
      <c r="H111" s="351"/>
      <c r="I111" s="449" t="str">
        <f>IF(AND(G111&gt;0,H111&gt;0),H111/G111,"")</f>
        <v/>
      </c>
      <c r="J111" s="401"/>
      <c r="K111" s="458" t="str">
        <f>IF(AND(I111&gt;0,J111&gt;0),I111-J111,"")</f>
        <v/>
      </c>
      <c r="L111" s="2"/>
      <c r="M111" s="20"/>
      <c r="N111" s="20"/>
      <c r="O111" s="20"/>
      <c r="P111" s="19"/>
      <c r="R111" s="20"/>
    </row>
    <row r="112" spans="1:19" ht="15.75" thickBot="1">
      <c r="A112" s="3"/>
      <c r="B112" s="3"/>
      <c r="C112" s="3"/>
      <c r="D112" s="3"/>
      <c r="E112" s="3"/>
      <c r="F112" s="3"/>
      <c r="G112" s="2"/>
      <c r="H112" s="2"/>
      <c r="I112" s="2"/>
      <c r="J112" s="3"/>
      <c r="K112" s="3"/>
      <c r="L112" s="2"/>
      <c r="M112" s="2"/>
      <c r="N112" s="20"/>
      <c r="O112" s="20"/>
      <c r="P112" s="20"/>
      <c r="Q112" s="19"/>
      <c r="S112" s="20"/>
    </row>
    <row r="113" spans="1:20" ht="19.5" thickBot="1">
      <c r="A113" s="3"/>
      <c r="B113" s="234" t="s">
        <v>452</v>
      </c>
      <c r="C113" s="128"/>
      <c r="D113" s="128"/>
      <c r="E113" s="129"/>
      <c r="F113" s="129"/>
      <c r="G113" s="129"/>
      <c r="H113" s="245"/>
      <c r="I113" s="235"/>
      <c r="J113" s="326"/>
      <c r="K113" s="327" t="s">
        <v>319</v>
      </c>
      <c r="L113" s="129"/>
      <c r="M113" s="328"/>
      <c r="N113" s="329"/>
      <c r="O113" s="329"/>
      <c r="P113" s="403"/>
      <c r="Q113" s="36"/>
    </row>
    <row r="114" spans="1:20" ht="15.75" thickBot="1">
      <c r="A114" s="3"/>
      <c r="B114" s="3"/>
      <c r="C114" s="3"/>
      <c r="D114" s="3"/>
      <c r="E114" s="3"/>
      <c r="F114" s="3"/>
      <c r="G114" s="3"/>
      <c r="H114" s="3"/>
      <c r="I114" s="3"/>
      <c r="J114" s="3"/>
      <c r="K114" s="3"/>
      <c r="L114" s="3"/>
      <c r="M114" s="3"/>
      <c r="N114"/>
      <c r="O114"/>
      <c r="P114" s="36"/>
      <c r="Q114" s="36"/>
    </row>
    <row r="115" spans="1:20" ht="25.5">
      <c r="A115" s="3"/>
      <c r="B115" s="711" t="s">
        <v>453</v>
      </c>
      <c r="C115" s="712"/>
      <c r="D115" s="713"/>
      <c r="E115" s="313" t="s">
        <v>361</v>
      </c>
      <c r="F115" s="482" t="s">
        <v>454</v>
      </c>
      <c r="G115" s="239"/>
      <c r="H115" s="535" t="s">
        <v>535</v>
      </c>
      <c r="I115" s="535" t="s">
        <v>536</v>
      </c>
      <c r="J115" s="535" t="s">
        <v>537</v>
      </c>
      <c r="K115" s="535" t="s">
        <v>538</v>
      </c>
      <c r="L115" s="535" t="s">
        <v>539</v>
      </c>
      <c r="M115" s="535" t="s">
        <v>540</v>
      </c>
      <c r="N115" s="535" t="s">
        <v>541</v>
      </c>
      <c r="O115" s="535" t="s">
        <v>542</v>
      </c>
      <c r="P115" s="378" t="s">
        <v>106</v>
      </c>
      <c r="Q115" s="378" t="s">
        <v>107</v>
      </c>
      <c r="R115" s="378" t="s">
        <v>108</v>
      </c>
      <c r="S115" s="379" t="s">
        <v>265</v>
      </c>
      <c r="T115" s="64"/>
    </row>
    <row r="116" spans="1:20" ht="1.5" customHeight="1">
      <c r="A116" s="3"/>
      <c r="B116" s="429"/>
      <c r="C116" s="430"/>
      <c r="D116" s="430"/>
      <c r="E116" s="431"/>
      <c r="F116" s="432"/>
      <c r="G116" s="433"/>
      <c r="H116" s="434"/>
      <c r="I116" s="434"/>
      <c r="J116" s="434"/>
      <c r="K116" s="434"/>
      <c r="L116" s="434"/>
      <c r="M116" s="434"/>
      <c r="N116" s="434"/>
      <c r="O116" s="434"/>
      <c r="P116" s="434"/>
      <c r="Q116" s="434"/>
      <c r="R116" s="434"/>
      <c r="S116" s="435"/>
      <c r="T116" s="64"/>
    </row>
    <row r="117" spans="1:20" ht="15" customHeight="1">
      <c r="A117" s="747" t="s">
        <v>322</v>
      </c>
      <c r="B117" s="751" t="s">
        <v>381</v>
      </c>
      <c r="C117" s="752"/>
      <c r="D117" s="753"/>
      <c r="E117" s="670" t="s">
        <v>346</v>
      </c>
      <c r="F117" s="698" t="s">
        <v>543</v>
      </c>
      <c r="G117" s="476" t="s">
        <v>359</v>
      </c>
      <c r="H117" s="463"/>
      <c r="I117" s="533" t="s">
        <v>534</v>
      </c>
      <c r="J117" s="463"/>
      <c r="K117" s="533" t="s">
        <v>534</v>
      </c>
      <c r="L117" s="463"/>
      <c r="M117" s="533" t="s">
        <v>534</v>
      </c>
      <c r="N117" s="130"/>
      <c r="O117" s="533" t="s">
        <v>534</v>
      </c>
      <c r="P117" s="130"/>
      <c r="Q117" s="130"/>
      <c r="R117" s="130"/>
      <c r="S117" s="131"/>
      <c r="T117" s="64"/>
    </row>
    <row r="118" spans="1:20">
      <c r="A118" s="747"/>
      <c r="B118" s="754"/>
      <c r="C118" s="755"/>
      <c r="D118" s="756"/>
      <c r="E118" s="670"/>
      <c r="F118" s="698"/>
      <c r="G118" s="476" t="s">
        <v>360</v>
      </c>
      <c r="H118" s="463"/>
      <c r="I118" s="534">
        <v>2.8000000000000001E-2</v>
      </c>
      <c r="J118" s="489"/>
      <c r="K118" s="534">
        <v>3.0300000000000001E-2</v>
      </c>
      <c r="L118" s="489"/>
      <c r="M118" s="534">
        <v>0</v>
      </c>
      <c r="N118" s="130"/>
      <c r="O118" s="534">
        <v>1.9E-2</v>
      </c>
      <c r="P118" s="130"/>
      <c r="Q118" s="130"/>
      <c r="R118" s="130"/>
      <c r="S118" s="131"/>
      <c r="T118" s="64"/>
    </row>
    <row r="119" spans="1:20" ht="18.75" customHeight="1">
      <c r="A119" s="747"/>
      <c r="B119" s="665" t="s">
        <v>382</v>
      </c>
      <c r="C119" s="666"/>
      <c r="D119" s="667"/>
      <c r="E119" s="672" t="s">
        <v>338</v>
      </c>
      <c r="F119" s="699" t="s">
        <v>543</v>
      </c>
      <c r="G119" s="476" t="s">
        <v>359</v>
      </c>
      <c r="H119" s="465"/>
      <c r="I119" s="465">
        <v>90</v>
      </c>
      <c r="J119" s="465"/>
      <c r="K119" s="464">
        <v>92</v>
      </c>
      <c r="L119" s="464"/>
      <c r="M119" s="465">
        <v>93</v>
      </c>
      <c r="N119" s="236"/>
      <c r="O119" s="236"/>
      <c r="P119" s="236"/>
      <c r="Q119" s="236"/>
      <c r="R119" s="236"/>
      <c r="S119" s="311"/>
      <c r="T119" s="64"/>
    </row>
    <row r="120" spans="1:20" ht="18.75" customHeight="1">
      <c r="A120" s="747"/>
      <c r="B120" s="665"/>
      <c r="C120" s="666"/>
      <c r="D120" s="667"/>
      <c r="E120" s="672"/>
      <c r="F120" s="700"/>
      <c r="G120" s="476" t="s">
        <v>360</v>
      </c>
      <c r="H120" s="465"/>
      <c r="I120" s="487">
        <v>88</v>
      </c>
      <c r="J120" s="487"/>
      <c r="K120" s="486">
        <v>80.7</v>
      </c>
      <c r="L120" s="487"/>
      <c r="M120" s="487">
        <v>81.900000000000006</v>
      </c>
      <c r="N120" s="312"/>
      <c r="O120" s="312"/>
      <c r="P120" s="236"/>
      <c r="Q120" s="236"/>
      <c r="R120" s="236"/>
      <c r="S120" s="311"/>
      <c r="T120" s="64"/>
    </row>
    <row r="121" spans="1:20" s="510" customFormat="1" ht="14.25" customHeight="1">
      <c r="A121" s="747"/>
      <c r="B121" s="761" t="s">
        <v>388</v>
      </c>
      <c r="C121" s="762"/>
      <c r="D121" s="763"/>
      <c r="E121" s="670">
        <v>2.1</v>
      </c>
      <c r="F121" s="760" t="s">
        <v>543</v>
      </c>
      <c r="G121" s="506" t="s">
        <v>359</v>
      </c>
      <c r="H121" s="463">
        <v>1298</v>
      </c>
      <c r="I121" s="463">
        <v>1439</v>
      </c>
      <c r="J121" s="463">
        <v>1626</v>
      </c>
      <c r="K121" s="466">
        <v>1814</v>
      </c>
      <c r="L121" s="463">
        <v>2031</v>
      </c>
      <c r="M121" s="463">
        <v>2249</v>
      </c>
      <c r="N121" s="507">
        <v>2643</v>
      </c>
      <c r="O121" s="507">
        <v>2965</v>
      </c>
      <c r="P121" s="507"/>
      <c r="Q121" s="507"/>
      <c r="R121" s="507"/>
      <c r="S121" s="508"/>
      <c r="T121" s="509"/>
    </row>
    <row r="122" spans="1:20" s="510" customFormat="1">
      <c r="A122" s="747"/>
      <c r="B122" s="761"/>
      <c r="C122" s="762"/>
      <c r="D122" s="763"/>
      <c r="E122" s="670"/>
      <c r="F122" s="760"/>
      <c r="G122" s="506" t="s">
        <v>360</v>
      </c>
      <c r="H122" s="489">
        <v>1376</v>
      </c>
      <c r="I122" s="489">
        <v>1580</v>
      </c>
      <c r="J122" s="489">
        <v>1826</v>
      </c>
      <c r="K122" s="493">
        <v>2110</v>
      </c>
      <c r="L122" s="497">
        <v>2447</v>
      </c>
      <c r="M122" s="489">
        <v>2705</v>
      </c>
      <c r="N122" s="511">
        <v>2973</v>
      </c>
      <c r="O122" s="511">
        <v>3274</v>
      </c>
      <c r="P122" s="507"/>
      <c r="Q122" s="507"/>
      <c r="R122" s="507"/>
      <c r="S122" s="508"/>
      <c r="T122" s="509"/>
    </row>
    <row r="123" spans="1:20" ht="26.25" hidden="1" customHeight="1">
      <c r="A123" s="500"/>
      <c r="B123" s="721" t="s">
        <v>383</v>
      </c>
      <c r="C123" s="722"/>
      <c r="D123" s="723"/>
      <c r="E123" s="670">
        <v>1.1000000000000001</v>
      </c>
      <c r="F123" s="704" t="s">
        <v>100</v>
      </c>
      <c r="G123" s="476" t="s">
        <v>359</v>
      </c>
      <c r="H123" s="463"/>
      <c r="I123" s="463">
        <v>45</v>
      </c>
      <c r="J123" s="463"/>
      <c r="K123" s="490">
        <v>60</v>
      </c>
      <c r="L123" s="463"/>
      <c r="M123" s="477">
        <v>70</v>
      </c>
      <c r="N123" s="130"/>
      <c r="O123" s="130"/>
      <c r="P123" s="130"/>
      <c r="Q123" s="130"/>
      <c r="R123" s="130"/>
      <c r="S123" s="131"/>
      <c r="T123" s="64"/>
    </row>
    <row r="124" spans="1:20" ht="26.25" hidden="1" customHeight="1">
      <c r="A124" s="500"/>
      <c r="B124" s="721"/>
      <c r="C124" s="722"/>
      <c r="D124" s="723"/>
      <c r="E124" s="670"/>
      <c r="F124" s="705"/>
      <c r="G124" s="476" t="s">
        <v>360</v>
      </c>
      <c r="H124" s="463"/>
      <c r="I124" s="488">
        <v>43.6</v>
      </c>
      <c r="J124" s="463"/>
      <c r="K124" s="491">
        <v>56.9</v>
      </c>
      <c r="L124" s="489"/>
      <c r="M124" s="489">
        <v>59.54</v>
      </c>
      <c r="N124" s="130"/>
      <c r="O124" s="130"/>
      <c r="P124" s="130"/>
      <c r="Q124" s="130"/>
      <c r="R124" s="130"/>
      <c r="S124" s="131"/>
      <c r="T124" s="64"/>
    </row>
    <row r="125" spans="1:20" ht="15" customHeight="1">
      <c r="A125" s="3"/>
      <c r="B125" s="665" t="s">
        <v>384</v>
      </c>
      <c r="C125" s="666"/>
      <c r="D125" s="667"/>
      <c r="E125" s="672">
        <v>1.1000000000000001</v>
      </c>
      <c r="F125" s="699" t="s">
        <v>543</v>
      </c>
      <c r="G125" s="476" t="s">
        <v>359</v>
      </c>
      <c r="H125" s="465">
        <v>15057</v>
      </c>
      <c r="I125" s="465">
        <v>16133</v>
      </c>
      <c r="J125" s="465">
        <v>16849</v>
      </c>
      <c r="K125" s="464">
        <v>17925</v>
      </c>
      <c r="L125" s="465">
        <v>19717</v>
      </c>
      <c r="M125" s="465">
        <v>21510</v>
      </c>
      <c r="N125" s="236">
        <v>8517</v>
      </c>
      <c r="O125" s="236">
        <v>9365</v>
      </c>
      <c r="P125" s="236"/>
      <c r="Q125" s="236"/>
      <c r="R125" s="236"/>
      <c r="S125" s="311"/>
      <c r="T125" s="64"/>
    </row>
    <row r="126" spans="1:20">
      <c r="A126" s="3"/>
      <c r="B126" s="665"/>
      <c r="C126" s="666"/>
      <c r="D126" s="667"/>
      <c r="E126" s="672"/>
      <c r="F126" s="700"/>
      <c r="G126" s="476" t="s">
        <v>360</v>
      </c>
      <c r="H126" s="487">
        <v>13403</v>
      </c>
      <c r="I126" s="487">
        <v>13732</v>
      </c>
      <c r="J126" s="487">
        <v>14113</v>
      </c>
      <c r="K126" s="492">
        <v>14815</v>
      </c>
      <c r="L126" s="487">
        <v>16177</v>
      </c>
      <c r="M126" s="487">
        <v>17544</v>
      </c>
      <c r="N126" s="498">
        <v>7466</v>
      </c>
      <c r="O126" s="498">
        <v>8712</v>
      </c>
      <c r="P126" s="236"/>
      <c r="Q126" s="236"/>
      <c r="R126" s="236"/>
      <c r="S126" s="311"/>
      <c r="T126" s="64"/>
    </row>
    <row r="127" spans="1:20">
      <c r="A127" s="3"/>
      <c r="B127" s="718" t="s">
        <v>387</v>
      </c>
      <c r="C127" s="719"/>
      <c r="D127" s="720"/>
      <c r="E127" s="675">
        <v>1.2</v>
      </c>
      <c r="F127" s="698" t="s">
        <v>543</v>
      </c>
      <c r="G127" s="476" t="s">
        <v>359</v>
      </c>
      <c r="H127" s="463">
        <v>372</v>
      </c>
      <c r="I127" s="463">
        <v>422</v>
      </c>
      <c r="J127" s="463">
        <v>497</v>
      </c>
      <c r="K127" s="466">
        <v>572</v>
      </c>
      <c r="L127" s="463">
        <v>672</v>
      </c>
      <c r="M127" s="463">
        <v>772</v>
      </c>
      <c r="N127" s="440">
        <v>25</v>
      </c>
      <c r="O127" s="440">
        <v>50</v>
      </c>
      <c r="P127" s="440"/>
      <c r="Q127" s="440"/>
      <c r="R127" s="440"/>
      <c r="S127" s="441"/>
      <c r="T127" s="64"/>
    </row>
    <row r="128" spans="1:20">
      <c r="A128" s="3"/>
      <c r="B128" s="718"/>
      <c r="C128" s="719"/>
      <c r="D128" s="720"/>
      <c r="E128" s="675"/>
      <c r="F128" s="698"/>
      <c r="G128" s="476" t="s">
        <v>360</v>
      </c>
      <c r="H128" s="489">
        <v>443</v>
      </c>
      <c r="I128" s="489">
        <v>542</v>
      </c>
      <c r="J128" s="489">
        <v>582</v>
      </c>
      <c r="K128" s="493">
        <v>650</v>
      </c>
      <c r="L128" s="489">
        <v>682</v>
      </c>
      <c r="M128" s="489">
        <v>733</v>
      </c>
      <c r="N128" s="499">
        <v>48</v>
      </c>
      <c r="O128" s="499">
        <v>98</v>
      </c>
      <c r="P128" s="440"/>
      <c r="Q128" s="440"/>
      <c r="R128" s="440"/>
      <c r="S128" s="441"/>
      <c r="T128" s="64"/>
    </row>
    <row r="129" spans="1:21" ht="15" customHeight="1">
      <c r="A129" s="3"/>
      <c r="B129" s="686" t="s">
        <v>385</v>
      </c>
      <c r="C129" s="687"/>
      <c r="D129" s="688"/>
      <c r="E129" s="672">
        <v>1.3</v>
      </c>
      <c r="F129" s="699" t="s">
        <v>543</v>
      </c>
      <c r="G129" s="476" t="s">
        <v>359</v>
      </c>
      <c r="H129" s="512">
        <v>2064</v>
      </c>
      <c r="I129" s="512">
        <v>2580</v>
      </c>
      <c r="J129" s="512">
        <v>2838</v>
      </c>
      <c r="K129" s="513">
        <v>3096</v>
      </c>
      <c r="L129" s="512">
        <v>3225</v>
      </c>
      <c r="M129" s="512">
        <v>3354</v>
      </c>
      <c r="N129" s="514">
        <v>2801</v>
      </c>
      <c r="O129" s="514">
        <v>3123</v>
      </c>
      <c r="P129" s="514"/>
      <c r="Q129" s="514"/>
      <c r="R129" s="514"/>
      <c r="S129" s="515"/>
      <c r="T129" s="64"/>
    </row>
    <row r="130" spans="1:21">
      <c r="A130" s="3"/>
      <c r="B130" s="686"/>
      <c r="C130" s="687"/>
      <c r="D130" s="688"/>
      <c r="E130" s="672"/>
      <c r="F130" s="700"/>
      <c r="G130" s="476" t="s">
        <v>360</v>
      </c>
      <c r="H130" s="516">
        <v>1161</v>
      </c>
      <c r="I130" s="516">
        <v>1215</v>
      </c>
      <c r="J130" s="516">
        <v>1289</v>
      </c>
      <c r="K130" s="517">
        <v>1465</v>
      </c>
      <c r="L130" s="516">
        <v>2141</v>
      </c>
      <c r="M130" s="516">
        <v>2867</v>
      </c>
      <c r="N130" s="518">
        <v>2411</v>
      </c>
      <c r="O130" s="518">
        <v>2704</v>
      </c>
      <c r="P130" s="514"/>
      <c r="Q130" s="514"/>
      <c r="R130" s="514"/>
      <c r="S130" s="515"/>
      <c r="T130" s="64"/>
    </row>
    <row r="131" spans="1:21" ht="20.25" customHeight="1">
      <c r="A131" s="3"/>
      <c r="B131" s="718" t="s">
        <v>386</v>
      </c>
      <c r="C131" s="719"/>
      <c r="D131" s="720"/>
      <c r="E131" s="675">
        <v>1.4</v>
      </c>
      <c r="F131" s="767" t="s">
        <v>543</v>
      </c>
      <c r="G131" s="476" t="s">
        <v>359</v>
      </c>
      <c r="H131" s="463">
        <v>950</v>
      </c>
      <c r="I131" s="463">
        <v>1000</v>
      </c>
      <c r="J131" s="463">
        <v>1100</v>
      </c>
      <c r="K131" s="466">
        <v>1250</v>
      </c>
      <c r="L131" s="463">
        <v>1500</v>
      </c>
      <c r="M131" s="463">
        <v>1750</v>
      </c>
      <c r="N131" s="507">
        <v>2093</v>
      </c>
      <c r="O131" s="507">
        <v>2513</v>
      </c>
      <c r="P131" s="507"/>
      <c r="Q131" s="507"/>
      <c r="R131" s="507"/>
      <c r="S131" s="508"/>
      <c r="T131" s="64"/>
    </row>
    <row r="132" spans="1:21" ht="20.25" customHeight="1">
      <c r="A132" s="3"/>
      <c r="B132" s="718"/>
      <c r="C132" s="719"/>
      <c r="D132" s="720"/>
      <c r="E132" s="675"/>
      <c r="F132" s="768"/>
      <c r="G132" s="476" t="s">
        <v>360</v>
      </c>
      <c r="H132" s="489">
        <v>866</v>
      </c>
      <c r="I132" s="489">
        <v>884</v>
      </c>
      <c r="J132" s="489">
        <v>967</v>
      </c>
      <c r="K132" s="493">
        <v>1001</v>
      </c>
      <c r="L132" s="489">
        <v>1504</v>
      </c>
      <c r="M132" s="489">
        <v>1788</v>
      </c>
      <c r="N132" s="499">
        <v>904</v>
      </c>
      <c r="O132" s="499">
        <v>1685</v>
      </c>
      <c r="P132" s="507"/>
      <c r="Q132" s="507"/>
      <c r="R132" s="507"/>
      <c r="S132" s="508"/>
      <c r="T132" s="64"/>
    </row>
    <row r="133" spans="1:21" ht="14.25" hidden="1" customHeight="1">
      <c r="A133" s="3"/>
      <c r="B133" s="721" t="s">
        <v>389</v>
      </c>
      <c r="C133" s="722"/>
      <c r="D133" s="723"/>
      <c r="E133" s="670">
        <v>2.2999999999999998</v>
      </c>
      <c r="F133" s="671" t="s">
        <v>100</v>
      </c>
      <c r="G133" s="476" t="s">
        <v>359</v>
      </c>
      <c r="H133" s="463"/>
      <c r="I133" s="463">
        <v>70</v>
      </c>
      <c r="J133" s="463"/>
      <c r="K133" s="479">
        <v>80</v>
      </c>
      <c r="L133" s="466"/>
      <c r="M133" s="466">
        <v>80</v>
      </c>
      <c r="N133" s="440"/>
      <c r="O133" s="440"/>
      <c r="P133" s="440"/>
      <c r="Q133" s="440"/>
      <c r="R133" s="440"/>
      <c r="S133" s="441"/>
      <c r="T133" s="64"/>
    </row>
    <row r="134" spans="1:21" hidden="1">
      <c r="A134" s="3"/>
      <c r="B134" s="721"/>
      <c r="C134" s="722"/>
      <c r="D134" s="723"/>
      <c r="E134" s="670"/>
      <c r="F134" s="671"/>
      <c r="G134" s="476" t="s">
        <v>360</v>
      </c>
      <c r="H134" s="463"/>
      <c r="I134" s="488">
        <v>57.3</v>
      </c>
      <c r="J134" s="463"/>
      <c r="K134" s="494">
        <v>43.9</v>
      </c>
      <c r="L134" s="489"/>
      <c r="M134" s="489">
        <v>50.2</v>
      </c>
      <c r="N134" s="440"/>
      <c r="O134" s="440"/>
      <c r="P134" s="440"/>
      <c r="Q134" s="440"/>
      <c r="R134" s="440"/>
      <c r="S134" s="441"/>
      <c r="T134" s="64"/>
    </row>
    <row r="135" spans="1:21" ht="14.25" hidden="1" customHeight="1">
      <c r="A135" s="3"/>
      <c r="B135" s="682" t="s">
        <v>390</v>
      </c>
      <c r="C135" s="683"/>
      <c r="D135" s="684"/>
      <c r="E135" s="672" t="s">
        <v>339</v>
      </c>
      <c r="F135" s="673" t="s">
        <v>100</v>
      </c>
      <c r="G135" s="476" t="s">
        <v>359</v>
      </c>
      <c r="H135" s="465">
        <v>1923</v>
      </c>
      <c r="I135" s="465">
        <v>2083</v>
      </c>
      <c r="J135" s="465">
        <v>2128</v>
      </c>
      <c r="K135" s="464">
        <v>2198</v>
      </c>
      <c r="L135" s="465">
        <v>2223</v>
      </c>
      <c r="M135" s="465">
        <v>2323</v>
      </c>
      <c r="N135" s="312"/>
      <c r="O135" s="312"/>
      <c r="P135" s="312"/>
      <c r="Q135" s="312"/>
      <c r="R135" s="312"/>
      <c r="S135" s="442"/>
      <c r="T135" s="64"/>
    </row>
    <row r="136" spans="1:21" ht="15.75" hidden="1" thickBot="1">
      <c r="A136" s="3"/>
      <c r="B136" s="682"/>
      <c r="C136" s="683"/>
      <c r="D136" s="684"/>
      <c r="E136" s="672"/>
      <c r="F136" s="674"/>
      <c r="G136" s="476" t="s">
        <v>360</v>
      </c>
      <c r="H136" s="487">
        <v>2055</v>
      </c>
      <c r="I136" s="487">
        <v>2133</v>
      </c>
      <c r="J136" s="487">
        <v>2208</v>
      </c>
      <c r="K136" s="492">
        <v>2254</v>
      </c>
      <c r="L136" s="487">
        <v>2289</v>
      </c>
      <c r="M136" s="487">
        <v>2307</v>
      </c>
      <c r="N136" s="443"/>
      <c r="O136" s="443"/>
      <c r="P136" s="443"/>
      <c r="Q136" s="443"/>
      <c r="R136" s="443"/>
      <c r="S136" s="444"/>
      <c r="T136" s="64"/>
    </row>
    <row r="137" spans="1:21" ht="21.75" customHeight="1">
      <c r="A137" s="3"/>
      <c r="B137" s="724" t="s">
        <v>530</v>
      </c>
      <c r="C137" s="666"/>
      <c r="D137" s="667"/>
      <c r="E137" s="672">
        <v>2.2000000000000002</v>
      </c>
      <c r="F137" s="699" t="s">
        <v>543</v>
      </c>
      <c r="G137" s="476" t="s">
        <v>359</v>
      </c>
      <c r="H137" s="512"/>
      <c r="I137" s="512"/>
      <c r="J137" s="512"/>
      <c r="K137" s="513"/>
      <c r="L137" s="512"/>
      <c r="M137" s="512"/>
      <c r="N137" s="514"/>
      <c r="O137" s="530">
        <v>0.77300000000000002</v>
      </c>
      <c r="P137" s="514"/>
      <c r="Q137" s="514"/>
      <c r="R137" s="514"/>
      <c r="S137" s="515"/>
      <c r="T137" s="64"/>
    </row>
    <row r="138" spans="1:21" ht="21.75" customHeight="1">
      <c r="A138" s="3"/>
      <c r="B138" s="665"/>
      <c r="C138" s="666"/>
      <c r="D138" s="667"/>
      <c r="E138" s="672"/>
      <c r="F138" s="700"/>
      <c r="G138" s="476" t="s">
        <v>360</v>
      </c>
      <c r="H138" s="516"/>
      <c r="I138" s="516"/>
      <c r="J138" s="512"/>
      <c r="K138" s="517"/>
      <c r="L138" s="516"/>
      <c r="M138" s="516"/>
      <c r="N138" s="518"/>
      <c r="O138" s="530">
        <v>0.94769999999999999</v>
      </c>
      <c r="P138" s="514"/>
      <c r="Q138" s="514"/>
      <c r="R138" s="514"/>
      <c r="S138" s="515"/>
      <c r="T138" s="64"/>
    </row>
    <row r="139" spans="1:21">
      <c r="A139" s="3"/>
      <c r="B139" s="3"/>
      <c r="C139" s="3"/>
      <c r="D139" s="3"/>
      <c r="E139" s="3"/>
      <c r="F139" s="3"/>
      <c r="G139" s="2"/>
      <c r="H139" s="3"/>
      <c r="I139" s="3"/>
      <c r="J139" s="3"/>
      <c r="K139" s="3"/>
      <c r="L139" s="3"/>
      <c r="M139" s="3"/>
      <c r="N139" s="3"/>
      <c r="O139" s="3"/>
      <c r="R139" s="36"/>
      <c r="S139" s="36"/>
    </row>
    <row r="140" spans="1:21" ht="15.75" thickBot="1">
      <c r="A140" s="3"/>
      <c r="B140" s="3"/>
      <c r="C140" s="3"/>
      <c r="D140" s="3"/>
      <c r="E140" s="3"/>
      <c r="F140" s="3"/>
      <c r="G140" s="2"/>
      <c r="H140" s="3"/>
      <c r="I140" s="3"/>
      <c r="J140" s="3"/>
      <c r="K140" s="3"/>
      <c r="L140" s="3"/>
      <c r="M140" s="3"/>
      <c r="N140" s="3"/>
      <c r="O140" s="3"/>
      <c r="R140" s="36"/>
      <c r="S140" s="36"/>
    </row>
    <row r="141" spans="1:21" ht="26.25" thickBot="1">
      <c r="A141" s="3"/>
      <c r="B141" s="3" t="s">
        <v>455</v>
      </c>
      <c r="C141" s="3"/>
      <c r="D141" s="3"/>
      <c r="E141" s="313" t="s">
        <v>291</v>
      </c>
      <c r="F141" s="482" t="s">
        <v>456</v>
      </c>
      <c r="G141" s="239"/>
      <c r="H141" s="378" t="str">
        <f t="shared" ref="H141:S141" si="6">C30</f>
        <v>P1 (Q2.2010)</v>
      </c>
      <c r="I141" s="378" t="str">
        <f t="shared" si="6"/>
        <v>P2 (Q3-4.2010)</v>
      </c>
      <c r="J141" s="378" t="str">
        <f t="shared" si="6"/>
        <v>P3 (Q1-2.2011)</v>
      </c>
      <c r="K141" s="378" t="str">
        <f t="shared" si="6"/>
        <v>P4 (Q3-4.2011)</v>
      </c>
      <c r="L141" s="378" t="str">
        <f t="shared" si="6"/>
        <v>P5 (Q1-2.2012)</v>
      </c>
      <c r="M141" s="378" t="str">
        <f t="shared" si="6"/>
        <v>P6 (Q3-4.2012)</v>
      </c>
      <c r="N141" s="378" t="str">
        <f t="shared" si="6"/>
        <v>P7 (Q1-2.2013)</v>
      </c>
      <c r="O141" s="378" t="str">
        <f t="shared" si="6"/>
        <v>P8 (Q3-4.2013)</v>
      </c>
      <c r="P141" s="378" t="str">
        <f t="shared" si="6"/>
        <v>P9</v>
      </c>
      <c r="Q141" s="378" t="str">
        <f t="shared" si="6"/>
        <v>P10</v>
      </c>
      <c r="R141" s="378" t="str">
        <f t="shared" si="6"/>
        <v>P11</v>
      </c>
      <c r="S141" s="379" t="str">
        <f t="shared" si="6"/>
        <v>P12</v>
      </c>
      <c r="T141" s="36"/>
      <c r="U141" s="36"/>
    </row>
    <row r="142" spans="1:21">
      <c r="A142" s="3"/>
      <c r="B142" s="689" t="str">
        <f>IF(ISBLANK(B125),"",(B125))</f>
        <v>Number and percentage of injecting drug users (IDUs) reached with prevention programmes  // Numărul şi procentul utilizatorilor de droguri injectabile (UDI) cuprinşi în programele de prevenire</v>
      </c>
      <c r="C142" s="690"/>
      <c r="D142" s="691"/>
      <c r="E142" s="663">
        <f>IF(ISBLANK(E125),"",(E125))</f>
        <v>1.1000000000000001</v>
      </c>
      <c r="F142" s="668" t="str">
        <f>IF(ISBLANK(F117),"",(F117))</f>
        <v>Da</v>
      </c>
      <c r="G142" s="519" t="s">
        <v>71</v>
      </c>
      <c r="H142" s="411">
        <f t="shared" ref="H142:O143" si="7">H125</f>
        <v>15057</v>
      </c>
      <c r="I142" s="411">
        <f t="shared" si="7"/>
        <v>16133</v>
      </c>
      <c r="J142" s="411">
        <f t="shared" si="7"/>
        <v>16849</v>
      </c>
      <c r="K142" s="411">
        <f t="shared" si="7"/>
        <v>17925</v>
      </c>
      <c r="L142" s="411">
        <f t="shared" si="7"/>
        <v>19717</v>
      </c>
      <c r="M142" s="411">
        <f t="shared" si="7"/>
        <v>21510</v>
      </c>
      <c r="N142" s="411">
        <f t="shared" si="7"/>
        <v>8517</v>
      </c>
      <c r="O142" s="411">
        <f t="shared" si="7"/>
        <v>9365</v>
      </c>
      <c r="P142" s="411">
        <f t="shared" ref="P142:S142" si="8">P117</f>
        <v>0</v>
      </c>
      <c r="Q142" s="411">
        <f t="shared" si="8"/>
        <v>0</v>
      </c>
      <c r="R142" s="411">
        <f t="shared" si="8"/>
        <v>0</v>
      </c>
      <c r="S142" s="459">
        <f t="shared" si="8"/>
        <v>0</v>
      </c>
      <c r="T142" s="36"/>
      <c r="U142" s="36"/>
    </row>
    <row r="143" spans="1:21">
      <c r="A143" s="3"/>
      <c r="B143" s="692"/>
      <c r="C143" s="693"/>
      <c r="D143" s="694"/>
      <c r="E143" s="663"/>
      <c r="F143" s="668"/>
      <c r="G143" s="520" t="s">
        <v>72</v>
      </c>
      <c r="H143" s="411">
        <f t="shared" si="7"/>
        <v>13403</v>
      </c>
      <c r="I143" s="411">
        <f t="shared" si="7"/>
        <v>13732</v>
      </c>
      <c r="J143" s="411">
        <f t="shared" si="7"/>
        <v>14113</v>
      </c>
      <c r="K143" s="411">
        <f t="shared" si="7"/>
        <v>14815</v>
      </c>
      <c r="L143" s="411">
        <f t="shared" si="7"/>
        <v>16177</v>
      </c>
      <c r="M143" s="411">
        <f t="shared" si="7"/>
        <v>17544</v>
      </c>
      <c r="N143" s="411">
        <f t="shared" si="7"/>
        <v>7466</v>
      </c>
      <c r="O143" s="411">
        <f t="shared" si="7"/>
        <v>8712</v>
      </c>
      <c r="P143" s="411">
        <f t="shared" ref="P143:S143" si="9">P118</f>
        <v>0</v>
      </c>
      <c r="Q143" s="411">
        <f t="shared" si="9"/>
        <v>0</v>
      </c>
      <c r="R143" s="411">
        <f t="shared" si="9"/>
        <v>0</v>
      </c>
      <c r="S143" s="459">
        <f t="shared" si="9"/>
        <v>0</v>
      </c>
      <c r="T143" s="36"/>
      <c r="U143" s="36"/>
    </row>
    <row r="144" spans="1:21" ht="21.75" customHeight="1">
      <c r="A144" s="3"/>
      <c r="B144" s="715" t="str">
        <f>IF(ISBLANK(B119),"",(B119))</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144" s="716"/>
      <c r="D144" s="717"/>
      <c r="E144" s="685" t="str">
        <f>IF(ISBLANK(E119),"",(E119))</f>
        <v>Impact</v>
      </c>
      <c r="F144" s="725" t="str">
        <f>IF(ISBLANK(F119),"",(F119))</f>
        <v>Da</v>
      </c>
      <c r="G144" s="521" t="s">
        <v>71</v>
      </c>
      <c r="H144" s="445">
        <f t="shared" ref="H144:K147" si="10">H119</f>
        <v>0</v>
      </c>
      <c r="I144" s="445">
        <f>I119</f>
        <v>90</v>
      </c>
      <c r="J144" s="445">
        <f t="shared" si="10"/>
        <v>0</v>
      </c>
      <c r="K144" s="445">
        <f>K119</f>
        <v>92</v>
      </c>
      <c r="L144" s="445">
        <f t="shared" ref="L144:S144" si="11">L119</f>
        <v>0</v>
      </c>
      <c r="M144" s="445">
        <f t="shared" si="11"/>
        <v>93</v>
      </c>
      <c r="N144" s="445">
        <f t="shared" si="11"/>
        <v>0</v>
      </c>
      <c r="O144" s="445">
        <f t="shared" si="11"/>
        <v>0</v>
      </c>
      <c r="P144" s="445">
        <f t="shared" si="11"/>
        <v>0</v>
      </c>
      <c r="Q144" s="445">
        <f t="shared" si="11"/>
        <v>0</v>
      </c>
      <c r="R144" s="445">
        <f t="shared" si="11"/>
        <v>0</v>
      </c>
      <c r="S144" s="460">
        <f t="shared" si="11"/>
        <v>0</v>
      </c>
      <c r="T144" s="36"/>
      <c r="U144" s="36"/>
    </row>
    <row r="145" spans="1:21" ht="21.75" customHeight="1">
      <c r="A145" s="3"/>
      <c r="B145" s="715"/>
      <c r="C145" s="716"/>
      <c r="D145" s="717"/>
      <c r="E145" s="685"/>
      <c r="F145" s="725"/>
      <c r="G145" s="521" t="s">
        <v>72</v>
      </c>
      <c r="H145" s="445">
        <f t="shared" si="10"/>
        <v>0</v>
      </c>
      <c r="I145" s="445">
        <f t="shared" si="10"/>
        <v>88</v>
      </c>
      <c r="J145" s="445">
        <f t="shared" si="10"/>
        <v>0</v>
      </c>
      <c r="K145" s="445">
        <f t="shared" si="10"/>
        <v>80.7</v>
      </c>
      <c r="L145" s="445">
        <f t="shared" ref="L145:S145" si="12">L120</f>
        <v>0</v>
      </c>
      <c r="M145" s="445">
        <f t="shared" si="12"/>
        <v>81.900000000000006</v>
      </c>
      <c r="N145" s="445">
        <f t="shared" si="12"/>
        <v>0</v>
      </c>
      <c r="O145" s="445">
        <f t="shared" si="12"/>
        <v>0</v>
      </c>
      <c r="P145" s="445">
        <f t="shared" si="12"/>
        <v>0</v>
      </c>
      <c r="Q145" s="445">
        <f t="shared" si="12"/>
        <v>0</v>
      </c>
      <c r="R145" s="445">
        <f t="shared" si="12"/>
        <v>0</v>
      </c>
      <c r="S145" s="460">
        <f t="shared" si="12"/>
        <v>0</v>
      </c>
      <c r="T145" s="36"/>
      <c r="U145" s="36"/>
    </row>
    <row r="146" spans="1:21" ht="23.25" customHeight="1">
      <c r="A146" s="3"/>
      <c r="B146" s="676" t="str">
        <f>IF(ISBLANK(B121),"",(B121))</f>
        <v>Number of people with advanced HIV infection that have started antiretroviral combination therapy // Numărul pesoanelor cu infecţia HIV/SIDA avansată care au initiat tratament antiretroviral combinat</v>
      </c>
      <c r="C146" s="677"/>
      <c r="D146" s="678"/>
      <c r="E146" s="663">
        <f>IF(ISBLANK(E121),"",(E121))</f>
        <v>2.1</v>
      </c>
      <c r="F146" s="668" t="str">
        <f>IF(ISBLANK(F121),"",(F121))</f>
        <v>Da</v>
      </c>
      <c r="G146" s="520" t="s">
        <v>71</v>
      </c>
      <c r="H146" s="411">
        <f t="shared" si="10"/>
        <v>1298</v>
      </c>
      <c r="I146" s="411">
        <f t="shared" si="10"/>
        <v>1439</v>
      </c>
      <c r="J146" s="411">
        <f t="shared" si="10"/>
        <v>1626</v>
      </c>
      <c r="K146" s="411">
        <f t="shared" si="10"/>
        <v>1814</v>
      </c>
      <c r="L146" s="411">
        <f t="shared" ref="L146:S146" si="13">L121</f>
        <v>2031</v>
      </c>
      <c r="M146" s="411">
        <f t="shared" si="13"/>
        <v>2249</v>
      </c>
      <c r="N146" s="411">
        <f t="shared" si="13"/>
        <v>2643</v>
      </c>
      <c r="O146" s="411">
        <f t="shared" si="13"/>
        <v>2965</v>
      </c>
      <c r="P146" s="411">
        <f t="shared" si="13"/>
        <v>0</v>
      </c>
      <c r="Q146" s="411">
        <f t="shared" si="13"/>
        <v>0</v>
      </c>
      <c r="R146" s="411">
        <f t="shared" si="13"/>
        <v>0</v>
      </c>
      <c r="S146" s="459">
        <f t="shared" si="13"/>
        <v>0</v>
      </c>
      <c r="T146" s="36"/>
      <c r="U146" s="36"/>
    </row>
    <row r="147" spans="1:21" ht="23.25" customHeight="1" thickBot="1">
      <c r="A147" s="3"/>
      <c r="B147" s="679"/>
      <c r="C147" s="680"/>
      <c r="D147" s="681"/>
      <c r="E147" s="664"/>
      <c r="F147" s="669"/>
      <c r="G147" s="522" t="s">
        <v>72</v>
      </c>
      <c r="H147" s="412">
        <f t="shared" si="10"/>
        <v>1376</v>
      </c>
      <c r="I147" s="412">
        <f t="shared" si="10"/>
        <v>1580</v>
      </c>
      <c r="J147" s="412">
        <f t="shared" si="10"/>
        <v>1826</v>
      </c>
      <c r="K147" s="412">
        <f t="shared" si="10"/>
        <v>2110</v>
      </c>
      <c r="L147" s="412">
        <f t="shared" ref="L147:S147" si="14">L122</f>
        <v>2447</v>
      </c>
      <c r="M147" s="412">
        <f t="shared" si="14"/>
        <v>2705</v>
      </c>
      <c r="N147" s="412">
        <f t="shared" si="14"/>
        <v>2973</v>
      </c>
      <c r="O147" s="412">
        <f t="shared" si="14"/>
        <v>3274</v>
      </c>
      <c r="P147" s="412">
        <f t="shared" si="14"/>
        <v>0</v>
      </c>
      <c r="Q147" s="412">
        <f t="shared" si="14"/>
        <v>0</v>
      </c>
      <c r="R147" s="412">
        <f t="shared" si="14"/>
        <v>0</v>
      </c>
      <c r="S147" s="461">
        <f t="shared" si="14"/>
        <v>0</v>
      </c>
      <c r="T147" s="36"/>
      <c r="U147" s="36"/>
    </row>
    <row r="148" spans="1:21">
      <c r="A148" s="3"/>
      <c r="B148" s="3"/>
      <c r="C148" s="3"/>
      <c r="D148" s="3"/>
      <c r="E148" s="3"/>
      <c r="F148" s="3"/>
      <c r="G148" s="3"/>
      <c r="H148" s="3"/>
      <c r="I148" s="3"/>
      <c r="J148" s="3"/>
      <c r="K148" s="3"/>
      <c r="L148" s="3"/>
      <c r="M148" s="3"/>
      <c r="N148"/>
      <c r="O148"/>
      <c r="P148" s="36"/>
      <c r="Q148" s="36"/>
      <c r="S148" s="446"/>
    </row>
    <row r="149" spans="1:21">
      <c r="N149"/>
      <c r="O149"/>
      <c r="P149" s="36"/>
      <c r="Q149" s="36"/>
    </row>
    <row r="150" spans="1:21">
      <c r="N150"/>
      <c r="O150"/>
      <c r="P150" s="36"/>
      <c r="Q150" s="36"/>
    </row>
    <row r="151" spans="1:21">
      <c r="N151"/>
      <c r="O151"/>
      <c r="P151" s="36"/>
      <c r="Q151" s="36"/>
    </row>
  </sheetData>
  <mergeCells count="76">
    <mergeCell ref="E137:E138"/>
    <mergeCell ref="F137:F138"/>
    <mergeCell ref="A117:A122"/>
    <mergeCell ref="B29:N29"/>
    <mergeCell ref="B117:D118"/>
    <mergeCell ref="B60:D60"/>
    <mergeCell ref="F121:F122"/>
    <mergeCell ref="B119:D120"/>
    <mergeCell ref="B121:D122"/>
    <mergeCell ref="F129:F130"/>
    <mergeCell ref="B108:B111"/>
    <mergeCell ref="F131:F132"/>
    <mergeCell ref="E127:E128"/>
    <mergeCell ref="F127:F128"/>
    <mergeCell ref="F125:F126"/>
    <mergeCell ref="B123:D124"/>
    <mergeCell ref="C12:D12"/>
    <mergeCell ref="G24:H24"/>
    <mergeCell ref="C6:D6"/>
    <mergeCell ref="E6:F6"/>
    <mergeCell ref="B72:C72"/>
    <mergeCell ref="B18:C18"/>
    <mergeCell ref="D18:F18"/>
    <mergeCell ref="B71:C71"/>
    <mergeCell ref="B26:C26"/>
    <mergeCell ref="F142:F143"/>
    <mergeCell ref="F144:F145"/>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B144:D145"/>
    <mergeCell ref="B131:D132"/>
    <mergeCell ref="B127:D128"/>
    <mergeCell ref="B133:D134"/>
    <mergeCell ref="B137:D138"/>
    <mergeCell ref="E123:E124"/>
    <mergeCell ref="F123:F124"/>
    <mergeCell ref="I24:J24"/>
    <mergeCell ref="B21:J21"/>
    <mergeCell ref="B73:C73"/>
    <mergeCell ref="E121:E122"/>
    <mergeCell ref="B115:D115"/>
    <mergeCell ref="D24:E24"/>
    <mergeCell ref="O31:O34"/>
    <mergeCell ref="E117:E118"/>
    <mergeCell ref="F117:F118"/>
    <mergeCell ref="F119:F120"/>
    <mergeCell ref="E119:E120"/>
    <mergeCell ref="F47:I47"/>
    <mergeCell ref="E146:E147"/>
    <mergeCell ref="B125:D126"/>
    <mergeCell ref="F146:F147"/>
    <mergeCell ref="E133:E134"/>
    <mergeCell ref="F133:F134"/>
    <mergeCell ref="E135:E136"/>
    <mergeCell ref="F135:F136"/>
    <mergeCell ref="E142:E143"/>
    <mergeCell ref="E125:E126"/>
    <mergeCell ref="E131:E132"/>
    <mergeCell ref="B146:D147"/>
    <mergeCell ref="B135:D136"/>
    <mergeCell ref="E144:E145"/>
    <mergeCell ref="E129:E130"/>
    <mergeCell ref="B129:D130"/>
    <mergeCell ref="B142:D143"/>
  </mergeCells>
  <phoneticPr fontId="30" type="noConversion"/>
  <conditionalFormatting sqref="B34 B32 C32:D33 E32:H32 E33:N33 C31">
    <cfRule type="expression" dxfId="11" priority="10" stopIfTrue="1">
      <formula>+AND(B30&gt;=#REF!,B30&lt;=#REF!)</formula>
    </cfRule>
  </conditionalFormatting>
  <conditionalFormatting sqref="C34:N34">
    <cfRule type="expression" dxfId="10" priority="11" stopIfTrue="1">
      <formula>+AND(C32&gt;=#REF!,C32&lt;=#REF!)</formula>
    </cfRule>
  </conditionalFormatting>
  <conditionalFormatting sqref="C30:N30 C94:N94">
    <cfRule type="cellIs" dxfId="9" priority="14" stopIfTrue="1" operator="equal">
      <formula>$C$16</formula>
    </cfRule>
  </conditionalFormatting>
  <conditionalFormatting sqref="C12:D12">
    <cfRule type="cellIs" dxfId="8" priority="16" stopIfTrue="1" operator="equal">
      <formula>"C"</formula>
    </cfRule>
    <cfRule type="cellIs" dxfId="7" priority="17" stopIfTrue="1" operator="equal">
      <formula>"B2"</formula>
    </cfRule>
    <cfRule type="cellIs" dxfId="6" priority="18" stopIfTrue="1" operator="equal">
      <formula>"B1"</formula>
    </cfRule>
  </conditionalFormatting>
  <conditionalFormatting sqref="H141:S141 H115:S116 C30:H30 C94:H94">
    <cfRule type="cellIs" dxfId="5" priority="25" stopIfTrue="1" operator="equal">
      <formula>$C$16</formula>
    </cfRule>
  </conditionalFormatting>
  <conditionalFormatting sqref="F47:I47">
    <cfRule type="expression" dxfId="4" priority="26" stopIfTrue="1">
      <formula>LEFT($F$47,2)="OK"</formula>
    </cfRule>
  </conditionalFormatting>
  <conditionalFormatting sqref="C32:E32 C31">
    <cfRule type="expression" dxfId="3" priority="8" stopIfTrue="1">
      <formula>+AND(C30&gt;=#REF!,C30&lt;=#REF!)</formula>
    </cfRule>
  </conditionalFormatting>
  <conditionalFormatting sqref="B34">
    <cfRule type="expression" dxfId="2" priority="5" stopIfTrue="1">
      <formula>+AND(B33&gt;=#REF!,B33&lt;=#REF!)</formula>
    </cfRule>
  </conditionalFormatting>
  <conditionalFormatting sqref="C32:H32 C31">
    <cfRule type="expression" dxfId="1" priority="2" stopIfTrue="1">
      <formula>+AND(C30&gt;=#REF!,C30&lt;=#REF!)</formula>
    </cfRule>
  </conditionalFormatting>
  <conditionalFormatting sqref="C32:E32 C31">
    <cfRule type="expression" dxfId="0" priority="1" stopIfTrue="1">
      <formula>+AND(C30&gt;=#REF!,C30&lt;=#REF!)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25" right="0.25" top="0.75" bottom="0.75" header="0.3" footer="0.3"/>
  <pageSetup paperSize="9" scale="41" orientation="landscape" r:id="rId1"/>
  <headerFooter>
    <oddFooter>&amp;L&amp;F&amp;C&amp;A&amp;RV1.0          &amp;D</oddFooter>
  </headerFooter>
  <rowBreaks count="1" manualBreakCount="1">
    <brk id="74" max="18" man="1"/>
  </rowBreaks>
  <colBreaks count="1" manualBreakCount="1">
    <brk id="19" max="1048575" man="1"/>
  </colBreaks>
  <ignoredErrors>
    <ignoredError sqref="H141:S141 J6"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4">
    <tabColor indexed="51"/>
  </sheetPr>
  <dimension ref="A1:X18"/>
  <sheetViews>
    <sheetView showGridLines="0" zoomScaleNormal="100" zoomScaleSheetLayoutView="100" workbookViewId="0">
      <selection activeCell="C21" sqref="C21"/>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61"/>
      <c r="H1" s="2"/>
      <c r="I1" s="2"/>
      <c r="J1" s="2"/>
    </row>
    <row r="2" spans="1:24" ht="25.5" customHeight="1"/>
    <row r="3" spans="1:24" ht="36">
      <c r="B3" s="774" t="str">
        <f>+"Dashboard: "&amp;" "&amp;+IF('Introducerea datelor'!C4="Please Select","",'Introducerea datelor'!C4&amp;" - ")&amp;+IF('Introducerea datelor'!G6="Please Select","",'Introducerea datelor'!G6)</f>
        <v>Dashboard:  Moldova - HIV / AIDS</v>
      </c>
      <c r="C3" s="774"/>
      <c r="D3" s="774"/>
      <c r="E3" s="774"/>
      <c r="F3" s="774"/>
      <c r="G3" s="774"/>
      <c r="H3" s="774"/>
      <c r="I3" s="774"/>
      <c r="J3" s="774"/>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77.25" customHeight="1">
      <c r="A6" s="257" t="s">
        <v>19</v>
      </c>
      <c r="B6" s="775" t="str">
        <f>+IF('Introducerea datelor'!C4="Please Select","",'Introducerea datelor'!C4)</f>
        <v>Moldova</v>
      </c>
      <c r="C6" s="775"/>
      <c r="D6" s="778" t="s">
        <v>5</v>
      </c>
      <c r="E6" s="778"/>
      <c r="F6" s="779" t="str">
        <f>+'Introducerea datelor'!G4</f>
        <v>Scaling up Access to Prevention, Treatment and Care under the National Program for Prevention and Control of HIV/AIDS/STIs 2006-2010 and reducing morbidity, mortality and HIV-related impact on people living with HIV/AIDS, 2010-2014</v>
      </c>
      <c r="G6" s="779"/>
      <c r="H6" s="779"/>
      <c r="I6" s="779"/>
      <c r="J6" s="779"/>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69" t="s">
        <v>20</v>
      </c>
      <c r="B9" s="331" t="str">
        <f>+IF('Introducerea datelor'!G6="Please Select","",'Introducerea datelor'!G6)</f>
        <v>HIV / AIDS</v>
      </c>
      <c r="C9" s="219" t="s">
        <v>292</v>
      </c>
      <c r="D9" s="332" t="str">
        <f>+'Introducerea datelor'!C6</f>
        <v>MOL-H-PCIMU</v>
      </c>
      <c r="E9" s="777" t="s">
        <v>6</v>
      </c>
      <c r="F9" s="777"/>
      <c r="G9" s="333">
        <f>+IF(ISBLANK('Introducerea datelor'!C10),"",'Introducerea datelor'!C10)</f>
        <v>41275</v>
      </c>
      <c r="H9" s="369" t="s">
        <v>293</v>
      </c>
      <c r="I9" s="776">
        <f>+IF(ISBLANK('Introducerea datelor'!I6),"",'Introducerea datelor'!I6)</f>
        <v>9418486.6417293232</v>
      </c>
      <c r="J9" s="776"/>
      <c r="K9" s="50"/>
      <c r="L9" s="50"/>
      <c r="M9" s="50"/>
      <c r="N9" s="50"/>
      <c r="O9" s="52"/>
      <c r="P9" s="51"/>
      <c r="Q9" s="52"/>
      <c r="R9" s="53"/>
      <c r="S9" s="17"/>
      <c r="T9" s="11"/>
      <c r="U9" s="11"/>
      <c r="V9" s="10"/>
      <c r="W9" s="10"/>
      <c r="X9" s="10"/>
    </row>
    <row r="10" spans="1:24" ht="25.5" customHeight="1">
      <c r="A10" s="369" t="s">
        <v>290</v>
      </c>
      <c r="B10" s="334" t="str">
        <f>+IF('Introducerea datelor'!G8="Please Select","",'Introducerea datelor'!G8)</f>
        <v/>
      </c>
      <c r="C10" s="219" t="s">
        <v>289</v>
      </c>
      <c r="D10" s="335" t="str">
        <f>+IF('Introducerea datelor'!I8="Please Select","",'Introducerea datelor'!I8)</f>
        <v>Faza 2</v>
      </c>
      <c r="E10" s="770" t="s">
        <v>248</v>
      </c>
      <c r="F10" s="770"/>
      <c r="G10" s="769" t="str">
        <f>+'Introducerea datelor'!C8</f>
        <v>PI "CIMU HSRP"</v>
      </c>
      <c r="H10" s="769"/>
      <c r="I10" s="769"/>
      <c r="J10" s="769"/>
      <c r="K10" s="54"/>
      <c r="L10" s="54"/>
      <c r="M10" s="50"/>
      <c r="N10" s="54"/>
      <c r="O10" s="52"/>
      <c r="P10" s="51"/>
      <c r="Q10" s="11"/>
      <c r="R10" s="53"/>
      <c r="S10" s="17"/>
      <c r="T10" s="11"/>
      <c r="U10" s="11"/>
    </row>
    <row r="11" spans="1:24" ht="25.5" customHeight="1">
      <c r="A11" s="369" t="s">
        <v>14</v>
      </c>
      <c r="B11" s="336" t="str">
        <f>+'Introducerea datelor'!C16</f>
        <v>P8</v>
      </c>
      <c r="C11" s="317" t="s">
        <v>247</v>
      </c>
      <c r="D11" s="337">
        <f>+IF(ISBLANK('Introducerea datelor'!E16),"",'Introducerea datelor'!E16)</f>
        <v>41456</v>
      </c>
      <c r="E11" s="777" t="s">
        <v>15</v>
      </c>
      <c r="F11" s="777"/>
      <c r="G11" s="337">
        <f>+IF(ISBLANK('Introducerea datelor'!G16),"",'Introducerea datelor'!G16)</f>
        <v>41639</v>
      </c>
      <c r="H11" s="369" t="s">
        <v>22</v>
      </c>
      <c r="I11" s="771" t="s">
        <v>38</v>
      </c>
      <c r="J11" s="771"/>
      <c r="K11" s="260"/>
      <c r="L11" s="54"/>
      <c r="M11" s="50"/>
      <c r="N11" s="54"/>
      <c r="O11" s="54"/>
      <c r="P11" s="51"/>
      <c r="Q11" s="11"/>
      <c r="R11" s="53"/>
      <c r="S11" s="17"/>
      <c r="T11" s="12"/>
      <c r="U11" s="11"/>
    </row>
    <row r="12" spans="1:24" ht="25.5" customHeight="1">
      <c r="A12" s="369" t="s">
        <v>24</v>
      </c>
      <c r="B12" s="769" t="str">
        <f>+IF('Introducerea datelor'!G10="Please Select","",'Introducerea datelor'!G10)</f>
        <v>PwC (PricewaterhouseCoopers)</v>
      </c>
      <c r="C12" s="769"/>
      <c r="D12" s="769"/>
      <c r="E12" s="770" t="s">
        <v>266</v>
      </c>
      <c r="F12" s="770"/>
      <c r="G12" s="769" t="str">
        <f>+'Introducerea datelor'!G12</f>
        <v>Tatiana Vinicenco</v>
      </c>
      <c r="H12" s="769"/>
      <c r="I12" s="769"/>
      <c r="J12" s="769"/>
      <c r="K12" s="54"/>
      <c r="L12" s="54"/>
      <c r="M12" s="50"/>
      <c r="N12" s="54"/>
      <c r="O12" s="17"/>
      <c r="P12" s="51"/>
      <c r="Q12" s="11"/>
      <c r="R12" s="53"/>
      <c r="S12" s="17"/>
      <c r="T12" s="11"/>
      <c r="U12" s="55"/>
      <c r="V12" s="11"/>
      <c r="W12" s="12"/>
      <c r="X12" s="11"/>
    </row>
    <row r="13" spans="1:24" ht="25.5" customHeight="1">
      <c r="A13" s="369" t="s">
        <v>25</v>
      </c>
      <c r="B13" s="769" t="str">
        <f>+'Introducerea datelor'!D18</f>
        <v>IP UCIMP RSS</v>
      </c>
      <c r="C13" s="769"/>
      <c r="D13" s="769"/>
      <c r="E13" s="770" t="s">
        <v>23</v>
      </c>
      <c r="F13" s="770"/>
      <c r="G13" s="772">
        <f>+IF(ISBLANK('Introducerea datelor'!J16),"",'Introducerea datelor'!J16)</f>
        <v>41780</v>
      </c>
      <c r="H13" s="773"/>
      <c r="I13" s="773"/>
      <c r="J13" s="773"/>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28"/>
      <c r="D16" s="16"/>
      <c r="E16" s="370"/>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47" priority="1" stopIfTrue="1" operator="equal">
      <formula>"C"</formula>
    </cfRule>
    <cfRule type="cellIs" dxfId="46" priority="2" stopIfTrue="1" operator="equal">
      <formula>"B2"</formula>
    </cfRule>
    <cfRule type="cellIs" dxfId="45"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legacyDrawing r:id="rId3"/>
</worksheet>
</file>

<file path=xl/worksheets/sheet5.xml><?xml version="1.0" encoding="utf-8"?>
<worksheet xmlns="http://schemas.openxmlformats.org/spreadsheetml/2006/main" xmlns:r="http://schemas.openxmlformats.org/officeDocument/2006/relationships">
  <sheetPr codeName="Sheet5">
    <tabColor indexed="41"/>
  </sheetPr>
  <dimension ref="A1:O34"/>
  <sheetViews>
    <sheetView showGridLines="0" view="pageLayout" topLeftCell="A10" zoomScale="70" zoomScaleNormal="100" zoomScalePageLayoutView="70" workbookViewId="0">
      <selection activeCell="M16" sqref="M16"/>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2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708" t="str">
        <f>+"Dashboard:  "&amp;"  "&amp;IF(+'Introducerea datelor'!C4="Please Select","",'Introducerea datelor'!C4&amp;" - ")&amp;IF('Introducerea datelor'!G6="Please Select","",'Introducerea datelor'!G6)</f>
        <v>Dashboard:    Moldova - HIV / AIDS</v>
      </c>
      <c r="C2" s="708"/>
      <c r="D2" s="708"/>
      <c r="E2" s="708"/>
      <c r="F2" s="708"/>
      <c r="G2" s="708"/>
      <c r="H2" s="708"/>
      <c r="I2" s="708"/>
      <c r="J2" s="708"/>
      <c r="K2" s="708"/>
      <c r="L2" s="1"/>
      <c r="M2" s="1"/>
      <c r="N2" s="1"/>
      <c r="O2" s="1"/>
    </row>
    <row r="3" spans="2:15">
      <c r="B3" s="132" t="str">
        <f>+IF('Introducerea datelor'!G8="Please Select","",'Introducerea datelor'!G8)</f>
        <v/>
      </c>
      <c r="C3" s="796" t="str">
        <f>+IF('Introducerea datelor'!I8="Please Select","",'Introducerea datelor'!I8)</f>
        <v>Faza 2</v>
      </c>
      <c r="D3" s="796"/>
      <c r="E3" s="795"/>
      <c r="F3" s="795"/>
      <c r="G3" s="795"/>
      <c r="H3" s="795"/>
      <c r="I3" s="793" t="str">
        <f>+'Introducerea datelor'!B16</f>
        <v>Perioada de Raportare:</v>
      </c>
      <c r="J3" s="793"/>
      <c r="K3" s="193" t="str">
        <f>+'Introducerea datelor'!C16</f>
        <v>P8</v>
      </c>
      <c r="L3" s="83"/>
    </row>
    <row r="4" spans="2:15">
      <c r="B4" s="132" t="str">
        <f>+'Introducerea datelor'!B12</f>
        <v>Ultimul Rating:</v>
      </c>
      <c r="C4" s="797" t="str">
        <f>+IF('Introducerea datelor'!C12="Please Select","",'Introducerea datelor'!C12)</f>
        <v>A2</v>
      </c>
      <c r="D4" s="797"/>
      <c r="E4" s="795" t="str">
        <f>+'Introducerea datelor'!C8</f>
        <v>PI "CIMU HSRP"</v>
      </c>
      <c r="F4" s="795"/>
      <c r="G4" s="795"/>
      <c r="H4" s="795"/>
      <c r="I4" s="793" t="str">
        <f>+'Introducerea datelor'!D16</f>
        <v>De la:</v>
      </c>
      <c r="J4" s="794"/>
      <c r="K4" s="195">
        <f>+IF(ISBLANK('Introducerea datelor'!E16),"",'Introducerea datelor'!E16)</f>
        <v>41456</v>
      </c>
    </row>
    <row r="5" spans="2:15" ht="49.5" customHeight="1">
      <c r="B5" s="132"/>
      <c r="C5" s="132"/>
      <c r="D5" s="792" t="str">
        <f>+'Introducerea datelor'!G4</f>
        <v>Scaling up Access to Prevention, Treatment and Care under the National Program for Prevention and Control of HIV/AIDS/STIs 2006-2010 and reducing morbidity, mortality and HIV-related impact on people living with HIV/AIDS, 2010-2014</v>
      </c>
      <c r="E5" s="792"/>
      <c r="F5" s="792"/>
      <c r="G5" s="792"/>
      <c r="H5" s="792"/>
      <c r="I5" s="792"/>
      <c r="J5" s="132" t="str">
        <f>+'Introducerea datelor'!F16</f>
        <v>Pînă la:</v>
      </c>
      <c r="K5" s="195">
        <f>+IF(ISBLANK('Introducerea datelor'!G16),"",'Introducerea datelor'!G16)</f>
        <v>41639</v>
      </c>
    </row>
    <row r="6" spans="2:15" ht="18.75">
      <c r="B6" s="136"/>
      <c r="C6" s="132"/>
      <c r="D6" s="133"/>
      <c r="E6" s="780" t="s">
        <v>56</v>
      </c>
      <c r="F6" s="780"/>
      <c r="G6" s="780"/>
      <c r="H6" s="780"/>
      <c r="I6" s="3"/>
      <c r="J6" s="3"/>
      <c r="K6" s="3"/>
    </row>
    <row r="7" spans="2:15" ht="10.5" customHeight="1">
      <c r="B7" s="137"/>
      <c r="C7" s="138"/>
      <c r="D7" s="139"/>
      <c r="E7" s="140"/>
      <c r="F7" s="140"/>
      <c r="G7" s="141"/>
      <c r="H7" s="141"/>
      <c r="I7" s="135"/>
      <c r="J7" s="135"/>
      <c r="K7" s="134"/>
    </row>
    <row r="8" spans="2:15">
      <c r="B8" s="198" t="str">
        <f>+'Introducerea datelor'!B27&amp; " - in ("&amp;'Introducerea datelor'!D26&amp;")         "&amp;+I3&amp;" "&amp;+K3</f>
        <v>F1: Bugetul și debursările de către Fondul Global - in (€)         Perioada de Raportare: P8</v>
      </c>
      <c r="C8" s="142"/>
      <c r="D8" s="2"/>
      <c r="E8" s="2"/>
      <c r="F8" s="2"/>
      <c r="H8" s="198" t="str">
        <f>+'Introducerea datelor'!B49&amp; " - in ("&amp;'Introducerea datelor'!D26&amp;")         "&amp;+I3&amp;" "&amp;+K3</f>
        <v>F3: Debursări și cheltuieli - in (€)         Perioada de Raportare: P8</v>
      </c>
      <c r="I8" s="3"/>
      <c r="J8" s="3"/>
      <c r="K8" s="3"/>
    </row>
    <row r="9" spans="2:15">
      <c r="B9" s="340" t="s">
        <v>3</v>
      </c>
      <c r="C9" s="788" t="s">
        <v>490</v>
      </c>
      <c r="D9" s="789"/>
      <c r="E9" s="789"/>
      <c r="F9" s="790"/>
      <c r="H9" s="341" t="s">
        <v>3</v>
      </c>
      <c r="I9" s="804" t="s">
        <v>491</v>
      </c>
      <c r="J9" s="789"/>
      <c r="K9" s="790"/>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32.25" customHeight="1">
      <c r="B22" s="199" t="str">
        <f>+'Introducerea datelor'!B36&amp; " - in ("&amp;'Introducerea datelor'!D26&amp;")  "&amp;+I3&amp;" "&amp;+K3</f>
        <v>F2: Bugetul și cheltuielile actuale după Obiectivele Grantului - in (€)  Perioada de Raportare: P8</v>
      </c>
      <c r="C22" s="2"/>
      <c r="D22" s="2"/>
      <c r="E22" s="2"/>
      <c r="F22" s="2"/>
      <c r="H22" s="791" t="str">
        <f>+'Introducerea datelor'!B58&amp;"  
"&amp;+I3&amp;" "&amp;+K3</f>
        <v>F4: Ultima perioadă de raportare și debursare a RP   
Perioada de Raportare: P8</v>
      </c>
      <c r="I22" s="791"/>
      <c r="J22" s="791"/>
      <c r="K22" s="791"/>
    </row>
    <row r="23" spans="1:11" ht="363.75" customHeight="1">
      <c r="B23" s="526" t="s">
        <v>4</v>
      </c>
      <c r="C23" s="801" t="s">
        <v>544</v>
      </c>
      <c r="D23" s="802"/>
      <c r="E23" s="802"/>
      <c r="F23" s="803"/>
      <c r="G23" s="528"/>
      <c r="H23" s="526" t="s">
        <v>3</v>
      </c>
      <c r="I23" s="798" t="s">
        <v>517</v>
      </c>
      <c r="J23" s="799"/>
      <c r="K23" s="800"/>
    </row>
    <row r="24" spans="1:11" ht="15.75" thickBot="1">
      <c r="B24" s="208"/>
      <c r="C24" s="208"/>
      <c r="D24" s="208"/>
      <c r="E24" s="208"/>
      <c r="F24" s="208"/>
      <c r="G24" s="208"/>
      <c r="H24" s="209"/>
      <c r="I24" s="209"/>
      <c r="J24" s="208"/>
      <c r="K24" s="208"/>
    </row>
    <row r="25" spans="1:11" ht="29.25" customHeight="1" thickBot="1">
      <c r="B25" s="3"/>
      <c r="C25" s="3"/>
      <c r="D25" s="3"/>
      <c r="E25" s="3"/>
      <c r="F25" s="3"/>
      <c r="G25" s="315"/>
      <c r="H25" s="781" t="s">
        <v>279</v>
      </c>
      <c r="I25" s="782"/>
      <c r="J25" s="782"/>
      <c r="K25" s="783"/>
    </row>
    <row r="26" spans="1:11" ht="24.75">
      <c r="B26" s="3"/>
      <c r="C26" s="3"/>
      <c r="D26" s="3"/>
      <c r="E26" s="3"/>
      <c r="F26" s="3"/>
      <c r="G26" s="276"/>
      <c r="H26" s="784"/>
      <c r="I26" s="785"/>
      <c r="J26" s="293" t="s">
        <v>54</v>
      </c>
      <c r="K26" s="294" t="s">
        <v>55</v>
      </c>
    </row>
    <row r="27" spans="1:11" ht="25.5" customHeight="1">
      <c r="B27" s="3"/>
      <c r="C27" s="3"/>
      <c r="D27" s="3"/>
      <c r="E27" s="3"/>
      <c r="F27" s="3"/>
      <c r="G27" s="316"/>
      <c r="H27" s="786" t="str">
        <f>'Introducerea datelor'!B62</f>
        <v>Zile necesare pentru remiterea PU/DR final către ALF</v>
      </c>
      <c r="I27" s="787"/>
      <c r="J27" s="295">
        <v>60</v>
      </c>
      <c r="K27" s="292">
        <f>+'Introducerea datelor'!D62</f>
        <v>50</v>
      </c>
    </row>
    <row r="28" spans="1:11" ht="25.5" customHeight="1">
      <c r="B28" s="3"/>
      <c r="C28" s="3"/>
      <c r="D28" s="3"/>
      <c r="E28" s="3"/>
      <c r="F28" s="3"/>
      <c r="G28" s="316"/>
      <c r="H28" s="786" t="str">
        <f>'Introducerea datelor'!B63</f>
        <v>Zile necesare pentru debursare către RP</v>
      </c>
      <c r="I28" s="787"/>
      <c r="J28" s="295">
        <f>+'Introducerea datelor'!C63</f>
        <v>45</v>
      </c>
      <c r="K28" s="292">
        <f>+'Introducerea datelor'!D63</f>
        <v>95</v>
      </c>
    </row>
    <row r="29" spans="1:11" ht="25.5" customHeight="1" thickBot="1">
      <c r="B29" s="3"/>
      <c r="C29" s="3"/>
      <c r="D29" s="3"/>
      <c r="E29" s="3"/>
      <c r="F29" s="3"/>
      <c r="G29" s="316"/>
      <c r="H29" s="805" t="str">
        <f>'Introducerea datelor'!B64</f>
        <v>Zile necesare pentru debursare către SR</v>
      </c>
      <c r="I29" s="806"/>
      <c r="J29" s="296">
        <f>+'Introducerea datelor'!C64</f>
        <v>20</v>
      </c>
      <c r="K29" s="297">
        <f>+'Introducerea datelor'!D64</f>
        <v>2</v>
      </c>
    </row>
    <row r="30" spans="1:11">
      <c r="B30" s="3"/>
      <c r="C30" s="3"/>
      <c r="D30" s="3"/>
      <c r="E30" s="3"/>
      <c r="F30" s="3"/>
      <c r="G30" s="3"/>
      <c r="H30" s="3"/>
      <c r="I30" s="3"/>
      <c r="J30" s="3"/>
      <c r="K30" s="3"/>
    </row>
    <row r="31" spans="1:11">
      <c r="B31" s="3"/>
      <c r="C31" s="15"/>
      <c r="D31" s="229"/>
      <c r="E31" s="3"/>
      <c r="F31" s="3"/>
      <c r="G31" s="3"/>
      <c r="H31" s="3"/>
      <c r="I31" s="3"/>
      <c r="J31" s="3"/>
      <c r="K31" s="3"/>
    </row>
    <row r="32" spans="1:11">
      <c r="B32" s="3"/>
      <c r="C32" s="15"/>
      <c r="D32" s="229"/>
      <c r="E32" s="3"/>
      <c r="F32" s="3"/>
      <c r="G32" s="3"/>
      <c r="H32" s="3"/>
      <c r="I32" s="3"/>
      <c r="J32" s="3"/>
      <c r="K32" s="3"/>
    </row>
    <row r="34" spans="5:5">
      <c r="E34" s="19"/>
    </row>
  </sheetData>
  <mergeCells count="1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H22:K22"/>
    <mergeCell ref="I23:K23"/>
    <mergeCell ref="C23:F23"/>
    <mergeCell ref="I9:K9"/>
  </mergeCells>
  <phoneticPr fontId="30" type="noConversion"/>
  <conditionalFormatting sqref="K27:K29">
    <cfRule type="cellIs" dxfId="44" priority="4" stopIfTrue="1" operator="greaterThan">
      <formula>J27</formula>
    </cfRule>
    <cfRule type="cellIs" dxfId="43" priority="5" stopIfTrue="1" operator="between">
      <formula>J27</formula>
      <formula>1</formula>
    </cfRule>
    <cfRule type="cellIs" dxfId="42" priority="6" stopIfTrue="1" operator="equal">
      <formula>0</formula>
    </cfRule>
  </conditionalFormatting>
  <conditionalFormatting sqref="C4:D4">
    <cfRule type="cellIs" dxfId="41" priority="1" stopIfTrue="1" operator="equal">
      <formula>"C"</formula>
    </cfRule>
    <cfRule type="cellIs" dxfId="40" priority="2" stopIfTrue="1" operator="equal">
      <formula>"B2"</formula>
    </cfRule>
    <cfRule type="cellIs" dxfId="39" priority="3" stopIfTrue="1" operator="equal">
      <formula>"B1"</formula>
    </cfRule>
  </conditionalFormatting>
  <pageMargins left="0.25" right="0.25" top="0.75" bottom="0.75" header="0.3" footer="0.3"/>
  <pageSetup paperSize="9" scale="75" orientation="portrait"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sheetPr codeName="Sheet6">
    <tabColor indexed="41"/>
  </sheetPr>
  <dimension ref="A1:P35"/>
  <sheetViews>
    <sheetView showGridLines="0" view="pageLayout" zoomScale="85" zoomScaleNormal="100" zoomScalePageLayoutView="85" workbookViewId="0">
      <selection activeCell="L41" sqref="L41"/>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25"/>
      <c r="E1" s="226"/>
    </row>
    <row r="2" spans="1:16" ht="27.75" customHeight="1">
      <c r="B2" s="824" t="str">
        <f>+"Dashboard:  "&amp;"  "&amp;IF(+'Introducerea datelor'!C4="Please Select","",'Introducerea datelor'!C4&amp;" - ")&amp;IF('Introducerea datelor'!G6="Please Select","",'Introducerea datelor'!G6)</f>
        <v>Dashboard:    Moldova - HIV / AIDS</v>
      </c>
      <c r="C2" s="824"/>
      <c r="D2" s="824"/>
      <c r="E2" s="824"/>
      <c r="F2" s="824"/>
      <c r="G2" s="824"/>
      <c r="H2" s="824"/>
      <c r="I2" s="824"/>
      <c r="J2" s="824"/>
      <c r="K2" s="824"/>
      <c r="L2" s="824"/>
      <c r="M2" s="26"/>
      <c r="N2" s="26"/>
      <c r="O2" s="26"/>
      <c r="P2" s="26"/>
    </row>
    <row r="3" spans="1:16">
      <c r="B3" s="24" t="str">
        <f>+IF('Introducerea datelor'!G8="Please Select","",'Introducerea datelor'!G8)</f>
        <v/>
      </c>
      <c r="C3" s="822" t="str">
        <f>+IF('Introducerea datelor'!I8="Please Select","",'Introducerea datelor'!I8)</f>
        <v>Faza 2</v>
      </c>
      <c r="D3" s="822"/>
      <c r="E3" s="823"/>
      <c r="F3" s="823"/>
      <c r="G3" s="823"/>
      <c r="H3" s="823"/>
      <c r="I3" s="823"/>
      <c r="J3" s="810" t="str">
        <f>+'Introducerea datelor'!B16</f>
        <v>Perioada de Raportare:</v>
      </c>
      <c r="K3" s="810"/>
      <c r="L3" s="193" t="str">
        <f>+'Introducerea datelor'!C16</f>
        <v>P8</v>
      </c>
    </row>
    <row r="4" spans="1:16">
      <c r="B4" s="24" t="str">
        <f>+'Introducerea datelor'!B12</f>
        <v>Ultimul Rating:</v>
      </c>
      <c r="C4" s="797" t="str">
        <f>+IF('Introducerea datelor'!C12="Please Select","",'Introducerea datelor'!C12)</f>
        <v>A2</v>
      </c>
      <c r="D4" s="797"/>
      <c r="E4" s="823" t="str">
        <f>+'Introducerea datelor'!C8</f>
        <v>PI "CIMU HSRP"</v>
      </c>
      <c r="F4" s="823"/>
      <c r="G4" s="823"/>
      <c r="H4" s="823"/>
      <c r="I4" s="823"/>
      <c r="J4" s="810" t="str">
        <f>+'Introducerea datelor'!D16</f>
        <v>De la:</v>
      </c>
      <c r="K4" s="811"/>
      <c r="L4" s="195">
        <f>+IF(ISBLANK('Introducerea datelor'!E16),"",'Introducerea datelor'!E16)</f>
        <v>41456</v>
      </c>
    </row>
    <row r="5" spans="1:16" ht="31.5" customHeight="1">
      <c r="B5" s="24"/>
      <c r="C5" s="24"/>
      <c r="D5" s="814" t="str">
        <f>+'Introducerea datelor'!G4</f>
        <v>Scaling up Access to Prevention, Treatment and Care under the National Program for Prevention and Control of HIV/AIDS/STIs 2006-2010 and reducing morbidity, mortality and HIV-related impact on people living with HIV/AIDS, 2010-2014</v>
      </c>
      <c r="E5" s="814"/>
      <c r="F5" s="814"/>
      <c r="G5" s="814"/>
      <c r="H5" s="814"/>
      <c r="I5" s="814"/>
      <c r="J5" s="814"/>
      <c r="K5" s="24" t="str">
        <f>+'Introducerea datelor'!F16</f>
        <v>Pînă la:</v>
      </c>
      <c r="L5" s="195">
        <f>+IF(ISBLANK('Introducerea datelor'!G16),"",'Introducerea datelor'!G16)</f>
        <v>41639</v>
      </c>
    </row>
    <row r="6" spans="1:16" ht="18.75">
      <c r="B6" s="23"/>
      <c r="C6" s="24"/>
      <c r="D6" s="25"/>
      <c r="E6" s="825" t="s">
        <v>57</v>
      </c>
      <c r="F6" s="825"/>
      <c r="G6" s="825"/>
      <c r="H6" s="825"/>
      <c r="I6" s="825"/>
    </row>
    <row r="7" spans="1:16">
      <c r="B7" s="367" t="str">
        <f>+'Introducerea datelor'!B69&amp;"   "&amp;+J3&amp;" "&amp;+L3</f>
        <v>M1: Statutul Condițiilor Precedente și a Acțiunilor Prestabilite în Timp    Perioada de Raportare: P8</v>
      </c>
      <c r="C7" s="21"/>
      <c r="H7" s="367" t="str">
        <f>+'Introducerea datelor'!B76&amp;"   "&amp;+J3&amp;"  "&amp;+L3</f>
        <v>M2: Statutul pozițiilor cheie a RP    Perioada de Raportare:  P8</v>
      </c>
    </row>
    <row r="8" spans="1:16" ht="24" customHeight="1">
      <c r="B8" s="342" t="s">
        <v>3</v>
      </c>
      <c r="C8" s="815" t="s">
        <v>493</v>
      </c>
      <c r="D8" s="816"/>
      <c r="E8" s="816"/>
      <c r="F8" s="817"/>
      <c r="G8" s="368"/>
      <c r="H8" s="341" t="s">
        <v>3</v>
      </c>
      <c r="I8" s="804" t="s">
        <v>518</v>
      </c>
      <c r="J8" s="812"/>
      <c r="K8" s="812"/>
      <c r="L8" s="813"/>
    </row>
    <row r="9" spans="1:16" ht="30" customHeight="1">
      <c r="B9" s="19"/>
      <c r="C9" s="19"/>
      <c r="D9" s="19"/>
      <c r="E9" s="19"/>
      <c r="F9" s="19"/>
      <c r="G9" s="19"/>
      <c r="H9" s="19"/>
    </row>
    <row r="10" spans="1:16">
      <c r="A10" s="47"/>
      <c r="B10" s="19"/>
      <c r="C10" s="19"/>
      <c r="D10" s="821"/>
      <c r="E10" s="553"/>
      <c r="F10" s="553"/>
      <c r="G10" s="202"/>
      <c r="H10" s="19"/>
      <c r="N10" s="49"/>
      <c r="O10" s="49"/>
      <c r="P10" s="48"/>
    </row>
    <row r="11" spans="1:16">
      <c r="B11" s="19"/>
      <c r="C11" s="28"/>
      <c r="D11" s="821"/>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67" t="str">
        <f>+'Introducerea datelor'!B81&amp;"     "&amp;+J3&amp;" "&amp;+L3</f>
        <v>M3: Aranjamente contractuale (SR)      Perioada de Raportare: P8</v>
      </c>
      <c r="H15" s="367" t="str">
        <f>+'Introducerea datelor'!B86&amp;"          "&amp;+J3&amp;" "&amp;+L3</f>
        <v>M4: Numărul rapoartelor complete recepționate la timp          Perioada de Raportare: P8</v>
      </c>
    </row>
    <row r="16" spans="1:16" ht="26.25" customHeight="1">
      <c r="B16" s="342" t="s">
        <v>3</v>
      </c>
      <c r="C16" s="815" t="s">
        <v>492</v>
      </c>
      <c r="D16" s="827"/>
      <c r="E16" s="827"/>
      <c r="F16" s="828"/>
      <c r="G16" s="368"/>
      <c r="H16" s="341" t="s">
        <v>3</v>
      </c>
      <c r="I16" s="815" t="s">
        <v>521</v>
      </c>
      <c r="J16" s="816"/>
      <c r="K16" s="816"/>
      <c r="L16" s="817"/>
    </row>
    <row r="17" spans="2:16">
      <c r="B17" s="29"/>
      <c r="H17" s="30"/>
    </row>
    <row r="18" spans="2:16">
      <c r="M18" s="83"/>
    </row>
    <row r="26" spans="2:16" ht="41.25" customHeight="1">
      <c r="B26" s="826" t="str">
        <f>+'Introducerea datelor'!B92</f>
        <v xml:space="preserve">M5: Bugetul și Procurarea produselor medicale, echipamentului medical, medicamentelor și produselor farmaceutice </v>
      </c>
      <c r="C26" s="826"/>
      <c r="D26" s="826"/>
      <c r="E26" s="826"/>
      <c r="F26" s="826"/>
      <c r="H26" s="367" t="str">
        <f>+'Introducerea datelor'!B105&amp;"      "&amp;+J3&amp;"  "&amp;+L3</f>
        <v>M6: Diferență între stocul curent și stocul de siguranță      Perioada de Raportare:  P8</v>
      </c>
    </row>
    <row r="27" spans="2:16" s="527" customFormat="1" ht="69.75" customHeight="1">
      <c r="B27" s="524" t="s">
        <v>3</v>
      </c>
      <c r="C27" s="830" t="s">
        <v>514</v>
      </c>
      <c r="D27" s="831"/>
      <c r="E27" s="831"/>
      <c r="F27" s="832"/>
      <c r="G27" s="525"/>
      <c r="H27" s="526" t="s">
        <v>3</v>
      </c>
      <c r="I27" s="818" t="s">
        <v>516</v>
      </c>
      <c r="J27" s="819"/>
      <c r="K27" s="819"/>
      <c r="L27" s="820"/>
      <c r="N27" s="529"/>
      <c r="O27" s="529"/>
      <c r="P27" s="529"/>
    </row>
    <row r="28" spans="2:16" ht="15.75" thickBot="1"/>
    <row r="29" spans="2:16" ht="44.25" customHeight="1">
      <c r="F29" s="322"/>
      <c r="G29" s="322"/>
      <c r="H29" s="531" t="s">
        <v>26</v>
      </c>
      <c r="I29" s="318" t="s">
        <v>67</v>
      </c>
      <c r="J29" s="339" t="s">
        <v>300</v>
      </c>
      <c r="K29" s="213" t="s">
        <v>295</v>
      </c>
      <c r="L29" s="319" t="s">
        <v>294</v>
      </c>
    </row>
    <row r="30" spans="2:16" ht="15" customHeight="1">
      <c r="F30" s="322"/>
      <c r="G30" s="322"/>
      <c r="H30" s="807" t="str">
        <f>+'Introducerea datelor'!B108</f>
        <v>Please Select</v>
      </c>
      <c r="I30" s="320" t="str">
        <f>+'Introducerea datelor'!C108</f>
        <v>Please Select</v>
      </c>
      <c r="J30" s="436" t="str">
        <f>+'Introducerea datelor'!I108</f>
        <v/>
      </c>
      <c r="K30" s="437">
        <f>+'Introducerea datelor'!J108</f>
        <v>0</v>
      </c>
      <c r="L30" s="414" t="str">
        <f>+'Introducerea datelor'!K108</f>
        <v/>
      </c>
    </row>
    <row r="31" spans="2:16">
      <c r="F31" s="322"/>
      <c r="G31" s="322"/>
      <c r="H31" s="808"/>
      <c r="I31" s="320" t="str">
        <f>+'Introducerea datelor'!C109</f>
        <v>Please Select</v>
      </c>
      <c r="J31" s="436" t="str">
        <f>+'Introducerea datelor'!I109</f>
        <v/>
      </c>
      <c r="K31" s="437">
        <f>+'Introducerea datelor'!J109</f>
        <v>0</v>
      </c>
      <c r="L31" s="415" t="str">
        <f>+'Introducerea datelor'!K109</f>
        <v/>
      </c>
    </row>
    <row r="32" spans="2:16">
      <c r="F32" s="322"/>
      <c r="G32" s="322"/>
      <c r="H32" s="808"/>
      <c r="I32" s="320" t="str">
        <f>+'Introducerea datelor'!C110</f>
        <v>Please Select</v>
      </c>
      <c r="J32" s="436" t="str">
        <f>+'Introducerea datelor'!I110</f>
        <v/>
      </c>
      <c r="K32" s="437">
        <f>+'Introducerea datelor'!J110</f>
        <v>0</v>
      </c>
      <c r="L32" s="414" t="str">
        <f>+'Introducerea datelor'!K110</f>
        <v/>
      </c>
    </row>
    <row r="33" spans="2:12" ht="15.75" thickBot="1">
      <c r="F33" s="322"/>
      <c r="G33" s="322"/>
      <c r="H33" s="809"/>
      <c r="I33" s="321" t="str">
        <f>+'Introducerea datelor'!C111</f>
        <v>Please Select</v>
      </c>
      <c r="J33" s="438" t="str">
        <f>+'Introducerea datelor'!I111</f>
        <v/>
      </c>
      <c r="K33" s="439">
        <f>+'Introducerea datelor'!J111</f>
        <v>0</v>
      </c>
      <c r="L33" s="414" t="str">
        <f>+'Introducerea datelor'!K111</f>
        <v/>
      </c>
    </row>
    <row r="34" spans="2:12" ht="24.75" customHeight="1">
      <c r="B34" s="829" t="str">
        <f>+'Introducerea datelor'!B102</f>
        <v>* Include numai EFR categoriile 4 și 5  (Produse medicale și Echipamente medicale &amp; Medicamente și Produse farmaceutice)</v>
      </c>
      <c r="C34" s="829"/>
      <c r="D34" s="829"/>
      <c r="E34" s="829"/>
      <c r="F34" s="19"/>
      <c r="G34" s="19"/>
      <c r="H34" s="210"/>
      <c r="I34" s="211"/>
      <c r="J34" s="212"/>
      <c r="K34" s="202"/>
      <c r="L34" s="20"/>
    </row>
    <row r="35" spans="2:12">
      <c r="F35" s="19"/>
      <c r="G35" s="19"/>
      <c r="H35" s="19"/>
      <c r="I35" s="19"/>
      <c r="J35" s="19"/>
      <c r="K35" s="19"/>
      <c r="L35" s="19"/>
    </row>
  </sheetData>
  <mergeCells count="20">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 ref="B26:F26"/>
    <mergeCell ref="C16:F16"/>
    <mergeCell ref="E10:F10"/>
    <mergeCell ref="C8:F8"/>
  </mergeCells>
  <phoneticPr fontId="30" type="noConversion"/>
  <conditionalFormatting sqref="D12:D13">
    <cfRule type="cellIs" dxfId="38" priority="1" stopIfTrue="1" operator="greaterThan">
      <formula>0</formula>
    </cfRule>
  </conditionalFormatting>
  <conditionalFormatting sqref="E12:E13">
    <cfRule type="cellIs" dxfId="37" priority="2" stopIfTrue="1" operator="greaterThan">
      <formula>0</formula>
    </cfRule>
  </conditionalFormatting>
  <conditionalFormatting sqref="F12:G13">
    <cfRule type="cellIs" dxfId="36" priority="3" stopIfTrue="1" operator="greaterThan">
      <formula>0</formula>
    </cfRule>
  </conditionalFormatting>
  <conditionalFormatting sqref="C4:D4">
    <cfRule type="cellIs" dxfId="35" priority="4" stopIfTrue="1" operator="equal">
      <formula>"C"</formula>
    </cfRule>
    <cfRule type="cellIs" dxfId="34" priority="5" stopIfTrue="1" operator="equal">
      <formula>"B2"</formula>
    </cfRule>
    <cfRule type="cellIs" dxfId="33" priority="6" stopIfTrue="1" operator="equal">
      <formula>"B1"</formula>
    </cfRule>
  </conditionalFormatting>
  <conditionalFormatting sqref="L30 L32:L33">
    <cfRule type="cellIs" dxfId="32" priority="13" stopIfTrue="1" operator="lessThan">
      <formula>1</formula>
    </cfRule>
    <cfRule type="cellIs" dxfId="31" priority="14" stopIfTrue="1" operator="between">
      <formula>3</formula>
      <formula>17</formula>
    </cfRule>
    <cfRule type="cellIs" dxfId="30" priority="15" stopIfTrue="1" operator="between">
      <formula>1</formula>
      <formula>3</formula>
    </cfRule>
  </conditionalFormatting>
  <conditionalFormatting sqref="L31">
    <cfRule type="cellIs" dxfId="29" priority="16" stopIfTrue="1" operator="lessThan">
      <formula>1</formula>
    </cfRule>
    <cfRule type="cellIs" dxfId="28" priority="17" stopIfTrue="1" operator="between">
      <formula>3</formula>
      <formula>100</formula>
    </cfRule>
    <cfRule type="cellIs" dxfId="27" priority="18" stopIfTrue="1" operator="between">
      <formula>1</formula>
      <formula>3</formula>
    </cfRule>
  </conditionalFormatting>
  <pageMargins left="0.25" right="0.25" top="0.75" bottom="0.75" header="0.3" footer="0.3"/>
  <pageSetup paperSize="9" scale="67" orientation="portrait" r:id="rId1"/>
  <headerFooter alignWithMargins="0">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sheetPr codeName="Sheet7">
    <tabColor indexed="41"/>
  </sheetPr>
  <dimension ref="A1:AI46"/>
  <sheetViews>
    <sheetView showGridLines="0" view="pageBreakPreview" topLeftCell="A9" zoomScale="60" zoomScaleNormal="100" zoomScalePageLayoutView="70" workbookViewId="0">
      <selection activeCell="AI25" sqref="AI25"/>
    </sheetView>
  </sheetViews>
  <sheetFormatPr defaultColWidth="11" defaultRowHeight="15"/>
  <cols>
    <col min="1" max="1" width="0.42578125" customWidth="1"/>
    <col min="2" max="2" width="13.8554687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5703125" customWidth="1"/>
    <col min="15" max="15" width="8.5703125" customWidth="1"/>
    <col min="16" max="16" width="10.7109375" customWidth="1"/>
    <col min="17" max="17" width="11.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840" t="str">
        <f>+"Dashboard:  "&amp;"  "&amp;IF(+'Introducerea datelor'!C4="Please Select","",'Introducerea datelor'!C4&amp;" - ")&amp;IF('Introducerea datelor'!G6="Please Select","",'Introducerea datelor'!G6)</f>
        <v>Dashboard:    Moldova - HIV / AIDS</v>
      </c>
      <c r="C2" s="840"/>
      <c r="D2" s="840"/>
      <c r="E2" s="840"/>
      <c r="F2" s="840"/>
      <c r="G2" s="840"/>
      <c r="H2" s="840"/>
      <c r="I2" s="840"/>
      <c r="J2" s="840"/>
      <c r="K2" s="840"/>
      <c r="L2" s="840"/>
      <c r="M2" s="840"/>
      <c r="N2" s="840"/>
      <c r="O2" s="840"/>
      <c r="P2" s="840"/>
      <c r="Q2" s="840"/>
    </row>
    <row r="3" spans="1:35" ht="18.75">
      <c r="A3" s="3"/>
      <c r="B3" s="132" t="str">
        <f>+IF('Introducerea datelor'!G8="Please Select","",'Introducerea datelor'!G8)</f>
        <v/>
      </c>
      <c r="C3" s="796" t="str">
        <f>+IF('Introducerea datelor'!I8="Please Select","",'Introducerea datelor'!I8)</f>
        <v>Faza 2</v>
      </c>
      <c r="D3" s="796"/>
      <c r="E3" s="795"/>
      <c r="F3" s="795"/>
      <c r="G3" s="795"/>
      <c r="H3" s="795"/>
      <c r="I3" s="844"/>
      <c r="J3" s="844"/>
      <c r="K3" s="844"/>
      <c r="L3" s="3"/>
      <c r="M3" s="3"/>
      <c r="O3" s="793" t="str">
        <f>+'Introducerea datelor'!B16</f>
        <v>Perioada de Raportare:</v>
      </c>
      <c r="P3" s="793"/>
      <c r="Q3" s="501" t="str">
        <f>+'Introducerea datelor'!C16</f>
        <v>P8</v>
      </c>
      <c r="S3" s="36"/>
    </row>
    <row r="4" spans="1:35" ht="12" customHeight="1">
      <c r="A4" s="3"/>
      <c r="B4" s="132" t="str">
        <f>+'Introducerea datelor'!B12</f>
        <v>Ultimul Rating:</v>
      </c>
      <c r="C4" s="845" t="str">
        <f>+IF('Introducerea datelor'!C12="Please Select","",'Introducerea datelor'!C12)</f>
        <v>A2</v>
      </c>
      <c r="D4" s="845"/>
      <c r="E4" s="795" t="str">
        <f>+'Introducerea datelor'!C8</f>
        <v>PI "CIMU HSRP"</v>
      </c>
      <c r="F4" s="795"/>
      <c r="G4" s="795"/>
      <c r="H4" s="795"/>
      <c r="I4" s="795"/>
      <c r="J4" s="795"/>
      <c r="K4" s="795"/>
      <c r="L4" s="795"/>
      <c r="M4" s="3"/>
      <c r="O4" s="324"/>
      <c r="P4" s="132" t="str">
        <f>+'Introducerea datelor'!D16</f>
        <v>De la:</v>
      </c>
      <c r="Q4" s="325">
        <f>+IF(ISBLANK('Introducerea datelor'!E16),"",'Introducerea datelor'!E16)</f>
        <v>41456</v>
      </c>
      <c r="S4" s="36"/>
      <c r="Y4" s="71"/>
      <c r="Z4" s="71"/>
      <c r="AA4" s="71"/>
      <c r="AB4" s="71"/>
      <c r="AC4" s="71"/>
    </row>
    <row r="5" spans="1:35" ht="54.75" customHeight="1">
      <c r="A5" s="3"/>
      <c r="B5" s="132"/>
      <c r="C5" s="132"/>
      <c r="D5" s="841" t="str">
        <f>+'Introducerea datelor'!G4</f>
        <v>Scaling up Access to Prevention, Treatment and Care under the National Program for Prevention and Control of HIV/AIDS/STIs 2006-2010 and reducing morbidity, mortality and HIV-related impact on people living with HIV/AIDS, 2010-2014</v>
      </c>
      <c r="E5" s="841"/>
      <c r="F5" s="841"/>
      <c r="G5" s="841"/>
      <c r="H5" s="841"/>
      <c r="I5" s="841"/>
      <c r="J5" s="841"/>
      <c r="K5" s="841"/>
      <c r="L5" s="841"/>
      <c r="M5" s="841"/>
      <c r="N5" s="841"/>
      <c r="P5" s="132" t="str">
        <f>+'Introducerea datelor'!F16</f>
        <v>Pînă la:</v>
      </c>
      <c r="Q5" s="325">
        <f>+IF(ISBLANK('Introducerea datelor'!G16),"",'Introducerea datelor'!G16)</f>
        <v>41639</v>
      </c>
      <c r="S5" s="505"/>
      <c r="T5" s="220"/>
      <c r="U5" s="220"/>
      <c r="V5" s="220"/>
      <c r="W5" s="220"/>
      <c r="X5" s="220"/>
      <c r="Y5" s="71"/>
      <c r="Z5" s="71"/>
      <c r="AA5" s="71" t="s">
        <v>36</v>
      </c>
      <c r="AB5" s="71"/>
      <c r="AC5" s="71" t="s">
        <v>245</v>
      </c>
      <c r="AD5" s="220"/>
      <c r="AE5" s="220"/>
      <c r="AF5" s="220"/>
      <c r="AG5" s="220"/>
      <c r="AH5" s="220"/>
      <c r="AI5" s="220"/>
    </row>
    <row r="6" spans="1:35" ht="19.5" customHeight="1">
      <c r="A6" s="3"/>
      <c r="B6" s="132"/>
      <c r="C6" s="132"/>
      <c r="D6" s="218"/>
      <c r="E6" s="218"/>
      <c r="F6" s="843" t="s">
        <v>325</v>
      </c>
      <c r="G6" s="843"/>
      <c r="H6" s="843"/>
      <c r="I6" s="843"/>
      <c r="J6" s="843"/>
      <c r="K6" s="843"/>
      <c r="L6" s="218"/>
      <c r="M6" s="3"/>
      <c r="N6" s="3"/>
      <c r="O6" s="196"/>
      <c r="P6" s="249"/>
      <c r="S6" s="505"/>
      <c r="T6" s="220"/>
      <c r="U6" s="220"/>
      <c r="V6" s="220"/>
      <c r="W6" s="220"/>
      <c r="X6" s="220"/>
      <c r="Y6" s="71"/>
      <c r="Z6" s="71"/>
      <c r="AA6" s="71"/>
      <c r="AB6" s="71"/>
      <c r="AC6" s="71"/>
      <c r="AD6" s="220"/>
      <c r="AE6" s="220"/>
      <c r="AF6" s="220"/>
      <c r="AG6" s="220"/>
      <c r="AH6" s="220"/>
      <c r="AI6" s="220"/>
    </row>
    <row r="7" spans="1:35" ht="3" customHeight="1">
      <c r="A7" s="3"/>
      <c r="B7" s="132"/>
      <c r="C7" s="132"/>
      <c r="D7" s="218"/>
      <c r="E7" s="218"/>
      <c r="F7" s="218"/>
      <c r="G7" s="218"/>
      <c r="H7" s="218"/>
      <c r="I7" s="218"/>
      <c r="J7" s="218"/>
      <c r="K7" s="218"/>
      <c r="L7" s="218"/>
      <c r="M7" s="3"/>
      <c r="N7" s="3"/>
      <c r="O7" s="196"/>
      <c r="P7" s="195"/>
      <c r="Q7" s="195"/>
      <c r="S7" s="220"/>
      <c r="T7" s="220"/>
      <c r="U7" s="220"/>
      <c r="V7" s="220"/>
      <c r="W7" s="220"/>
      <c r="X7" s="220"/>
      <c r="Y7" s="71"/>
      <c r="Z7" s="71"/>
      <c r="AA7" s="71"/>
      <c r="AB7" s="71"/>
      <c r="AC7" s="71"/>
      <c r="AD7" s="220"/>
      <c r="AE7" s="220"/>
      <c r="AF7" s="220"/>
      <c r="AG7" s="220"/>
      <c r="AH7" s="220"/>
      <c r="AI7" s="220"/>
    </row>
    <row r="8" spans="1:35" ht="54.75" customHeight="1">
      <c r="A8" s="3"/>
      <c r="B8" s="873" t="str">
        <f>+'Introducerea datelor'!B125</f>
        <v>Number and percentage of injecting drug users (IDUs) reached with prevention programmes  // Numărul şi procentul utilizatorilor de droguri injectabile (UDI) cuprinşi în programele de prevenire</v>
      </c>
      <c r="C8" s="874"/>
      <c r="D8" s="874"/>
      <c r="E8" s="874"/>
      <c r="F8" s="842" t="str">
        <f>+'Introducerea datelor'!B119</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G8" s="842"/>
      <c r="H8" s="842"/>
      <c r="I8" s="842"/>
      <c r="J8" s="842"/>
      <c r="K8" s="842"/>
      <c r="L8" s="842" t="str">
        <f>+'Introducerea datelor'!B121</f>
        <v>Number of people with advanced HIV infection that have started antiretroviral combination therapy // Numărul pesoanelor cu infecţia HIV/SIDA avansată care au initiat tratament antiretroviral combinat</v>
      </c>
      <c r="M8" s="842"/>
      <c r="N8" s="842"/>
      <c r="O8" s="842"/>
      <c r="P8" s="842"/>
      <c r="Q8" s="842"/>
      <c r="S8" s="220"/>
      <c r="T8" s="220"/>
      <c r="U8" s="220"/>
      <c r="V8" s="220"/>
      <c r="W8" s="220"/>
      <c r="X8" s="220"/>
      <c r="Y8" s="71"/>
      <c r="Z8" s="71"/>
      <c r="AA8" s="71"/>
      <c r="AB8" s="71"/>
      <c r="AC8" s="71"/>
      <c r="AD8" s="220"/>
      <c r="AE8" s="220"/>
      <c r="AF8" s="220"/>
      <c r="AG8" s="220"/>
      <c r="AH8" s="220"/>
      <c r="AI8" s="220"/>
    </row>
    <row r="9" spans="1:35" ht="114.75" customHeight="1">
      <c r="A9" s="3"/>
      <c r="B9" s="462" t="s">
        <v>335</v>
      </c>
      <c r="C9" s="859" t="s">
        <v>533</v>
      </c>
      <c r="D9" s="860"/>
      <c r="E9" s="861"/>
      <c r="F9" s="462" t="s">
        <v>336</v>
      </c>
      <c r="G9" s="862" t="s">
        <v>522</v>
      </c>
      <c r="H9" s="863"/>
      <c r="I9" s="863"/>
      <c r="J9" s="863"/>
      <c r="K9" s="864"/>
      <c r="L9" s="462" t="s">
        <v>337</v>
      </c>
      <c r="M9" s="862" t="s">
        <v>524</v>
      </c>
      <c r="N9" s="871"/>
      <c r="O9" s="871"/>
      <c r="P9" s="871"/>
      <c r="Q9" s="872"/>
      <c r="S9" s="220"/>
      <c r="T9" s="220"/>
      <c r="U9" s="220"/>
      <c r="V9" s="220"/>
      <c r="W9" s="220"/>
      <c r="X9" s="220"/>
      <c r="Y9" s="220"/>
      <c r="Z9" s="220"/>
      <c r="AA9" s="220"/>
      <c r="AB9" s="220"/>
      <c r="AC9" s="220"/>
      <c r="AD9" s="220"/>
      <c r="AE9" s="220"/>
      <c r="AF9" s="220"/>
      <c r="AG9" s="220"/>
      <c r="AH9" s="220"/>
      <c r="AI9" s="220"/>
    </row>
    <row r="10" spans="1:35" ht="18.75" customHeight="1">
      <c r="A10" s="3"/>
      <c r="B10" s="132"/>
      <c r="C10" s="132"/>
      <c r="D10" s="218"/>
      <c r="E10" s="218"/>
      <c r="F10" s="218"/>
      <c r="G10" s="218"/>
      <c r="H10" s="218"/>
      <c r="I10" s="218"/>
      <c r="J10" s="218"/>
      <c r="K10" s="218"/>
      <c r="L10" s="218"/>
      <c r="M10" s="3"/>
      <c r="N10" s="3"/>
      <c r="O10" s="196"/>
      <c r="P10" s="195"/>
      <c r="S10" s="220"/>
      <c r="T10" s="220"/>
      <c r="U10" s="220"/>
      <c r="V10" s="220"/>
      <c r="W10" s="220"/>
      <c r="X10" s="220"/>
      <c r="Y10" s="220"/>
      <c r="Z10" s="220"/>
      <c r="AA10" s="220"/>
      <c r="AB10" s="220"/>
      <c r="AC10" s="220"/>
      <c r="AD10" s="220"/>
      <c r="AE10" s="220"/>
      <c r="AF10" s="220"/>
      <c r="AG10" s="220"/>
      <c r="AH10" s="220"/>
      <c r="AI10" s="220"/>
    </row>
    <row r="11" spans="1:35" ht="18.75" customHeight="1">
      <c r="A11" s="3"/>
      <c r="B11" s="132"/>
      <c r="C11" s="132"/>
      <c r="D11" s="218"/>
      <c r="E11" s="218"/>
      <c r="F11" s="218"/>
      <c r="G11" s="218"/>
      <c r="H11" s="218"/>
      <c r="I11" s="218"/>
      <c r="J11" s="218"/>
      <c r="K11" s="218"/>
      <c r="L11" s="218"/>
      <c r="M11" s="3"/>
      <c r="N11" s="3"/>
      <c r="O11" s="196"/>
      <c r="P11" s="195"/>
      <c r="S11" s="220"/>
      <c r="T11" s="220"/>
      <c r="U11" s="220"/>
      <c r="V11" s="220"/>
      <c r="W11" s="220"/>
      <c r="X11" s="220"/>
      <c r="Y11" s="220"/>
      <c r="Z11" s="220"/>
      <c r="AA11" s="220"/>
      <c r="AB11" s="220"/>
      <c r="AC11" s="220"/>
      <c r="AD11" s="220"/>
      <c r="AE11" s="220"/>
      <c r="AF11" s="220"/>
      <c r="AG11" s="220"/>
      <c r="AH11" s="220"/>
      <c r="AI11" s="220"/>
    </row>
    <row r="12" spans="1:35" ht="18.75" customHeight="1">
      <c r="A12" s="3"/>
      <c r="B12" s="132"/>
      <c r="C12" s="132"/>
      <c r="D12" s="218"/>
      <c r="E12" s="218"/>
      <c r="F12" s="218"/>
      <c r="G12" s="218"/>
      <c r="H12" s="218"/>
      <c r="I12" s="218"/>
      <c r="J12" s="218"/>
      <c r="K12" s="218"/>
      <c r="L12" s="218"/>
      <c r="M12" s="3"/>
      <c r="N12" s="3"/>
      <c r="O12" s="196"/>
      <c r="P12" s="195"/>
      <c r="S12" s="220"/>
      <c r="T12" s="220"/>
      <c r="U12" s="220"/>
      <c r="V12" s="220"/>
      <c r="W12" s="220"/>
      <c r="X12" s="220"/>
      <c r="Y12" s="220"/>
      <c r="Z12" s="220"/>
      <c r="AA12" s="220"/>
      <c r="AB12" s="220"/>
      <c r="AC12" s="220"/>
      <c r="AD12" s="220"/>
      <c r="AE12" s="220"/>
      <c r="AF12" s="220"/>
      <c r="AG12" s="220"/>
      <c r="AH12" s="220"/>
      <c r="AI12" s="220"/>
    </row>
    <row r="13" spans="1:35" ht="18.75" customHeight="1">
      <c r="A13" s="3"/>
      <c r="B13" s="132"/>
      <c r="C13" s="132"/>
      <c r="D13" s="218"/>
      <c r="E13" s="218"/>
      <c r="F13" s="218"/>
      <c r="G13" s="218"/>
      <c r="H13" s="218"/>
      <c r="I13" s="218"/>
      <c r="J13" s="218"/>
      <c r="K13" s="218"/>
      <c r="L13" s="218"/>
      <c r="M13" s="3"/>
      <c r="N13" s="3"/>
      <c r="O13" s="196"/>
      <c r="P13" s="195"/>
      <c r="S13" s="220"/>
      <c r="T13" s="220"/>
      <c r="U13" s="220"/>
      <c r="V13" s="220"/>
      <c r="W13" s="220"/>
      <c r="X13" s="220"/>
      <c r="Y13" s="220"/>
      <c r="Z13" s="220"/>
      <c r="AA13" s="220"/>
      <c r="AB13" s="220"/>
      <c r="AC13" s="220"/>
      <c r="AD13" s="220"/>
      <c r="AE13" s="220"/>
      <c r="AF13" s="220"/>
      <c r="AG13" s="220"/>
      <c r="AH13" s="220"/>
      <c r="AI13" s="220"/>
    </row>
    <row r="14" spans="1:35" ht="18.75" customHeight="1">
      <c r="A14" s="3"/>
      <c r="B14" s="132"/>
      <c r="C14" s="132"/>
      <c r="D14" s="218"/>
      <c r="E14" s="218"/>
      <c r="F14" s="218"/>
      <c r="G14" s="218"/>
      <c r="H14" s="218"/>
      <c r="I14" s="218"/>
      <c r="J14" s="218"/>
      <c r="K14" s="218"/>
      <c r="L14" s="218"/>
      <c r="M14" s="3"/>
      <c r="N14" s="3"/>
      <c r="O14" s="196"/>
      <c r="P14" s="195"/>
      <c r="S14" s="220"/>
      <c r="T14" s="220"/>
      <c r="U14" s="220"/>
      <c r="V14" s="220"/>
      <c r="W14" s="220"/>
      <c r="X14" s="220"/>
      <c r="Y14" s="220"/>
      <c r="Z14" s="220"/>
      <c r="AA14" s="220"/>
      <c r="AB14" s="220"/>
      <c r="AC14" s="220"/>
      <c r="AD14" s="220"/>
      <c r="AE14" s="220"/>
      <c r="AF14" s="220"/>
      <c r="AG14" s="220"/>
      <c r="AH14" s="220"/>
      <c r="AI14" s="220"/>
    </row>
    <row r="15" spans="1:35" ht="18.75" customHeight="1">
      <c r="A15" s="3"/>
      <c r="B15" s="132"/>
      <c r="C15" s="132"/>
      <c r="D15" s="218"/>
      <c r="E15" s="218"/>
      <c r="F15" s="218"/>
      <c r="G15" s="218"/>
      <c r="H15" s="218"/>
      <c r="I15" s="218"/>
      <c r="J15" s="218"/>
      <c r="K15" s="218"/>
      <c r="L15" s="218"/>
      <c r="M15" s="3"/>
      <c r="N15" s="3"/>
      <c r="O15" s="196"/>
      <c r="P15" s="195"/>
      <c r="S15" s="220"/>
      <c r="T15" s="220"/>
      <c r="U15" s="220"/>
      <c r="V15" s="220"/>
      <c r="W15" s="220"/>
      <c r="X15" s="220"/>
      <c r="Y15" s="220"/>
      <c r="Z15" s="220"/>
      <c r="AA15" s="220"/>
      <c r="AB15" s="220"/>
      <c r="AC15" s="220"/>
      <c r="AD15" s="220"/>
      <c r="AE15" s="220"/>
      <c r="AF15" s="220"/>
      <c r="AG15" s="220"/>
      <c r="AH15" s="220"/>
      <c r="AI15" s="220"/>
    </row>
    <row r="16" spans="1:35" ht="18.75" customHeight="1">
      <c r="A16" s="3"/>
      <c r="B16" s="132"/>
      <c r="C16" s="132"/>
      <c r="D16" s="218"/>
      <c r="E16" s="218"/>
      <c r="F16" s="218"/>
      <c r="G16" s="218"/>
      <c r="H16" s="218"/>
      <c r="I16" s="218"/>
      <c r="J16" s="218"/>
      <c r="K16" s="218"/>
      <c r="L16" s="218"/>
      <c r="M16" s="3"/>
      <c r="N16" s="3"/>
      <c r="O16" s="196"/>
      <c r="P16" s="195"/>
      <c r="S16" s="220"/>
      <c r="T16" s="220"/>
      <c r="U16" s="220"/>
      <c r="V16" s="220"/>
      <c r="W16" s="220"/>
      <c r="X16" s="220"/>
      <c r="Y16" s="220"/>
      <c r="Z16" s="220"/>
      <c r="AA16" s="220"/>
      <c r="AB16" s="220"/>
      <c r="AC16" s="220"/>
      <c r="AD16" s="220"/>
      <c r="AE16" s="220"/>
      <c r="AF16" s="220"/>
      <c r="AG16" s="220"/>
      <c r="AH16" s="220"/>
      <c r="AI16" s="220"/>
    </row>
    <row r="17" spans="1:35" ht="17.25" customHeight="1">
      <c r="A17" s="3"/>
      <c r="B17" s="132"/>
      <c r="C17" s="132"/>
      <c r="D17" s="218"/>
      <c r="E17" s="218"/>
      <c r="F17" s="218"/>
      <c r="G17" s="218"/>
      <c r="H17" s="218"/>
      <c r="I17" s="218"/>
      <c r="J17" s="218"/>
      <c r="K17" s="218"/>
      <c r="L17" s="218"/>
      <c r="M17" s="3"/>
      <c r="N17" s="3"/>
      <c r="O17" s="196"/>
      <c r="P17" s="195"/>
      <c r="S17" s="220"/>
      <c r="T17" s="220"/>
      <c r="U17" s="220"/>
      <c r="V17" s="220"/>
      <c r="W17" s="220"/>
      <c r="X17" s="220"/>
      <c r="Y17" s="220"/>
      <c r="Z17" s="220"/>
      <c r="AA17" s="220"/>
      <c r="AB17" s="220"/>
      <c r="AC17" s="220"/>
      <c r="AD17" s="220"/>
      <c r="AE17" s="220"/>
      <c r="AF17" s="220"/>
      <c r="AG17" s="220"/>
      <c r="AH17" s="220"/>
      <c r="AI17" s="220"/>
    </row>
    <row r="18" spans="1:35" ht="6" customHeight="1">
      <c r="A18" s="3"/>
      <c r="B18" s="136"/>
      <c r="C18" s="132"/>
      <c r="D18" s="133"/>
      <c r="E18" s="869"/>
      <c r="F18" s="869"/>
      <c r="G18" s="869"/>
      <c r="H18" s="869"/>
      <c r="I18" s="869"/>
      <c r="J18" s="869"/>
      <c r="K18" s="869"/>
      <c r="L18" s="3"/>
      <c r="M18" s="3"/>
      <c r="N18" s="3"/>
      <c r="O18" s="3"/>
      <c r="P18" s="3"/>
      <c r="S18" s="220"/>
      <c r="T18" s="220"/>
      <c r="U18" s="220"/>
      <c r="V18" s="220"/>
      <c r="W18" s="220"/>
      <c r="X18" s="220"/>
      <c r="Y18" s="220"/>
      <c r="Z18" s="220"/>
      <c r="AA18" s="220"/>
      <c r="AB18" s="220"/>
      <c r="AC18" s="220"/>
      <c r="AD18" s="220"/>
      <c r="AE18" s="220"/>
      <c r="AF18" s="220"/>
      <c r="AG18" s="220"/>
      <c r="AH18" s="220"/>
      <c r="AI18" s="220"/>
    </row>
    <row r="19" spans="1:35" ht="24" customHeight="1">
      <c r="A19" s="3"/>
      <c r="B19" s="870" t="s">
        <v>74</v>
      </c>
      <c r="C19" s="870"/>
      <c r="D19" s="870"/>
      <c r="E19" s="143" t="s">
        <v>71</v>
      </c>
      <c r="F19" s="143" t="s">
        <v>75</v>
      </c>
      <c r="G19" s="865" t="s">
        <v>296</v>
      </c>
      <c r="H19" s="866"/>
      <c r="I19" s="867" t="s">
        <v>297</v>
      </c>
      <c r="J19" s="868"/>
      <c r="K19" s="323" t="s">
        <v>298</v>
      </c>
      <c r="L19" s="846" t="s">
        <v>78</v>
      </c>
      <c r="M19" s="847"/>
      <c r="N19" s="847"/>
      <c r="O19" s="847"/>
      <c r="P19" s="847"/>
      <c r="Q19" s="848"/>
      <c r="S19" s="65" t="s">
        <v>76</v>
      </c>
      <c r="T19" s="66">
        <v>0</v>
      </c>
      <c r="U19" s="67">
        <v>0.3</v>
      </c>
      <c r="V19" s="67">
        <v>0.6</v>
      </c>
      <c r="W19" s="67">
        <v>0.9</v>
      </c>
      <c r="X19" s="67">
        <v>1</v>
      </c>
      <c r="Y19" s="71"/>
      <c r="Z19" s="71"/>
      <c r="AA19" s="65" t="s">
        <v>76</v>
      </c>
      <c r="AB19" s="66">
        <v>0</v>
      </c>
      <c r="AC19" s="67">
        <v>0.2</v>
      </c>
      <c r="AD19" s="67">
        <v>0.4</v>
      </c>
      <c r="AE19" s="67">
        <v>0.6</v>
      </c>
      <c r="AF19" s="67">
        <v>0.8</v>
      </c>
      <c r="AG19" s="71"/>
      <c r="AH19" s="71"/>
      <c r="AI19" s="71"/>
    </row>
    <row r="20" spans="1:35" ht="43.5" customHeight="1">
      <c r="A20" s="3"/>
      <c r="B20" s="833" t="str">
        <f>+'Introducerea datelor'!B117</f>
        <v>Percentage of infants born to HIV infected mothers who are HIV infected // Procentul copiilor HIV pozitivi născuţi de către mame HIV pozitive</v>
      </c>
      <c r="C20" s="834"/>
      <c r="D20" s="834"/>
      <c r="E20" s="478" t="s">
        <v>499</v>
      </c>
      <c r="F20" s="478" t="s">
        <v>499</v>
      </c>
      <c r="G20" s="835" t="s">
        <v>499</v>
      </c>
      <c r="H20" s="836"/>
      <c r="I20" s="836"/>
      <c r="J20" s="836"/>
      <c r="K20" s="837"/>
      <c r="L20" s="849" t="s">
        <v>523</v>
      </c>
      <c r="M20" s="839"/>
      <c r="N20" s="839"/>
      <c r="O20" s="839"/>
      <c r="P20" s="839"/>
      <c r="Q20" s="839"/>
      <c r="S20" s="65" t="s">
        <v>77</v>
      </c>
      <c r="T20" s="68">
        <v>0.3</v>
      </c>
      <c r="U20" s="67">
        <v>0.6</v>
      </c>
      <c r="V20" s="67">
        <v>0.9</v>
      </c>
      <c r="W20" s="67">
        <v>1</v>
      </c>
      <c r="X20" s="67">
        <v>2</v>
      </c>
      <c r="Y20" s="71"/>
      <c r="Z20" s="71"/>
      <c r="AA20" s="65" t="s">
        <v>77</v>
      </c>
      <c r="AB20" s="68">
        <v>0.2</v>
      </c>
      <c r="AC20" s="67">
        <v>0.4</v>
      </c>
      <c r="AD20" s="67">
        <v>0.6</v>
      </c>
      <c r="AE20" s="67">
        <v>0.8</v>
      </c>
      <c r="AF20" s="67">
        <v>1</v>
      </c>
      <c r="AG20" s="71"/>
      <c r="AH20" s="71"/>
      <c r="AI20" s="71"/>
    </row>
    <row r="21" spans="1:35" ht="54" customHeight="1">
      <c r="A21" s="3"/>
      <c r="B21" s="834" t="str">
        <f>+'Introducerea datelor'!B119</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21" s="834"/>
      <c r="D21" s="834"/>
      <c r="E21" s="478" t="s">
        <v>499</v>
      </c>
      <c r="F21" s="483" t="s">
        <v>499</v>
      </c>
      <c r="G21" s="835" t="s">
        <v>499</v>
      </c>
      <c r="H21" s="836"/>
      <c r="I21" s="836"/>
      <c r="J21" s="836"/>
      <c r="K21" s="837"/>
      <c r="L21" s="849" t="s">
        <v>522</v>
      </c>
      <c r="M21" s="839"/>
      <c r="N21" s="839"/>
      <c r="O21" s="839"/>
      <c r="P21" s="839"/>
      <c r="Q21" s="839"/>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246</v>
      </c>
      <c r="AA21" s="69" t="s">
        <v>245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138" hidden="1" customHeight="1">
      <c r="A22" s="3"/>
      <c r="B22" s="834" t="str">
        <f>+'Introducerea datelor'!B121</f>
        <v>Number of people with advanced HIV infection that have started antiretroviral combination therapy // Numărul pesoanelor cu infecţia HIV/SIDA avansată care au initiat tratament antiretroviral combinat</v>
      </c>
      <c r="C22" s="834"/>
      <c r="D22" s="834"/>
      <c r="E22" s="478">
        <v>70</v>
      </c>
      <c r="F22" s="483">
        <v>59.54</v>
      </c>
      <c r="G22" s="835">
        <f>F22/E22</f>
        <v>0.85057142857142853</v>
      </c>
      <c r="H22" s="836"/>
      <c r="I22" s="836"/>
      <c r="J22" s="836"/>
      <c r="K22" s="837"/>
      <c r="L22" s="849" t="s">
        <v>498</v>
      </c>
      <c r="M22" s="839"/>
      <c r="N22" s="839"/>
      <c r="O22" s="839"/>
      <c r="P22" s="839"/>
      <c r="Q22" s="839"/>
      <c r="S22" s="69"/>
      <c r="T22" s="67" t="e">
        <f t="shared" ref="T22:W33" si="0">IF($K20&gt;T$19,IF($K20&lt;=T$20,$K20,NA()),NA())</f>
        <v>#N/A</v>
      </c>
      <c r="U22" s="67" t="e">
        <f t="shared" si="0"/>
        <v>#N/A</v>
      </c>
      <c r="V22" s="67" t="e">
        <f t="shared" si="0"/>
        <v>#N/A</v>
      </c>
      <c r="W22" s="67" t="e">
        <f t="shared" si="0"/>
        <v>#N/A</v>
      </c>
      <c r="X22" s="67" t="e">
        <f>IF($K20&gt;X$19,IF($K20&lt;=X$20,1,NA()),NA())</f>
        <v>#N/A</v>
      </c>
      <c r="Y22" s="71"/>
      <c r="Z22" s="192" t="e">
        <f>+'Detalii despre Grant'!#REF!</f>
        <v>#REF!</v>
      </c>
      <c r="AA22" s="67" t="e">
        <f>+IF(Z22="A1",1,IF(Z22="A2",0.8,IF(Z22="B1",0.6,IF(Z22="B2",0.4,0.2))))</f>
        <v>#REF!</v>
      </c>
      <c r="AB22" s="67" t="e">
        <f>IF($AA22&gt;AB$19,IF($AA22&lt;=AB$20,$AA22,NA()),NA())</f>
        <v>#REF!</v>
      </c>
      <c r="AC22" s="67" t="e">
        <f t="shared" ref="AC22:AF24" si="1">IF($AA22&gt;AC$19,IF($AA22&lt;=AC$20,$AA22,NA()),NA())</f>
        <v>#REF!</v>
      </c>
      <c r="AD22" s="67" t="e">
        <f t="shared" si="1"/>
        <v>#REF!</v>
      </c>
      <c r="AE22" s="67" t="e">
        <f t="shared" si="1"/>
        <v>#REF!</v>
      </c>
      <c r="AF22" s="67" t="e">
        <f t="shared" si="1"/>
        <v>#REF!</v>
      </c>
      <c r="AG22" s="71"/>
      <c r="AH22" s="71"/>
      <c r="AI22" s="71"/>
    </row>
    <row r="23" spans="1:35" ht="206.25" customHeight="1">
      <c r="A23" s="3"/>
      <c r="B23" s="852" t="str">
        <f>+'Introducerea datelor'!B125</f>
        <v>Number and percentage of injecting drug users (IDUs) reached with prevention programmes  // Numărul şi procentul utilizatorilor de droguri injectabile (UDI) cuprinşi în programele de prevenire</v>
      </c>
      <c r="C23" s="853"/>
      <c r="D23" s="854"/>
      <c r="E23" s="478">
        <v>9365</v>
      </c>
      <c r="F23" s="478">
        <v>8712</v>
      </c>
      <c r="G23" s="835">
        <f>F23/E23</f>
        <v>0.9302722904431393</v>
      </c>
      <c r="H23" s="836"/>
      <c r="I23" s="836"/>
      <c r="J23" s="836"/>
      <c r="K23" s="837"/>
      <c r="L23" s="850" t="s">
        <v>525</v>
      </c>
      <c r="M23" s="839"/>
      <c r="N23" s="839"/>
      <c r="O23" s="839"/>
      <c r="P23" s="839"/>
      <c r="Q23" s="839"/>
      <c r="S23" s="69"/>
      <c r="T23" s="67" t="e">
        <f t="shared" si="0"/>
        <v>#N/A</v>
      </c>
      <c r="U23" s="67" t="e">
        <f t="shared" si="0"/>
        <v>#N/A</v>
      </c>
      <c r="V23" s="67" t="e">
        <f t="shared" si="0"/>
        <v>#N/A</v>
      </c>
      <c r="W23" s="67" t="e">
        <f t="shared" si="0"/>
        <v>#N/A</v>
      </c>
      <c r="X23" s="67" t="e">
        <f>IF($K21&gt;X$19,IF($K21&lt;=X$20,1,1),NA())</f>
        <v>#N/A</v>
      </c>
      <c r="Y23" s="71"/>
      <c r="Z23" s="192" t="e">
        <f>+'Detalii despre Grant'!#REF!</f>
        <v>#REF!</v>
      </c>
      <c r="AA23" s="67" t="e">
        <f>+IF(Z23="A1",1,IF(Z23="A2",0.8,IF(Z23="B1",0.6,IF(Z23="B2",0.4,0.2))))</f>
        <v>#REF!</v>
      </c>
      <c r="AB23" s="67" t="e">
        <f>IF($AA23&gt;AB$19,IF($AA23&lt;=AB$20,$AA23,NA()),NA())</f>
        <v>#REF!</v>
      </c>
      <c r="AC23" s="67" t="e">
        <f t="shared" si="1"/>
        <v>#REF!</v>
      </c>
      <c r="AD23" s="67" t="e">
        <f t="shared" si="1"/>
        <v>#REF!</v>
      </c>
      <c r="AE23" s="67" t="e">
        <f t="shared" si="1"/>
        <v>#REF!</v>
      </c>
      <c r="AF23" s="67" t="e">
        <f t="shared" si="1"/>
        <v>#REF!</v>
      </c>
      <c r="AG23" s="71"/>
      <c r="AH23" s="71"/>
      <c r="AI23" s="71"/>
    </row>
    <row r="24" spans="1:35" ht="149.25" customHeight="1">
      <c r="A24" s="3"/>
      <c r="B24" s="834" t="str">
        <f>+'Introducerea datelor'!B129</f>
        <v>Number and percentage of commercial sex workers (CSWs) reached with outreach programmes // Numărul şi procentul lucratoarelor sexului comercial (LSC) cuprinse în  programele de prevenire în teren</v>
      </c>
      <c r="C24" s="834"/>
      <c r="D24" s="834"/>
      <c r="E24" s="478">
        <v>3123</v>
      </c>
      <c r="F24" s="478">
        <v>2704</v>
      </c>
      <c r="G24" s="835">
        <f t="shared" ref="G24:G29" si="2">+IF(ISERROR(F24/E24),0,F24/E24)</f>
        <v>0.86583413384566121</v>
      </c>
      <c r="H24" s="836"/>
      <c r="I24" s="836"/>
      <c r="J24" s="836"/>
      <c r="K24" s="837"/>
      <c r="L24" s="849" t="s">
        <v>526</v>
      </c>
      <c r="M24" s="839"/>
      <c r="N24" s="839"/>
      <c r="O24" s="839"/>
      <c r="P24" s="839"/>
      <c r="Q24" s="839"/>
      <c r="S24" s="69"/>
      <c r="T24" s="67" t="e">
        <f t="shared" si="0"/>
        <v>#N/A</v>
      </c>
      <c r="U24" s="67" t="e">
        <f t="shared" si="0"/>
        <v>#N/A</v>
      </c>
      <c r="V24" s="67" t="e">
        <f t="shared" si="0"/>
        <v>#N/A</v>
      </c>
      <c r="W24" s="67" t="e">
        <f t="shared" si="0"/>
        <v>#N/A</v>
      </c>
      <c r="X24" s="67" t="e">
        <f t="shared" ref="X24:X33" si="3">IF($K22&gt;X$19,IF($K22&lt;=X$20,1,NA()),NA())</f>
        <v>#N/A</v>
      </c>
      <c r="Y24" s="71"/>
      <c r="Z24" s="192" t="e">
        <f>+'Detalii despre Grant'!#REF!</f>
        <v>#REF!</v>
      </c>
      <c r="AA24" s="67" t="e">
        <f>+IF(Z24="A1",1,IF(Z24="A2",0.8,IF(Z24="B1",0.6,IF(Z24="B2",0.4,0.2))))</f>
        <v>#REF!</v>
      </c>
      <c r="AB24" s="67" t="e">
        <f>IF($AA24&gt;AB$19,IF($AA24&lt;=AB$20,$AA24,NA()),NA())</f>
        <v>#REF!</v>
      </c>
      <c r="AC24" s="67" t="e">
        <f t="shared" si="1"/>
        <v>#REF!</v>
      </c>
      <c r="AD24" s="67" t="e">
        <f t="shared" si="1"/>
        <v>#REF!</v>
      </c>
      <c r="AE24" s="67" t="e">
        <f t="shared" si="1"/>
        <v>#REF!</v>
      </c>
      <c r="AF24" s="67" t="e">
        <f t="shared" si="1"/>
        <v>#REF!</v>
      </c>
      <c r="AG24" s="71"/>
      <c r="AH24" s="71"/>
      <c r="AI24" s="71"/>
    </row>
    <row r="25" spans="1:35" ht="105" customHeight="1">
      <c r="A25" s="3"/>
      <c r="B25" s="834" t="str">
        <f>+'Introducerea datelor'!B131</f>
        <v>Number and percentage of lesbian, gay, bi-sexual and trans-sexual reached with outreach programmes // Numărul şi procentul lesbienelor, gay-lor, bisexualilor si trans-sexualilor cuprinşi în  programele de prevenire în teren</v>
      </c>
      <c r="C25" s="834"/>
      <c r="D25" s="834"/>
      <c r="E25" s="478">
        <v>2513</v>
      </c>
      <c r="F25" s="478">
        <v>1685</v>
      </c>
      <c r="G25" s="835">
        <f t="shared" si="2"/>
        <v>0.67051333068046159</v>
      </c>
      <c r="H25" s="836"/>
      <c r="I25" s="836"/>
      <c r="J25" s="836"/>
      <c r="K25" s="837"/>
      <c r="L25" s="849" t="s">
        <v>527</v>
      </c>
      <c r="M25" s="839"/>
      <c r="N25" s="839"/>
      <c r="O25" s="839"/>
      <c r="P25" s="839"/>
      <c r="Q25" s="839"/>
      <c r="S25" s="69"/>
      <c r="T25" s="67" t="e">
        <f t="shared" si="0"/>
        <v>#N/A</v>
      </c>
      <c r="U25" s="67" t="e">
        <f t="shared" si="0"/>
        <v>#N/A</v>
      </c>
      <c r="V25" s="67" t="e">
        <f t="shared" si="0"/>
        <v>#N/A</v>
      </c>
      <c r="W25" s="67" t="e">
        <f t="shared" si="0"/>
        <v>#N/A</v>
      </c>
      <c r="X25" s="67" t="e">
        <f t="shared" si="3"/>
        <v>#N/A</v>
      </c>
      <c r="Y25" s="71"/>
      <c r="Z25" s="71"/>
      <c r="AA25" s="71"/>
      <c r="AB25" s="71"/>
      <c r="AC25" s="71"/>
      <c r="AD25" s="71"/>
      <c r="AE25" s="71"/>
      <c r="AF25" s="71"/>
      <c r="AG25" s="71"/>
      <c r="AH25" s="71"/>
      <c r="AI25" s="71"/>
    </row>
    <row r="26" spans="1:35" ht="123.75" customHeight="1">
      <c r="A26" s="3"/>
      <c r="B26" s="834" t="str">
        <f>+'Introducerea datelor'!B127</f>
        <v xml:space="preserve">Number of drug users reached with drug substitution therapy  // Numărul utilizatorilor de droguri care beneficiază de tratament de substituţie  </v>
      </c>
      <c r="C26" s="834"/>
      <c r="D26" s="834"/>
      <c r="E26" s="478">
        <v>50</v>
      </c>
      <c r="F26" s="478">
        <v>98</v>
      </c>
      <c r="G26" s="835">
        <f t="shared" si="2"/>
        <v>1.96</v>
      </c>
      <c r="H26" s="836"/>
      <c r="I26" s="836"/>
      <c r="J26" s="836"/>
      <c r="K26" s="837"/>
      <c r="L26" s="850" t="s">
        <v>528</v>
      </c>
      <c r="M26" s="839"/>
      <c r="N26" s="839"/>
      <c r="O26" s="839"/>
      <c r="P26" s="839"/>
      <c r="Q26" s="839"/>
      <c r="S26" s="69"/>
      <c r="T26" s="67" t="e">
        <f t="shared" si="0"/>
        <v>#N/A</v>
      </c>
      <c r="U26" s="67" t="e">
        <f t="shared" si="0"/>
        <v>#N/A</v>
      </c>
      <c r="V26" s="67" t="e">
        <f t="shared" si="0"/>
        <v>#N/A</v>
      </c>
      <c r="W26" s="67" t="e">
        <f t="shared" si="0"/>
        <v>#N/A</v>
      </c>
      <c r="X26" s="67" t="e">
        <f t="shared" si="3"/>
        <v>#N/A</v>
      </c>
      <c r="Y26" s="71"/>
      <c r="Z26" s="71"/>
      <c r="AA26" s="71"/>
      <c r="AB26" s="71"/>
      <c r="AC26" s="71"/>
      <c r="AD26" s="71"/>
      <c r="AE26" s="71"/>
      <c r="AF26" s="71"/>
      <c r="AG26" s="71"/>
      <c r="AH26" s="71"/>
      <c r="AI26" s="71"/>
    </row>
    <row r="27" spans="1:35" ht="129.75" customHeight="1">
      <c r="A27" s="3"/>
      <c r="B27" s="833" t="str">
        <f>+'Introducerea datelor'!B121</f>
        <v>Number of people with advanced HIV infection that have started antiretroviral combination therapy // Numărul pesoanelor cu infecţia HIV/SIDA avansată care au initiat tratament antiretroviral combinat</v>
      </c>
      <c r="C27" s="834"/>
      <c r="D27" s="834"/>
      <c r="E27" s="478">
        <v>2965</v>
      </c>
      <c r="F27" s="478">
        <v>3274</v>
      </c>
      <c r="G27" s="835">
        <f t="shared" si="2"/>
        <v>1.1042158516020235</v>
      </c>
      <c r="H27" s="836"/>
      <c r="I27" s="836"/>
      <c r="J27" s="836"/>
      <c r="K27" s="837"/>
      <c r="L27" s="838" t="s">
        <v>529</v>
      </c>
      <c r="M27" s="839"/>
      <c r="N27" s="839"/>
      <c r="O27" s="839"/>
      <c r="P27" s="839"/>
      <c r="Q27" s="839"/>
      <c r="S27" s="69"/>
      <c r="T27" s="67" t="e">
        <f t="shared" si="0"/>
        <v>#N/A</v>
      </c>
      <c r="U27" s="67" t="e">
        <f t="shared" si="0"/>
        <v>#N/A</v>
      </c>
      <c r="V27" s="67" t="e">
        <f t="shared" si="0"/>
        <v>#N/A</v>
      </c>
      <c r="W27" s="67" t="e">
        <f t="shared" si="0"/>
        <v>#N/A</v>
      </c>
      <c r="X27" s="67" t="e">
        <f t="shared" si="3"/>
        <v>#N/A</v>
      </c>
      <c r="Y27" s="71"/>
      <c r="Z27" s="71"/>
      <c r="AA27" s="71"/>
      <c r="AB27" s="71"/>
      <c r="AC27" s="71"/>
      <c r="AD27" s="71"/>
      <c r="AE27" s="71"/>
      <c r="AF27" s="71"/>
      <c r="AG27" s="71"/>
      <c r="AH27" s="71"/>
      <c r="AI27" s="71"/>
    </row>
    <row r="28" spans="1:35" ht="124.5" hidden="1" customHeight="1">
      <c r="A28" s="3"/>
      <c r="B28" s="834" t="str">
        <f>+'Introducerea datelor'!B133</f>
        <v>Number and percentage of PLWHA screened for TB // Numărul şi procentul persoanelor care trăiesc cu HIV/SIDA testate pentru TB</v>
      </c>
      <c r="C28" s="834"/>
      <c r="D28" s="834"/>
      <c r="E28" s="484" t="s">
        <v>495</v>
      </c>
      <c r="F28" s="485">
        <v>50.2</v>
      </c>
      <c r="G28" s="835">
        <v>0.63</v>
      </c>
      <c r="H28" s="836"/>
      <c r="I28" s="836"/>
      <c r="J28" s="836"/>
      <c r="K28" s="837"/>
      <c r="L28" s="849" t="s">
        <v>496</v>
      </c>
      <c r="M28" s="839"/>
      <c r="N28" s="839"/>
      <c r="O28" s="839"/>
      <c r="P28" s="839"/>
      <c r="Q28" s="839"/>
      <c r="S28" s="69"/>
      <c r="T28" s="67" t="e">
        <f t="shared" si="0"/>
        <v>#N/A</v>
      </c>
      <c r="U28" s="67" t="e">
        <f t="shared" si="0"/>
        <v>#N/A</v>
      </c>
      <c r="V28" s="67" t="e">
        <f t="shared" si="0"/>
        <v>#N/A</v>
      </c>
      <c r="W28" s="67" t="e">
        <f t="shared" si="0"/>
        <v>#N/A</v>
      </c>
      <c r="X28" s="67" t="e">
        <f t="shared" si="3"/>
        <v>#N/A</v>
      </c>
      <c r="Y28" s="71"/>
      <c r="Z28" s="71"/>
      <c r="AA28" s="71"/>
      <c r="AB28" s="71"/>
      <c r="AC28" s="71"/>
      <c r="AD28" s="71"/>
      <c r="AE28" s="71"/>
      <c r="AF28" s="71"/>
      <c r="AG28" s="71"/>
      <c r="AH28" s="71"/>
      <c r="AI28" s="71"/>
    </row>
    <row r="29" spans="1:35" ht="375.75" hidden="1" customHeight="1">
      <c r="A29" s="3"/>
      <c r="B29" s="852" t="str">
        <f>+'Introducerea datelor'!B135</f>
        <v>Number of healthcare providers trained // Numărul prestatorilor de servicii medicale instruiţi</v>
      </c>
      <c r="C29" s="853"/>
      <c r="D29" s="854"/>
      <c r="E29" s="484">
        <v>2323</v>
      </c>
      <c r="F29" s="485">
        <v>2307</v>
      </c>
      <c r="G29" s="835">
        <f t="shared" si="2"/>
        <v>0.99311235471373227</v>
      </c>
      <c r="H29" s="836"/>
      <c r="I29" s="836"/>
      <c r="J29" s="836"/>
      <c r="K29" s="837"/>
      <c r="L29" s="839" t="s">
        <v>497</v>
      </c>
      <c r="M29" s="839"/>
      <c r="N29" s="839"/>
      <c r="O29" s="839"/>
      <c r="P29" s="839"/>
      <c r="Q29" s="839"/>
      <c r="S29" s="69"/>
      <c r="T29" s="67" t="e">
        <f t="shared" si="0"/>
        <v>#N/A</v>
      </c>
      <c r="U29" s="67" t="e">
        <f t="shared" si="0"/>
        <v>#N/A</v>
      </c>
      <c r="V29" s="67" t="e">
        <f t="shared" si="0"/>
        <v>#N/A</v>
      </c>
      <c r="W29" s="67" t="e">
        <f t="shared" si="0"/>
        <v>#N/A</v>
      </c>
      <c r="X29" s="67" t="e">
        <f t="shared" si="3"/>
        <v>#N/A</v>
      </c>
      <c r="Y29" s="71"/>
      <c r="Z29" s="71"/>
      <c r="AA29" s="71"/>
      <c r="AB29" s="71"/>
      <c r="AC29" s="71"/>
      <c r="AD29" s="71"/>
      <c r="AE29" s="71"/>
      <c r="AF29" s="71"/>
      <c r="AG29" s="71"/>
      <c r="AH29" s="71"/>
      <c r="AI29" s="71"/>
    </row>
    <row r="30" spans="1:35" ht="60.75" customHeight="1">
      <c r="A30" s="3"/>
      <c r="B30" s="833" t="s">
        <v>530</v>
      </c>
      <c r="C30" s="834"/>
      <c r="D30" s="834"/>
      <c r="E30" s="532">
        <v>0.77300000000000002</v>
      </c>
      <c r="F30" s="532">
        <v>0.94769999999999999</v>
      </c>
      <c r="G30" s="835">
        <f t="shared" ref="G30" si="4">+IF(ISERROR(F30/E30),0,F30/E30)</f>
        <v>1.2260025873221216</v>
      </c>
      <c r="H30" s="836"/>
      <c r="I30" s="836"/>
      <c r="J30" s="836"/>
      <c r="K30" s="837"/>
      <c r="L30" s="838" t="s">
        <v>531</v>
      </c>
      <c r="M30" s="839"/>
      <c r="N30" s="839"/>
      <c r="O30" s="839"/>
      <c r="P30" s="839"/>
      <c r="Q30" s="839"/>
      <c r="S30" s="69"/>
      <c r="T30" s="67" t="e">
        <f t="shared" si="0"/>
        <v>#N/A</v>
      </c>
      <c r="U30" s="67" t="e">
        <f t="shared" si="0"/>
        <v>#N/A</v>
      </c>
      <c r="V30" s="67" t="e">
        <f t="shared" si="0"/>
        <v>#N/A</v>
      </c>
      <c r="W30" s="67" t="e">
        <f t="shared" si="0"/>
        <v>#N/A</v>
      </c>
      <c r="X30" s="67" t="e">
        <f t="shared" si="3"/>
        <v>#N/A</v>
      </c>
      <c r="Y30" s="71"/>
      <c r="Z30" s="71"/>
      <c r="AA30" s="71"/>
      <c r="AB30" s="71"/>
      <c r="AC30" s="71"/>
      <c r="AD30" s="71"/>
      <c r="AE30" s="71"/>
      <c r="AF30" s="71"/>
      <c r="AG30" s="71"/>
      <c r="AH30" s="71"/>
      <c r="AI30" s="71"/>
    </row>
    <row r="31" spans="1:35" ht="22.5" customHeight="1">
      <c r="A31" s="3"/>
      <c r="B31" s="855"/>
      <c r="C31" s="855"/>
      <c r="D31" s="855"/>
      <c r="E31" s="856"/>
      <c r="F31" s="857"/>
      <c r="G31" s="858"/>
      <c r="H31" s="858"/>
      <c r="I31" s="858"/>
      <c r="J31" s="858"/>
      <c r="K31" s="856"/>
      <c r="L31" s="857"/>
      <c r="M31" s="858"/>
      <c r="N31" s="858"/>
      <c r="O31" s="858"/>
      <c r="P31" s="858"/>
      <c r="S31" s="69"/>
      <c r="T31" s="67" t="e">
        <f t="shared" si="0"/>
        <v>#N/A</v>
      </c>
      <c r="U31" s="67" t="e">
        <f t="shared" si="0"/>
        <v>#N/A</v>
      </c>
      <c r="V31" s="67" t="e">
        <f t="shared" si="0"/>
        <v>#N/A</v>
      </c>
      <c r="W31" s="67" t="e">
        <f t="shared" si="0"/>
        <v>#N/A</v>
      </c>
      <c r="X31" s="67" t="e">
        <f t="shared" si="3"/>
        <v>#N/A</v>
      </c>
      <c r="Y31" s="71"/>
      <c r="Z31" s="71"/>
      <c r="AA31" s="71"/>
      <c r="AB31" s="71"/>
      <c r="AC31" s="71"/>
      <c r="AD31" s="71"/>
      <c r="AE31" s="71"/>
      <c r="AF31" s="71"/>
      <c r="AG31" s="71"/>
      <c r="AH31" s="71"/>
      <c r="AI31" s="71"/>
    </row>
    <row r="32" spans="1:35">
      <c r="A32" s="3"/>
      <c r="B32" s="221"/>
      <c r="C32" s="221"/>
      <c r="D32" s="221"/>
      <c r="E32" s="221"/>
      <c r="F32" s="221"/>
      <c r="G32" s="221"/>
      <c r="H32" s="222"/>
      <c r="I32" s="221"/>
      <c r="J32" s="221"/>
      <c r="K32" s="221"/>
      <c r="L32" s="221"/>
      <c r="M32" s="221"/>
      <c r="N32" s="221"/>
      <c r="O32" s="221"/>
      <c r="P32" s="221"/>
      <c r="S32" s="69"/>
      <c r="T32" s="67" t="e">
        <f t="shared" si="0"/>
        <v>#N/A</v>
      </c>
      <c r="U32" s="67" t="e">
        <f t="shared" si="0"/>
        <v>#N/A</v>
      </c>
      <c r="V32" s="67" t="e">
        <f t="shared" si="0"/>
        <v>#N/A</v>
      </c>
      <c r="W32" s="67" t="e">
        <f t="shared" si="0"/>
        <v>#N/A</v>
      </c>
      <c r="X32" s="67" t="e">
        <f t="shared" si="3"/>
        <v>#N/A</v>
      </c>
      <c r="Y32" s="71"/>
      <c r="Z32" s="71"/>
      <c r="AA32" s="71"/>
      <c r="AB32" s="71"/>
      <c r="AC32" s="71"/>
      <c r="AD32" s="71"/>
      <c r="AE32" s="71"/>
      <c r="AF32" s="71"/>
      <c r="AG32" s="71"/>
      <c r="AH32" s="71"/>
      <c r="AI32" s="71"/>
    </row>
    <row r="33" spans="1:35">
      <c r="A33" s="3"/>
      <c r="B33" s="851"/>
      <c r="C33" s="851"/>
      <c r="D33" s="851"/>
      <c r="E33" s="851"/>
      <c r="F33" s="851"/>
      <c r="G33" s="851"/>
      <c r="H33" s="851"/>
      <c r="I33" s="851"/>
      <c r="J33" s="851"/>
      <c r="K33" s="851"/>
      <c r="L33" s="221"/>
      <c r="M33" s="221"/>
      <c r="N33" s="221"/>
      <c r="O33" s="221"/>
      <c r="P33" s="221"/>
      <c r="S33" s="69"/>
      <c r="T33" s="67" t="e">
        <f t="shared" si="0"/>
        <v>#N/A</v>
      </c>
      <c r="U33" s="67" t="e">
        <f t="shared" si="0"/>
        <v>#N/A</v>
      </c>
      <c r="V33" s="67" t="e">
        <f t="shared" si="0"/>
        <v>#N/A</v>
      </c>
      <c r="W33" s="67" t="e">
        <f t="shared" si="0"/>
        <v>#N/A</v>
      </c>
      <c r="X33" s="67" t="e">
        <f t="shared" si="3"/>
        <v>#N/A</v>
      </c>
      <c r="Y33" s="71"/>
      <c r="Z33" s="71"/>
      <c r="AA33" s="71"/>
      <c r="AB33" s="71"/>
      <c r="AC33" s="71"/>
      <c r="AD33" s="71"/>
      <c r="AE33" s="71"/>
      <c r="AF33" s="71"/>
      <c r="AG33" s="71"/>
      <c r="AH33" s="71"/>
      <c r="AI33" s="71"/>
    </row>
    <row r="34" spans="1:35">
      <c r="A34" s="3"/>
      <c r="B34" s="851"/>
      <c r="C34" s="851"/>
      <c r="D34" s="851"/>
      <c r="E34" s="851"/>
      <c r="F34" s="851"/>
      <c r="G34" s="851"/>
      <c r="H34" s="851"/>
      <c r="I34" s="851"/>
      <c r="J34" s="851"/>
      <c r="K34" s="851"/>
      <c r="L34" s="221"/>
      <c r="M34" s="221"/>
      <c r="N34" s="221"/>
      <c r="O34" s="221"/>
      <c r="P34" s="221"/>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45"/>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6"/>
      <c r="J37" s="147"/>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8"/>
      <c r="J38" s="147"/>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6"/>
      <c r="J39" s="147"/>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M9:Q9"/>
    <mergeCell ref="C3:D3"/>
    <mergeCell ref="E4:L4"/>
    <mergeCell ref="B8:E8"/>
    <mergeCell ref="F8:K8"/>
    <mergeCell ref="B28:D28"/>
    <mergeCell ref="B29:D29"/>
    <mergeCell ref="C9:E9"/>
    <mergeCell ref="G9:K9"/>
    <mergeCell ref="B22:D22"/>
    <mergeCell ref="G19:H19"/>
    <mergeCell ref="I19:J19"/>
    <mergeCell ref="E18:K18"/>
    <mergeCell ref="B19:D19"/>
    <mergeCell ref="B20:D20"/>
    <mergeCell ref="B21:D21"/>
    <mergeCell ref="G26:K26"/>
    <mergeCell ref="G27:K27"/>
    <mergeCell ref="L31:P31"/>
    <mergeCell ref="L20:Q20"/>
    <mergeCell ref="L21:Q21"/>
    <mergeCell ref="L22:Q22"/>
    <mergeCell ref="L28:Q28"/>
    <mergeCell ref="L23:Q23"/>
    <mergeCell ref="L24:Q24"/>
    <mergeCell ref="L29:Q29"/>
    <mergeCell ref="G22:K22"/>
    <mergeCell ref="B33:D34"/>
    <mergeCell ref="E33:G34"/>
    <mergeCell ref="H33:K34"/>
    <mergeCell ref="B23:D23"/>
    <mergeCell ref="B24:D24"/>
    <mergeCell ref="B25:D25"/>
    <mergeCell ref="B26:D26"/>
    <mergeCell ref="G23:K23"/>
    <mergeCell ref="G24:K24"/>
    <mergeCell ref="G25:K25"/>
    <mergeCell ref="B31:E31"/>
    <mergeCell ref="F31:K31"/>
    <mergeCell ref="G28:K28"/>
    <mergeCell ref="G29:K29"/>
    <mergeCell ref="B27:D27"/>
    <mergeCell ref="B30:D30"/>
    <mergeCell ref="G30:K30"/>
    <mergeCell ref="L30:Q30"/>
    <mergeCell ref="B2:Q2"/>
    <mergeCell ref="O3:P3"/>
    <mergeCell ref="D5:N5"/>
    <mergeCell ref="L8:Q8"/>
    <mergeCell ref="F6:K6"/>
    <mergeCell ref="E3:K3"/>
    <mergeCell ref="C4:D4"/>
    <mergeCell ref="L19:Q19"/>
    <mergeCell ref="L25:Q25"/>
    <mergeCell ref="L26:Q26"/>
    <mergeCell ref="L27:Q27"/>
    <mergeCell ref="G20:K20"/>
    <mergeCell ref="G21:K21"/>
  </mergeCells>
  <phoneticPr fontId="30" type="noConversion"/>
  <conditionalFormatting sqref="C4:D4">
    <cfRule type="cellIs" dxfId="26" priority="53" stopIfTrue="1" operator="equal">
      <formula>"C"</formula>
    </cfRule>
    <cfRule type="cellIs" dxfId="25" priority="54" stopIfTrue="1" operator="equal">
      <formula>"B2"</formula>
    </cfRule>
    <cfRule type="cellIs" dxfId="24" priority="55" stopIfTrue="1" operator="equal">
      <formula>"B1"</formula>
    </cfRule>
  </conditionalFormatting>
  <conditionalFormatting sqref="G20:G29">
    <cfRule type="cellIs" dxfId="23" priority="59" stopIfTrue="1" operator="between">
      <formula>0</formula>
      <formula>0.599</formula>
    </cfRule>
    <cfRule type="cellIs" dxfId="22" priority="60" stopIfTrue="1" operator="between">
      <formula>0.6</formula>
      <formula>0.899</formula>
    </cfRule>
    <cfRule type="cellIs" dxfId="21" priority="61" stopIfTrue="1" operator="greaterThanOrEqual">
      <formula>0.9</formula>
    </cfRule>
  </conditionalFormatting>
  <conditionalFormatting sqref="G30">
    <cfRule type="cellIs" dxfId="20" priority="1" stopIfTrue="1" operator="between">
      <formula>0</formula>
      <formula>0.599</formula>
    </cfRule>
    <cfRule type="cellIs" dxfId="19" priority="2" stopIfTrue="1" operator="between">
      <formula>0.6</formula>
      <formula>0.899</formula>
    </cfRule>
    <cfRule type="cellIs" dxfId="18" priority="3" stopIfTrue="1" operator="greaterThanOrEqual">
      <formula>0.9</formula>
    </cfRule>
  </conditionalFormatting>
  <pageMargins left="0.25" right="0.25" top="0.75" bottom="0.75" header="0.3" footer="0.3"/>
  <pageSetup paperSize="9" scale="65" orientation="portrait" r:id="rId1"/>
  <headerFooter alignWithMargins="0">
    <oddFooter>&amp;L&amp;F&amp;C&amp;A&amp;RV1.0          &amp;D</oddFooter>
  </headerFooter>
  <rowBreaks count="1" manualBreakCount="1">
    <brk id="23" max="16" man="1"/>
  </rowBreaks>
  <ignoredErrors>
    <ignoredError sqref="X23:Y23" formula="1"/>
    <ignoredError sqref="Z23:AC23" evalError="1" formula="1"/>
    <ignoredError sqref="AD23:AF23 Z24:AF24" evalError="1"/>
  </ignoredErrors>
  <drawing r:id="rId2"/>
</worksheet>
</file>

<file path=xl/worksheets/sheet8.xml><?xml version="1.0" encoding="utf-8"?>
<worksheet xmlns="http://schemas.openxmlformats.org/spreadsheetml/2006/main" xmlns:r="http://schemas.openxmlformats.org/officeDocument/2006/relationships">
  <sheetPr codeName="Sheet9">
    <tabColor indexed="27"/>
  </sheetPr>
  <dimension ref="A1:O42"/>
  <sheetViews>
    <sheetView showGridLines="0" view="pageBreakPreview" topLeftCell="A19" zoomScale="60" zoomScaleNormal="100" zoomScalePageLayoutView="40" workbookViewId="0">
      <selection activeCell="D33" sqref="D33:G33"/>
    </sheetView>
  </sheetViews>
  <sheetFormatPr defaultRowHeight="11.25"/>
  <cols>
    <col min="1" max="1" width="1.140625" style="31" customWidth="1"/>
    <col min="2" max="2" width="19.28515625" style="31" customWidth="1"/>
    <col min="3" max="3" width="1.140625" style="31" customWidth="1"/>
    <col min="4" max="4" width="17.140625" style="31" customWidth="1"/>
    <col min="5" max="5" width="17.5703125" style="31" customWidth="1"/>
    <col min="6" max="6" width="9.7109375" style="31" customWidth="1"/>
    <col min="7" max="7" width="31.42578125" style="31" customWidth="1"/>
    <col min="8" max="8" width="4.28515625" style="31" customWidth="1"/>
    <col min="9" max="9" width="15.85546875" style="31" customWidth="1"/>
    <col min="10" max="10" width="3.5703125" style="31" customWidth="1"/>
    <col min="11" max="11" width="7.5703125" style="32" customWidth="1"/>
    <col min="12" max="12" width="14.28515625" style="31" customWidth="1"/>
    <col min="13" max="13" width="12" style="31" customWidth="1"/>
    <col min="14" max="14" width="27.85546875" style="31" customWidth="1"/>
    <col min="15" max="15" width="2.5703125" style="31" customWidth="1"/>
    <col min="16" max="16384" width="9.140625" style="31"/>
  </cols>
  <sheetData>
    <row r="1" spans="1:15" ht="38.25" customHeight="1">
      <c r="A1" s="150"/>
      <c r="B1" s="150"/>
      <c r="C1" s="150"/>
      <c r="D1" s="150"/>
      <c r="E1" s="150"/>
      <c r="F1" s="150"/>
      <c r="G1" s="150"/>
      <c r="H1" s="150"/>
      <c r="I1" s="150"/>
      <c r="J1" s="150"/>
      <c r="K1" s="151"/>
      <c r="L1" s="150"/>
      <c r="M1" s="150"/>
      <c r="N1" s="150"/>
    </row>
    <row r="2" spans="1:15" customFormat="1" ht="27.75" customHeight="1">
      <c r="A2" s="3"/>
      <c r="B2" s="840" t="str">
        <f>+"Dashboard:  "&amp;"  "&amp;IF(+'Introducerea datelor'!C4="Please Select","",'Introducerea datelor'!C4&amp;" - ")&amp;IF('Introducerea datelor'!G6="Please Select","",'Introducerea datelor'!G6)</f>
        <v>Dashboard:    Moldova - HIV / AIDS</v>
      </c>
      <c r="C2" s="840"/>
      <c r="D2" s="840"/>
      <c r="E2" s="840"/>
      <c r="F2" s="840"/>
      <c r="G2" s="840"/>
      <c r="H2" s="840"/>
      <c r="I2" s="840"/>
      <c r="J2" s="840"/>
      <c r="K2" s="840"/>
      <c r="L2" s="840"/>
      <c r="M2" s="840"/>
      <c r="N2" s="840"/>
      <c r="O2" s="73"/>
    </row>
    <row r="3" spans="1:15" customFormat="1" ht="18.75">
      <c r="A3" s="3"/>
      <c r="B3" s="132" t="str">
        <f>+IF('Introducerea datelor'!G8="Please Select","",'Introducerea datelor'!G8)</f>
        <v/>
      </c>
      <c r="C3" s="796" t="str">
        <f>+IF('Introducerea datelor'!I8="Please Select","",'Introducerea datelor'!I8)</f>
        <v>Faza 2</v>
      </c>
      <c r="D3" s="796"/>
      <c r="E3" s="844"/>
      <c r="F3" s="844"/>
      <c r="G3" s="844"/>
      <c r="H3" s="844"/>
      <c r="I3" s="844"/>
      <c r="J3" s="844"/>
      <c r="K3" s="844"/>
      <c r="L3" s="132" t="str">
        <f>+'Introducerea datelor'!B16</f>
        <v>Perioada de Raportare:</v>
      </c>
      <c r="M3" s="194" t="str">
        <f>+'Introducerea datelor'!C16</f>
        <v>P8</v>
      </c>
      <c r="N3" s="194"/>
      <c r="O3" s="31"/>
    </row>
    <row r="4" spans="1:15" customFormat="1" ht="15">
      <c r="A4" s="3"/>
      <c r="B4" s="132" t="str">
        <f>+'Introducerea datelor'!B12</f>
        <v>Ultimul Rating:</v>
      </c>
      <c r="C4" s="918" t="str">
        <f>+IF('Introducerea datelor'!C12="Please Select","",'Introducerea datelor'!C12)</f>
        <v>A2</v>
      </c>
      <c r="D4" s="918"/>
      <c r="E4" s="795" t="str">
        <f>+'Introducerea datelor'!C8</f>
        <v>PI "CIMU HSRP"</v>
      </c>
      <c r="F4" s="795"/>
      <c r="G4" s="795"/>
      <c r="H4" s="795"/>
      <c r="I4" s="795"/>
      <c r="J4" s="795"/>
      <c r="K4" s="795"/>
      <c r="L4" s="132" t="str">
        <f>+'Introducerea datelor'!D16</f>
        <v>De la:</v>
      </c>
      <c r="M4" s="195">
        <f>+IF(ISBLANK('Introducerea datelor'!E16),"",'Introducerea datelor'!E16)</f>
        <v>41456</v>
      </c>
      <c r="N4" s="195"/>
      <c r="O4" s="31"/>
    </row>
    <row r="5" spans="1:15" customFormat="1" ht="18.75" customHeight="1">
      <c r="A5" s="3"/>
      <c r="B5" s="132"/>
      <c r="C5" s="132"/>
      <c r="D5" s="133"/>
      <c r="E5" s="795" t="str">
        <f>+'Introducerea datelor'!G4</f>
        <v>Scaling up Access to Prevention, Treatment and Care under the National Program for Prevention and Control of HIV/AIDS/STIs 2006-2010 and reducing morbidity, mortality and HIV-related impact on people living with HIV/AIDS, 2010-2014</v>
      </c>
      <c r="F5" s="795"/>
      <c r="G5" s="795"/>
      <c r="H5" s="795"/>
      <c r="I5" s="795"/>
      <c r="J5" s="795"/>
      <c r="K5" s="795"/>
      <c r="L5" s="132" t="str">
        <f>+'Introducerea datelor'!F16</f>
        <v>Pînă la:</v>
      </c>
      <c r="M5" s="195">
        <f>+IF(ISBLANK('Introducerea datelor'!G16),"",'Introducerea datelor'!G16)</f>
        <v>41639</v>
      </c>
      <c r="N5" s="195"/>
    </row>
    <row r="6" spans="1:15" customFormat="1" ht="22.5" customHeight="1">
      <c r="A6" s="3"/>
      <c r="B6" s="137"/>
      <c r="C6" s="138"/>
      <c r="D6" s="139"/>
      <c r="E6" s="917" t="s">
        <v>283</v>
      </c>
      <c r="F6" s="917"/>
      <c r="G6" s="917"/>
      <c r="H6" s="917"/>
      <c r="I6" s="917"/>
      <c r="J6" s="917"/>
      <c r="K6" s="917"/>
      <c r="L6" s="2"/>
      <c r="M6" s="2"/>
      <c r="N6" s="2"/>
    </row>
    <row r="7" spans="1:15" s="33" customFormat="1" ht="4.5" customHeight="1">
      <c r="A7" s="152"/>
      <c r="B7" s="153"/>
      <c r="C7" s="153"/>
      <c r="D7" s="153"/>
      <c r="E7" s="153"/>
      <c r="F7" s="153"/>
      <c r="G7" s="153"/>
      <c r="H7" s="153"/>
      <c r="I7" s="153"/>
      <c r="J7" s="153"/>
      <c r="K7" s="153"/>
      <c r="L7" s="154"/>
      <c r="M7" s="154"/>
      <c r="N7" s="155"/>
    </row>
    <row r="8" spans="1:15" s="33" customFormat="1" ht="21" customHeight="1" thickBot="1">
      <c r="A8" s="152"/>
      <c r="B8" s="881" t="s">
        <v>84</v>
      </c>
      <c r="C8" s="881"/>
      <c r="D8" s="881"/>
      <c r="E8" s="881"/>
      <c r="F8" s="881"/>
      <c r="G8" s="881"/>
      <c r="H8" s="881"/>
      <c r="I8" s="881"/>
      <c r="J8" s="881"/>
      <c r="K8" s="881"/>
      <c r="L8" s="881"/>
      <c r="M8" s="881"/>
      <c r="N8" s="881"/>
    </row>
    <row r="9" spans="1:15" s="33" customFormat="1" ht="3.75" customHeight="1" thickBot="1">
      <c r="A9" s="152"/>
      <c r="B9" s="153"/>
      <c r="C9" s="153"/>
      <c r="D9" s="153"/>
      <c r="E9" s="153"/>
      <c r="F9" s="153"/>
      <c r="G9" s="153"/>
      <c r="H9" s="153"/>
      <c r="I9" s="153"/>
      <c r="J9" s="153"/>
      <c r="K9" s="153"/>
      <c r="L9" s="154"/>
      <c r="M9" s="154"/>
      <c r="N9" s="155"/>
    </row>
    <row r="10" spans="1:15" s="34" customFormat="1" ht="25.5" customHeight="1" thickBot="1">
      <c r="A10" s="156"/>
      <c r="B10" s="902" t="s">
        <v>79</v>
      </c>
      <c r="C10" s="894"/>
      <c r="D10" s="882" t="s">
        <v>83</v>
      </c>
      <c r="E10" s="883"/>
      <c r="F10" s="883"/>
      <c r="G10" s="884"/>
      <c r="H10" s="159"/>
      <c r="I10" s="882" t="s">
        <v>283</v>
      </c>
      <c r="J10" s="883"/>
      <c r="K10" s="883"/>
      <c r="L10" s="883"/>
      <c r="M10" s="883"/>
      <c r="N10" s="884"/>
    </row>
    <row r="11" spans="1:15" s="34" customFormat="1" ht="28.5" customHeight="1">
      <c r="A11" s="156"/>
      <c r="B11" s="419" t="s">
        <v>87</v>
      </c>
      <c r="C11" s="176"/>
      <c r="D11" s="905" t="str">
        <f>IF(ISBLANK(Financiar!C9),"",(Financiar!C9))</f>
        <v xml:space="preserve">conform planului si cererii de debursare </v>
      </c>
      <c r="E11" s="905"/>
      <c r="F11" s="905"/>
      <c r="G11" s="906"/>
      <c r="H11" s="182"/>
      <c r="I11" s="908" t="s">
        <v>515</v>
      </c>
      <c r="J11" s="909"/>
      <c r="K11" s="909"/>
      <c r="L11" s="909"/>
      <c r="M11" s="909"/>
      <c r="N11" s="910"/>
    </row>
    <row r="12" spans="1:15" s="34" customFormat="1" ht="394.5" customHeight="1">
      <c r="A12" s="156"/>
      <c r="B12" s="420" t="s">
        <v>88</v>
      </c>
      <c r="C12" s="177"/>
      <c r="D12" s="905" t="str">
        <f>IF(ISBLANK(Financiar!C23),"",(Financiar!C23))</f>
        <v xml:space="preserve">Variația resurselor cheltuite în comparație cu cele planificate pentru perioada cumulativă (1 aprilie 2010 - 31 decembrie 2013) este dificil de reflectat dat fiind modificarea monedei de evidență - de la USD (etapa I de implementare) la EUR (începînd cu 1 ianuarie 2013). Potrivit estimărilor, valorificarea cumulativă a resurselor financiare este de 98%, cu o variație cumulativă de  137,737 EUR.
Variația pentru perioada raportată constituie o supra-valorificare de 103,372 EUR, in legatura cu: 
Supracheltuieli de (-) EUR 253,813 cauzate de: (a) plati in avans efectuate pentru periade viitoare in cadrul programelor de prevenirea a riscurilor (- EUR 138,797); (b) plati in avans pentru recuperearea intirzierilor din perioadele anterioare (-EUR 53,085), inclusiv: procurarea de metadona (-EUR 29,435), procurarea laptelui praf (-EUR 20,528), mentenanta SIME/HIV M&amp;E (-EUR 3,122); (c) activitati nebugetate legate de angajamentele din perioada I a grantului consolidat (-EUR 51,458), inclusiv: Reducerea riscului de contaminare a singelui (-EUR 3,060), mentenanta softului LSC&amp;MSM (-EUR 757), costuri PSM legate de preservative si ARV (-EUR 17,785), costuri de audit pr SR (2% SFM) (-EUR 3,123), teste rapide la saliva (-EUR 26,733); (d) activitati nebugetate acoperite din dobinda (-EUR 4,478); (e) preturi mai mari legate de managementul proiectului (-EUR 2,609) si costuri PSM legate de ARV (-EUR 3,416).
Cheltuieli sub cele planificate (EUR 357,185), in legatura cu: (a) intirzieri in implementare, prevazute a fi achitate in perioadele viitoare (EUR 194,638), inclusiv in legatura cu: procurarea preparatelor ARV (EUR 69,312), procurarea testelor pentru monitorizarea pacientilor HIV+ (PCR&amp;CD4) (EUR 121,087), participarea la evenimente si conferinte international (EUR 2,000); (b) economii (EUR 194,638), inclusiv in legatura cu: auditarea SR (SFM 2%) (EUR 4,658), consultantul national TI (EUR 1,969), procurarea de ARV (EUR 151,552), cheltuieli de management a proiectului (EUR 6,607).
   </v>
      </c>
      <c r="E12" s="905"/>
      <c r="F12" s="905"/>
      <c r="G12" s="906"/>
      <c r="H12" s="182"/>
      <c r="I12" s="896" t="s">
        <v>515</v>
      </c>
      <c r="J12" s="897"/>
      <c r="K12" s="897"/>
      <c r="L12" s="897"/>
      <c r="M12" s="897"/>
      <c r="N12" s="898"/>
    </row>
    <row r="13" spans="1:15" s="34" customFormat="1" ht="26.25" customHeight="1">
      <c r="A13" s="156"/>
      <c r="B13" s="420" t="s">
        <v>89</v>
      </c>
      <c r="C13" s="177"/>
      <c r="D13" s="905" t="str">
        <f>IF(ISBLANK(Financiar!I9),"",(Financiar!I9))</f>
        <v xml:space="preserve">conform cererii de debursare din partea RP </v>
      </c>
      <c r="E13" s="905"/>
      <c r="F13" s="905"/>
      <c r="G13" s="906"/>
      <c r="H13" s="182"/>
      <c r="I13" s="896" t="s">
        <v>515</v>
      </c>
      <c r="J13" s="897"/>
      <c r="K13" s="897"/>
      <c r="L13" s="897"/>
      <c r="M13" s="897"/>
      <c r="N13" s="898"/>
    </row>
    <row r="14" spans="1:15" s="34" customFormat="1" ht="45" customHeight="1" thickBot="1">
      <c r="A14" s="156"/>
      <c r="B14" s="421" t="s">
        <v>90</v>
      </c>
      <c r="C14" s="178"/>
      <c r="D14" s="903" t="str">
        <f>IF(ISBLANK(Financiar!I23),"",(Financiar!I23))</f>
        <v>Raportul de Progres final a fost remis Agentului Local al FG si către Secretariatul Fondului Global, in vederea accesarii următoarei debursari de surse.</v>
      </c>
      <c r="E14" s="903"/>
      <c r="F14" s="903"/>
      <c r="G14" s="904"/>
      <c r="H14" s="182"/>
      <c r="I14" s="899" t="s">
        <v>515</v>
      </c>
      <c r="J14" s="900"/>
      <c r="K14" s="900"/>
      <c r="L14" s="900"/>
      <c r="M14" s="900"/>
      <c r="N14" s="901"/>
    </row>
    <row r="15" spans="1:15" s="34" customFormat="1" ht="4.5" customHeight="1">
      <c r="A15" s="156"/>
      <c r="B15" s="179"/>
      <c r="C15" s="180"/>
      <c r="D15" s="181"/>
      <c r="E15" s="181"/>
      <c r="F15" s="181"/>
      <c r="G15" s="181"/>
      <c r="H15" s="182"/>
      <c r="I15" s="183"/>
      <c r="J15" s="183"/>
      <c r="K15" s="183"/>
      <c r="L15" s="183"/>
      <c r="M15" s="183"/>
      <c r="N15" s="183"/>
      <c r="O15" s="75"/>
    </row>
    <row r="16" spans="1:15" s="33" customFormat="1" ht="21" customHeight="1" thickBot="1">
      <c r="A16" s="152"/>
      <c r="B16" s="881" t="s">
        <v>86</v>
      </c>
      <c r="C16" s="881"/>
      <c r="D16" s="881"/>
      <c r="E16" s="881"/>
      <c r="F16" s="881"/>
      <c r="G16" s="881"/>
      <c r="H16" s="881"/>
      <c r="I16" s="881"/>
      <c r="J16" s="881"/>
      <c r="K16" s="881"/>
      <c r="L16" s="881"/>
      <c r="M16" s="881"/>
      <c r="N16" s="881"/>
    </row>
    <row r="17" spans="1:15" s="34" customFormat="1" ht="3.75" customHeight="1" thickBot="1">
      <c r="A17" s="156"/>
      <c r="B17" s="165"/>
      <c r="C17" s="166"/>
      <c r="D17" s="167"/>
      <c r="E17" s="168"/>
      <c r="F17" s="169"/>
      <c r="G17" s="169"/>
      <c r="H17" s="170"/>
      <c r="I17" s="171"/>
      <c r="J17" s="172"/>
      <c r="K17" s="161"/>
      <c r="L17" s="162"/>
      <c r="M17" s="163"/>
      <c r="N17" s="164"/>
    </row>
    <row r="18" spans="1:15" s="34" customFormat="1" ht="22.5" customHeight="1" thickBot="1">
      <c r="A18" s="156"/>
      <c r="B18" s="894" t="s">
        <v>80</v>
      </c>
      <c r="C18" s="895"/>
      <c r="D18" s="914" t="s">
        <v>83</v>
      </c>
      <c r="E18" s="915"/>
      <c r="F18" s="915"/>
      <c r="G18" s="916"/>
      <c r="H18" s="159"/>
      <c r="I18" s="911" t="s">
        <v>283</v>
      </c>
      <c r="J18" s="912"/>
      <c r="K18" s="912"/>
      <c r="L18" s="912"/>
      <c r="M18" s="913"/>
      <c r="N18" s="913"/>
    </row>
    <row r="19" spans="1:15" s="34" customFormat="1" ht="21.95" customHeight="1">
      <c r="A19" s="156"/>
      <c r="B19" s="422" t="s">
        <v>95</v>
      </c>
      <c r="C19" s="184"/>
      <c r="D19" s="922" t="str">
        <f>IF(ISBLANK(Management!C8),"",(Management!C8))</f>
        <v>Nu sunt condiții precedente neîndeplinite de către RP</v>
      </c>
      <c r="E19" s="922"/>
      <c r="F19" s="922"/>
      <c r="G19" s="923"/>
      <c r="H19" s="185"/>
      <c r="I19" s="885"/>
      <c r="J19" s="886"/>
      <c r="K19" s="886"/>
      <c r="L19" s="886"/>
      <c r="M19" s="886"/>
      <c r="N19" s="887"/>
    </row>
    <row r="20" spans="1:15" ht="24.75" customHeight="1">
      <c r="A20" s="150"/>
      <c r="B20" s="423" t="s">
        <v>96</v>
      </c>
      <c r="C20" s="186"/>
      <c r="D20" s="905" t="str">
        <f>IF(ISBLANK(Management!I8),"",(Management!I8))</f>
        <v xml:space="preserve">personal adițional a fost angajat in trimestrul 1, 2013, in vederea suplinirii functiei de specialist procurari in cadrul componentei HIV </v>
      </c>
      <c r="E20" s="905" t="e">
        <f>+'Introducerea datelor'!D73/'Introducerea datelor'!G73</f>
        <v>#DIV/0!</v>
      </c>
      <c r="F20" s="905" t="e">
        <f>+('Introducerea datelor'!E73+'Introducerea datelor'!F73)/'Introducerea datelor'!G73</f>
        <v>#DIV/0!</v>
      </c>
      <c r="G20" s="907"/>
      <c r="H20" s="185"/>
      <c r="I20" s="891"/>
      <c r="J20" s="892"/>
      <c r="K20" s="892"/>
      <c r="L20" s="892"/>
      <c r="M20" s="892"/>
      <c r="N20" s="893"/>
      <c r="O20" s="35"/>
    </row>
    <row r="21" spans="1:15" ht="29.25" customHeight="1">
      <c r="A21" s="150"/>
      <c r="B21" s="424" t="s">
        <v>97</v>
      </c>
      <c r="C21" s="186"/>
      <c r="D21" s="905" t="str">
        <f>IF(ISBLANK(Management!C16),"",(Management!C16))</f>
        <v>Nu sunt probleme în aranjamentele contractuale cu SR</v>
      </c>
      <c r="E21" s="905"/>
      <c r="F21" s="905"/>
      <c r="G21" s="907"/>
      <c r="H21" s="185"/>
      <c r="I21" s="891"/>
      <c r="J21" s="892"/>
      <c r="K21" s="892"/>
      <c r="L21" s="892"/>
      <c r="M21" s="892"/>
      <c r="N21" s="893"/>
      <c r="O21" s="35"/>
    </row>
    <row r="22" spans="1:15" ht="26.25" customHeight="1">
      <c r="A22" s="150"/>
      <c r="B22" s="424" t="s">
        <v>98</v>
      </c>
      <c r="C22" s="186"/>
      <c r="D22" s="905" t="str">
        <f>IF(ISBLANK(Management!I16),"",(Management!I16))</f>
        <v>SR a remis rapoartele trimestriale în timp util conform acordurilor de sub-recipient.</v>
      </c>
      <c r="E22" s="905"/>
      <c r="F22" s="905"/>
      <c r="G22" s="907"/>
      <c r="H22" s="185"/>
      <c r="I22" s="891"/>
      <c r="J22" s="892"/>
      <c r="K22" s="892"/>
      <c r="L22" s="892"/>
      <c r="M22" s="892"/>
      <c r="N22" s="893"/>
      <c r="O22" s="35"/>
    </row>
    <row r="23" spans="1:15" ht="54" customHeight="1">
      <c r="A23" s="150"/>
      <c r="B23" s="424" t="s">
        <v>99</v>
      </c>
      <c r="C23" s="186"/>
      <c r="D23" s="905" t="str">
        <f>IF(ISBLANK(Management!C27),"",(Management!C27))</f>
        <v>Pentru toate produsele medicale si medicamente sunt incheiate contracte si vor fi livrate catre beneficiar conform schemelor de distirbutie planificate de catre beneficiar.</v>
      </c>
      <c r="E23" s="905"/>
      <c r="F23" s="905"/>
      <c r="G23" s="907"/>
      <c r="H23" s="185"/>
      <c r="I23" s="891"/>
      <c r="J23" s="892"/>
      <c r="K23" s="892"/>
      <c r="L23" s="892"/>
      <c r="M23" s="892"/>
      <c r="N23" s="893"/>
      <c r="O23" s="35"/>
    </row>
    <row r="24" spans="1:15" ht="78.75" customHeight="1" thickBot="1">
      <c r="A24" s="150"/>
      <c r="B24" s="425" t="s">
        <v>101</v>
      </c>
      <c r="C24" s="187"/>
      <c r="D24" s="925" t="str">
        <f>IF(ISBLANK(Management!I27),"",(Management!I27))</f>
        <v>Nu au fost inregistrate lipsuri de medicamente ARV sau intreruperi de tratament. De mentionat ca incepind cu anul 2013 (necesitatile pentru a. 2014), achizitionarea de preparate ARV, inclusiv acoperirea necesitatilor privind tratamentului PMTCT, se va efectua din 2 surse: grantul FG si bugetul de stat. Pentru agentia de achizitie a medicamentului va fi o experienta noua, implicind necesitatea identificarii mecanismelor de achizionare aplicabile.</v>
      </c>
      <c r="E24" s="925"/>
      <c r="F24" s="925"/>
      <c r="G24" s="926"/>
      <c r="H24" s="185"/>
      <c r="I24" s="888"/>
      <c r="J24" s="889"/>
      <c r="K24" s="889"/>
      <c r="L24" s="889"/>
      <c r="M24" s="889"/>
      <c r="N24" s="890"/>
      <c r="O24" s="35"/>
    </row>
    <row r="25" spans="1:15" ht="4.5" customHeight="1">
      <c r="A25" s="152"/>
      <c r="B25" s="157"/>
      <c r="C25" s="158"/>
      <c r="D25" s="173"/>
      <c r="E25" s="174"/>
      <c r="F25" s="175"/>
      <c r="G25" s="175"/>
      <c r="H25" s="159"/>
      <c r="I25" s="174"/>
      <c r="J25" s="160"/>
      <c r="K25" s="161"/>
      <c r="L25" s="162"/>
      <c r="M25" s="163"/>
      <c r="N25" s="164"/>
      <c r="O25" s="35"/>
    </row>
    <row r="26" spans="1:15" s="33" customFormat="1" ht="21" customHeight="1" thickBot="1">
      <c r="A26" s="152"/>
      <c r="B26" s="881" t="s">
        <v>85</v>
      </c>
      <c r="C26" s="881"/>
      <c r="D26" s="881"/>
      <c r="E26" s="881"/>
      <c r="F26" s="881"/>
      <c r="G26" s="881"/>
      <c r="H26" s="881"/>
      <c r="I26" s="881"/>
      <c r="J26" s="881"/>
      <c r="K26" s="881"/>
      <c r="L26" s="881"/>
      <c r="M26" s="881"/>
      <c r="N26" s="881"/>
    </row>
    <row r="27" spans="1:15" ht="3.75" customHeight="1" thickBot="1">
      <c r="A27" s="152"/>
      <c r="B27" s="157"/>
      <c r="C27" s="158"/>
      <c r="D27" s="173"/>
      <c r="E27" s="174"/>
      <c r="F27" s="175"/>
      <c r="G27" s="175"/>
      <c r="H27" s="159"/>
      <c r="I27" s="174"/>
      <c r="J27" s="160"/>
      <c r="K27" s="161"/>
      <c r="L27" s="162"/>
      <c r="M27" s="163"/>
      <c r="N27" s="164"/>
      <c r="O27" s="35"/>
    </row>
    <row r="28" spans="1:15" ht="21.75" customHeight="1" thickBot="1">
      <c r="A28" s="150"/>
      <c r="B28" s="902" t="s">
        <v>2</v>
      </c>
      <c r="C28" s="895"/>
      <c r="D28" s="930" t="s">
        <v>83</v>
      </c>
      <c r="E28" s="931"/>
      <c r="F28" s="931"/>
      <c r="G28" s="932"/>
      <c r="H28" s="159"/>
      <c r="I28" s="930" t="s">
        <v>283</v>
      </c>
      <c r="J28" s="931"/>
      <c r="K28" s="931"/>
      <c r="L28" s="931"/>
      <c r="M28" s="931"/>
      <c r="N28" s="932"/>
      <c r="O28" s="35"/>
    </row>
    <row r="29" spans="1:15" ht="99.75" hidden="1" customHeight="1">
      <c r="A29" s="150"/>
      <c r="B29" s="426" t="s">
        <v>284</v>
      </c>
      <c r="C29" s="188"/>
      <c r="D29" s="933" t="str">
        <f>IF(ISBLANK(Programatic!C9),"",(Programatic!C9))</f>
        <v>Rezultatul cumulativ de 8,712 nu include și baseline. 980 de beneficiari noi au fost incluși în programe de asistență pe parcursul semestrului raportat. 
Indicatorul nu include beneficiarii din institutiile penitenciare acoperite cu programe de reducere a riscurilor in cadrul proiectului, numarul estimativ de beneficiari acoperiti fiind estimat la 930.
NB: Incepind cu 2013, indicatorul este cumulativ anual. Pina la finele a. 2012 indicatorul era cumulativ pe perioada programului.</v>
      </c>
      <c r="E29" s="934"/>
      <c r="F29" s="934"/>
      <c r="G29" s="935"/>
      <c r="H29" s="185"/>
      <c r="I29" s="927"/>
      <c r="J29" s="928"/>
      <c r="K29" s="928"/>
      <c r="L29" s="928"/>
      <c r="M29" s="928"/>
      <c r="N29" s="929"/>
      <c r="O29" s="35"/>
    </row>
    <row r="30" spans="1:15" ht="32.25" hidden="1" customHeight="1">
      <c r="A30" s="150"/>
      <c r="B30" s="427" t="s">
        <v>285</v>
      </c>
      <c r="C30" s="189"/>
      <c r="D30" s="924" t="str">
        <f>IF(ISBLANK(Programatic!G9),"",(Programatic!G9))</f>
        <v>Datele pt. a. 2013 urmeaza a fi raportate la 15 august 2014, in conformitate cu cadrul de performanta agreat cu FG</v>
      </c>
      <c r="E30" s="876"/>
      <c r="F30" s="876"/>
      <c r="G30" s="877"/>
      <c r="H30" s="185"/>
      <c r="I30" s="878"/>
      <c r="J30" s="879"/>
      <c r="K30" s="879"/>
      <c r="L30" s="879"/>
      <c r="M30" s="879"/>
      <c r="N30" s="880"/>
      <c r="O30" s="35"/>
    </row>
    <row r="31" spans="1:15" ht="75.75" hidden="1" customHeight="1" thickBot="1">
      <c r="A31" s="150"/>
      <c r="B31" s="427" t="s">
        <v>286</v>
      </c>
      <c r="C31" s="189"/>
      <c r="D31" s="924" t="str">
        <f>IF(ISBLANK(Programatic!M9),"",(Programatic!M9))</f>
        <v xml:space="preserve">Catre finele a. 2013 numarul persoanelor care au initiat tratamentul ARV de la inceputul programului a constituit 3,274. Numarul pacienților în tratament ARV la 31 decembrie 2013 a fost de 2,493: 1,693 pe malul drept (1.113 in SDMC, 476 - in ISMP SM Balti, 41 - in IMSP SR Cahul, 63 - in Institutiile Penitenciare) și 800 - pe malul stîng. Aceasta include 82 copii (38 - in SDMC, 21 - in IMSP SM Balti, 6 - in IMSP SR Cahul si 17 - pe malul sting). </v>
      </c>
      <c r="E31" s="876"/>
      <c r="F31" s="876"/>
      <c r="G31" s="877"/>
      <c r="H31" s="185"/>
      <c r="I31" s="878"/>
      <c r="J31" s="879"/>
      <c r="K31" s="879"/>
      <c r="L31" s="879"/>
      <c r="M31" s="879"/>
      <c r="N31" s="880"/>
      <c r="O31" s="35"/>
    </row>
    <row r="32" spans="1:15" ht="38.25" customHeight="1">
      <c r="A32" s="150"/>
      <c r="B32" s="426" t="s">
        <v>284</v>
      </c>
      <c r="C32" s="189"/>
      <c r="D32" s="875" t="str">
        <f>IF(ISBLANK(Programatic!L20),"",(Programatic!L20))</f>
        <v>Datele pt. a. 2013 urmeaza a fi raportate la 15 august 2014, , in conformitate cu cadrul de performanta agreat cu FG</v>
      </c>
      <c r="E32" s="876"/>
      <c r="F32" s="876"/>
      <c r="G32" s="877"/>
      <c r="H32" s="185"/>
      <c r="I32" s="878"/>
      <c r="J32" s="879"/>
      <c r="K32" s="879"/>
      <c r="L32" s="879"/>
      <c r="M32" s="879"/>
      <c r="N32" s="880"/>
      <c r="O32" s="35"/>
    </row>
    <row r="33" spans="1:15" ht="38.25" customHeight="1">
      <c r="A33" s="150"/>
      <c r="B33" s="427" t="s">
        <v>285</v>
      </c>
      <c r="C33" s="189"/>
      <c r="D33" s="875" t="str">
        <f>IF(ISBLANK(Programatic!L21),"",(Programatic!L21))</f>
        <v>Datele pt. a. 2013 urmeaza a fi raportate la 15 august 2014, in conformitate cu cadrul de performanta agreat cu FG</v>
      </c>
      <c r="E33" s="876"/>
      <c r="F33" s="876"/>
      <c r="G33" s="877"/>
      <c r="H33" s="185"/>
      <c r="I33" s="878"/>
      <c r="J33" s="879"/>
      <c r="K33" s="879"/>
      <c r="L33" s="879"/>
      <c r="M33" s="879"/>
      <c r="N33" s="880"/>
      <c r="O33" s="35"/>
    </row>
    <row r="34" spans="1:15" ht="171" hidden="1" customHeight="1">
      <c r="A34" s="150"/>
      <c r="B34" s="428" t="s">
        <v>93</v>
      </c>
      <c r="C34" s="189"/>
      <c r="D34" s="875" t="str">
        <f>IF(ISBLANK(Programatic!L22),"",(Programatic!L22))</f>
        <v>During 2012 the number of pregnant women that benefited from VCT services and who know their results amounted at 26,787 from 44987 cases. This represents 59.5% of the women who have undertaken an HIV test. during pregnancy, at least once (26.787/44,987). Activities under this indicator are partially supported by the current GF Grant.
// Numărul femeilor gravide care au beneficiat de servicii CTV pe parcursul 2012  și care-și cunoșteau rezultatul a constituit 26,787 din 44987 cazuri. Aceasta reprezintă 59.5% din femeile care s-au testat la HIV pe parcursul sarcinii (cel puțin o dată). Activitățile ce țin de acest indicator sunt parțial acoperite din sursele grantului FG.</v>
      </c>
      <c r="E34" s="876"/>
      <c r="F34" s="876"/>
      <c r="G34" s="877"/>
      <c r="H34" s="185"/>
      <c r="I34" s="878"/>
      <c r="J34" s="879"/>
      <c r="K34" s="879"/>
      <c r="L34" s="879"/>
      <c r="M34" s="879"/>
      <c r="N34" s="880"/>
      <c r="O34" s="35"/>
    </row>
    <row r="35" spans="1:15" ht="193.5" customHeight="1">
      <c r="A35" s="150"/>
      <c r="B35" s="428" t="s">
        <v>94</v>
      </c>
      <c r="C35" s="227"/>
      <c r="D35" s="875" t="str">
        <f>IF(ISBLANK(Programatic!L23),"",(Programatic!L23))</f>
        <v xml:space="preserve">Rezultatul cumulativ de 8,712 nu include și baseline. 980 de beneficiari noi au fost incluși în programe de asistență pe parcursul semestrului raportat. În total se implementează 7 proiecte (inclusiv unl în Tiraspol) care acoperă atît sectorul civil (5 proiecte) cît și cel penitenciar (2 proiecte), în cadrul cărora se implementează activități de prevenire (educație de la egal la egal, schimb de seringi, distribuire de prezervative, activități educative, distribuire de materiale informaționale, servicii de consiliere etc.) 
Proiectele din sectorul civil sunt regionale, acoperind de la 2 la 6 raioane. Sectorul penitenciar acoperă 9 instituții penitenciare de pe malul drept (Pruncul, Rusca, Cricova - 2 penitenciare, Branesti, Soroca, Leova, Balti și Taraclia) si 3 penitenciare de pe malul sting (Grigoriopol, s. Glinoe si Tiraspol). 
Indicatorul nu include beneficiarii din institutiile penitenciare acoperite cu programe de reducere a riscurilor in cadrul proiectului. Numarul estimativ de beneficiari acoperiti fiind estimat la 930.
Activitatile implementate in cadrul programelor de reducere a riscurilor sunt acoperite in special din sursele grantului.
</v>
      </c>
      <c r="E35" s="876"/>
      <c r="F35" s="876"/>
      <c r="G35" s="877"/>
      <c r="H35" s="185"/>
      <c r="I35" s="878"/>
      <c r="J35" s="879"/>
      <c r="K35" s="879"/>
      <c r="L35" s="879"/>
      <c r="M35" s="879"/>
      <c r="N35" s="880"/>
      <c r="O35" s="35"/>
    </row>
    <row r="36" spans="1:15" ht="132" customHeight="1">
      <c r="A36" s="150"/>
      <c r="B36" s="428" t="s">
        <v>102</v>
      </c>
      <c r="C36" s="227"/>
      <c r="D36" s="875" t="str">
        <f>IF(ISBLANK(Programatic!L24),"",(Programatic!L24))</f>
        <v xml:space="preserve">Rezultatul cumulativ de 2,704 nu include și baseline. 233 de beneficiari noi au fost incluși în programe de asistență pe parcursul semestrului raportat. În total se implementează 3 proiecte, unul în Chișinău, unul în Orhei și unul - în regiunea de nord acoperind regiunile Bălți și Ungheni. Serviciile acordate în cadrul acestor proiecte includ educație de la egal la egal, distribuire de prezervative, activități educative și distribuire de materiale informaționale, servicii de consiliere, managementul BTS etc.) . Activitatile implementate in cadrul programelor de rducere a riscurilor sunt sustinute in special din contul grantului FG.
NB: Indicatorul raportat la 30 iunie a fost corectat: 7172 din 14768 (14.7%) LSC acoperite de programe de rerducere a riscurilor, cu un nivel de atingere a obiectivului de 77% (86%) raportate in cadrul dashboardului precedent.
</v>
      </c>
      <c r="E36" s="876"/>
      <c r="F36" s="876"/>
      <c r="G36" s="877"/>
      <c r="H36" s="185"/>
      <c r="I36" s="878"/>
      <c r="J36" s="879"/>
      <c r="K36" s="879"/>
      <c r="L36" s="879"/>
      <c r="M36" s="879"/>
      <c r="N36" s="880"/>
      <c r="O36" s="35"/>
    </row>
    <row r="37" spans="1:15" ht="96" customHeight="1">
      <c r="A37" s="150"/>
      <c r="B37" s="428" t="s">
        <v>103</v>
      </c>
      <c r="C37" s="227"/>
      <c r="D37" s="875" t="str">
        <f>IF(ISBLANK(Programatic!L25),"",(Programatic!L25))</f>
        <v xml:space="preserve">Rezultatul cumulativ de 1.685 nu include și baseline. 400 de beneficiari noi au fost incluși în programe de asistență pe parcursul semestrului I 2013. Serviciile (educație de la egal la egal, distribuire de prezervative, activități educative și distribuire de materiale informaționale, servicii de consiliere, managementul BTS etc.) sunt acordate în cadrul unui proiect localizat în Chișinău, acoperind beneficiari Chisinau, Balti si Tiraspol.
 Activitatile implementate in cadrul programelor de rducere a riscurilor sunt sustinute in special din contul grantului FG.
</v>
      </c>
      <c r="E37" s="876"/>
      <c r="F37" s="876"/>
      <c r="G37" s="877"/>
      <c r="H37" s="185"/>
      <c r="I37" s="919"/>
      <c r="J37" s="920"/>
      <c r="K37" s="920"/>
      <c r="L37" s="920"/>
      <c r="M37" s="920"/>
      <c r="N37" s="921"/>
      <c r="O37" s="35"/>
    </row>
    <row r="38" spans="1:15" ht="122.25" customHeight="1">
      <c r="A38" s="150"/>
      <c r="B38" s="428" t="s">
        <v>104</v>
      </c>
      <c r="C38" s="227"/>
      <c r="D38" s="875" t="str">
        <f>IF(ISBLANK(Programatic!L26),"",(Programatic!L26))</f>
        <v xml:space="preserve">Terapia de substituție cu metadona se implementează prin intermediul a 3 proiecte (toate pe malul drept): 2 în sectorul civil (Dispensarul Narcologic Republican în Chișinău și Spitalul Municipal Bălți) și 1 - în sectorul penitenciar (Departamentul Instituțiilor Penitenciare în 7 instituții penitenciare: Pruncul, Cricova Rusca, Branesti, Soroca, Balti and Chisinau). Incepind cu a. 2014 proiectul urmeaza a fi extins in 4 penitenciare
50 beneficiari noi au fost incluși în program pe parcursul semestrului II 2013. Numărul beneficiarilor permanenți incadrati in TSM la 31 decembrie 2013 a fost de 337, inclusiv 62 beneficiari din sectorul penitenciar, 203 - în Dispensarul Narcologic Republican și 72 - în Spitalul Municipal Bălți. </v>
      </c>
      <c r="E38" s="876"/>
      <c r="F38" s="876"/>
      <c r="G38" s="877"/>
      <c r="H38" s="185"/>
      <c r="I38" s="919"/>
      <c r="J38" s="920"/>
      <c r="K38" s="920"/>
      <c r="L38" s="920"/>
      <c r="M38" s="920"/>
      <c r="N38" s="921"/>
      <c r="O38" s="35"/>
    </row>
    <row r="39" spans="1:15" ht="108.75" customHeight="1">
      <c r="A39" s="150"/>
      <c r="B39" s="428" t="s">
        <v>105</v>
      </c>
      <c r="C39" s="227"/>
      <c r="D39" s="875" t="str">
        <f>IF(ISBLANK(Programatic!L27),"",(Programatic!L27))</f>
        <v>Catre finele a. 2013 numarul persoanelor care au initiat tratamentul ARV de la inceputul programului a constituit 3,274. Numarul pacienților în tratament ARV la 31 decembrie 2013 a fost de 2,493: 1,693 pe malul drept (1.113 in SDMC, 476 - in ISMP SM Balti, 41 - in IMSP SR Cahul, 63 - in Institutiile Penitenciare) și 800 - pe malul stîng. Aceasta include 82 copii (38 - in SDMC, 21 - in IMSP SM Balti, 6 - in IMSP SR Cahul si 17 - pe malul sting). 
Pina la finele a. 2013 toate cheltuielile aferente achizitiei de preparate ARV au fost acoperite din sursele FG. Incepind cu a. 2014 Ministerul Sanatatii si-a asumat acoperirea tratamentului tuturor persoanelor de pe malul drept inrolate in TARV pe parcursul anului.</v>
      </c>
      <c r="E39" s="876"/>
      <c r="F39" s="876"/>
      <c r="G39" s="877"/>
      <c r="H39" s="185"/>
      <c r="I39" s="878"/>
      <c r="J39" s="879"/>
      <c r="K39" s="879"/>
      <c r="L39" s="879"/>
      <c r="M39" s="879"/>
      <c r="N39" s="880"/>
      <c r="O39" s="35"/>
    </row>
    <row r="40" spans="1:15" ht="150.75" hidden="1" customHeight="1">
      <c r="A40" s="150"/>
      <c r="B40" s="428" t="s">
        <v>106</v>
      </c>
      <c r="C40" s="227"/>
      <c r="D40" s="875" t="str">
        <f>IF(ISBLANK(Programatic!L28),"",(Programatic!L28))</f>
        <v>50.2% of PLWHA have been screened for tuberculosis during year 2012. In absolute figures this represents 2,409 PLWHA (1,725 from the right bank and 684 from the left bank) from the total of 4,800 PLWHA (3,278 on the right bank and 1,522 on the left bank) on evidence at the end of year 2012.
//50.2% din PTHS au fost testați la TB pe parcursul anului 2012. În cifre absolute aceasta constituie 2,409 PTHS (1,725 pe malul drept și 684 pe malul stîng) din totalul de 4,800 PTHS (3,278 de pe malul drept și 1,522 de pe malul stîng) aflați la evidență la finele anului 2012.</v>
      </c>
      <c r="E40" s="876"/>
      <c r="F40" s="876"/>
      <c r="G40" s="877"/>
      <c r="H40" s="185"/>
      <c r="I40" s="878"/>
      <c r="J40" s="879"/>
      <c r="K40" s="879"/>
      <c r="L40" s="879"/>
      <c r="M40" s="879"/>
      <c r="N40" s="880"/>
      <c r="O40" s="35"/>
    </row>
    <row r="41" spans="1:15" ht="409.5" hidden="1" customHeight="1" thickBot="1">
      <c r="A41" s="150"/>
      <c r="B41" s="428" t="s">
        <v>107</v>
      </c>
      <c r="C41" s="190"/>
      <c r="D41" s="875" t="str">
        <f>IF(ISBLANK(Programatic!L29),"",(Programatic!L29))</f>
        <v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v>
      </c>
      <c r="E41" s="876"/>
      <c r="F41" s="876"/>
      <c r="G41" s="877"/>
      <c r="H41" s="185"/>
      <c r="I41" s="936"/>
      <c r="J41" s="937"/>
      <c r="K41" s="937"/>
      <c r="L41" s="937"/>
      <c r="M41" s="937"/>
      <c r="N41" s="938"/>
      <c r="O41" s="35"/>
    </row>
    <row r="42" spans="1:15" ht="51" customHeight="1">
      <c r="A42" s="150"/>
      <c r="B42" s="428" t="s">
        <v>106</v>
      </c>
      <c r="C42" s="227"/>
      <c r="D42" s="875" t="str">
        <f>IF(ISBLANK(Programatic!L30),"",(Programatic!L30))</f>
        <v>Pe parcursul a. 2013 153 femei gravide HIV+ au nascut. Din acestea 145 au beneficiat de TARV in vederea prevenirii transmiterii infectiei HIV de la mama la fat: 135 au primit TARV complet, 8 - incomplet, 2 - TARV de urgenta la nastere si 8 - nu au primit tratament.</v>
      </c>
      <c r="E42" s="876"/>
      <c r="F42" s="876"/>
      <c r="G42" s="877"/>
      <c r="H42" s="185"/>
      <c r="I42" s="878"/>
      <c r="J42" s="879"/>
      <c r="K42" s="879"/>
      <c r="L42" s="879"/>
      <c r="M42" s="879"/>
      <c r="N42" s="880"/>
      <c r="O42" s="35"/>
    </row>
  </sheetData>
  <mergeCells count="67">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B2:N2"/>
    <mergeCell ref="E5:K5"/>
    <mergeCell ref="E6:K6"/>
    <mergeCell ref="E3:K3"/>
    <mergeCell ref="C4:D4"/>
    <mergeCell ref="E4:K4"/>
    <mergeCell ref="C3:D3"/>
    <mergeCell ref="I32:N32"/>
    <mergeCell ref="D22:G22"/>
    <mergeCell ref="I11:N11"/>
    <mergeCell ref="I18:N18"/>
    <mergeCell ref="D18:G18"/>
    <mergeCell ref="D20:G20"/>
    <mergeCell ref="I21:N21"/>
    <mergeCell ref="B26:N26"/>
    <mergeCell ref="D23:G23"/>
    <mergeCell ref="D12:G12"/>
    <mergeCell ref="I12:N12"/>
    <mergeCell ref="I22:N22"/>
    <mergeCell ref="D42:G42"/>
    <mergeCell ref="I42:N42"/>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s>
  <phoneticPr fontId="30" type="noConversion"/>
  <conditionalFormatting sqref="C4:D4">
    <cfRule type="cellIs" dxfId="17" priority="1" stopIfTrue="1" operator="equal">
      <formula>"C"</formula>
    </cfRule>
    <cfRule type="cellIs" dxfId="16" priority="2" stopIfTrue="1" operator="equal">
      <formula>"B2"</formula>
    </cfRule>
    <cfRule type="cellIs" dxfId="15" priority="3" stopIfTrue="1" operator="equal">
      <formula>"B1"</formula>
    </cfRule>
  </conditionalFormatting>
  <pageMargins left="0.25" right="0.25" top="0.75" bottom="0.75" header="0.3" footer="0.3"/>
  <pageSetup paperSize="9" scale="54" orientation="portrait"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sheetPr codeName="Sheet11">
    <tabColor indexed="27"/>
  </sheetPr>
  <dimension ref="A1:M43"/>
  <sheetViews>
    <sheetView showGridLines="0" tabSelected="1" view="pageBreakPreview" zoomScaleNormal="110" zoomScaleSheetLayoutView="100" workbookViewId="0">
      <selection activeCell="N31" sqref="N31"/>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824" t="str">
        <f>+"Dashboard:  "&amp;"  "&amp;IF(+'Introducerea datelor'!C4="Please Select","",'Introducerea datelor'!C4&amp;" - ")&amp;IF('Introducerea datelor'!G6="Please Select","",'Introducerea datelor'!G6)</f>
        <v>Dashboard:    Moldova - HIV / AIDS</v>
      </c>
      <c r="C2" s="824"/>
      <c r="D2" s="824"/>
      <c r="E2" s="824"/>
      <c r="F2" s="824"/>
      <c r="G2" s="824"/>
      <c r="H2" s="824"/>
      <c r="I2" s="824"/>
      <c r="J2" s="824"/>
      <c r="K2" s="824"/>
      <c r="L2" s="824"/>
    </row>
    <row r="3" spans="1:13">
      <c r="B3" s="24" t="str">
        <f>+IF('Introducerea datelor'!G8="Please Select","",'Introducerea datelor'!G8)</f>
        <v/>
      </c>
      <c r="C3" s="822" t="str">
        <f>+IF('Introducerea datelor'!I8="Please Select","",'Introducerea datelor'!I8)</f>
        <v>Faza 2</v>
      </c>
      <c r="D3" s="822"/>
      <c r="E3" s="823"/>
      <c r="F3" s="823"/>
      <c r="G3" s="823"/>
      <c r="H3" s="823"/>
      <c r="I3" s="823"/>
      <c r="J3" s="810" t="str">
        <f>+'Introducerea datelor'!B16</f>
        <v>Perioada de Raportare:</v>
      </c>
      <c r="K3" s="810"/>
      <c r="L3" s="194" t="str">
        <f>+'Introducerea datelor'!C16</f>
        <v>P8</v>
      </c>
      <c r="M3" s="85"/>
    </row>
    <row r="4" spans="1:13">
      <c r="B4" s="24" t="str">
        <f>+'Introducerea datelor'!B12</f>
        <v>Ultimul Rating:</v>
      </c>
      <c r="C4" s="992" t="str">
        <f>+IF('Introducerea datelor'!C12="Please Select","",'Introducerea datelor'!C12)</f>
        <v>A2</v>
      </c>
      <c r="D4" s="992"/>
      <c r="E4" s="823" t="str">
        <f>+'Introducerea datelor'!C8</f>
        <v>PI "CIMU HSRP"</v>
      </c>
      <c r="F4" s="823"/>
      <c r="G4" s="823"/>
      <c r="H4" s="823"/>
      <c r="I4" s="823"/>
      <c r="J4" s="810" t="str">
        <f>+'Introducerea datelor'!D16</f>
        <v>De la:</v>
      </c>
      <c r="K4" s="811"/>
      <c r="L4" s="195">
        <f>+IF(ISBLANK('Introducerea datelor'!E16),"",'Introducerea datelor'!E16)</f>
        <v>41456</v>
      </c>
    </row>
    <row r="5" spans="1:13" ht="18.75" customHeight="1">
      <c r="B5" s="24"/>
      <c r="C5" s="24"/>
      <c r="D5" s="823" t="str">
        <f>+'Introducerea datelor'!G4</f>
        <v>Scaling up Access to Prevention, Treatment and Care under the National Program for Prevention and Control of HIV/AIDS/STIs 2006-2010 and reducing morbidity, mortality and HIV-related impact on people living with HIV/AIDS, 2010-2014</v>
      </c>
      <c r="E5" s="823"/>
      <c r="F5" s="823"/>
      <c r="G5" s="823"/>
      <c r="H5" s="823"/>
      <c r="I5" s="823"/>
      <c r="J5" s="823"/>
      <c r="K5" s="24" t="str">
        <f>+'Introducerea datelor'!F16</f>
        <v>Pînă la:</v>
      </c>
      <c r="L5" s="195">
        <f>+IF(ISBLANK('Introducerea datelor'!G16),"",'Introducerea datelor'!G16)</f>
        <v>41639</v>
      </c>
    </row>
    <row r="6" spans="1:13" ht="18.75">
      <c r="B6" s="23"/>
      <c r="C6" s="24"/>
      <c r="D6" s="25"/>
      <c r="E6" s="825" t="s">
        <v>320</v>
      </c>
      <c r="F6" s="825"/>
      <c r="G6" s="825"/>
      <c r="H6" s="825"/>
      <c r="I6" s="825"/>
    </row>
    <row r="7" spans="1:13" ht="18.75">
      <c r="E7" s="72"/>
      <c r="F7" s="72"/>
      <c r="G7" s="72"/>
      <c r="H7" s="72"/>
      <c r="I7" s="72"/>
    </row>
    <row r="8" spans="1:13" s="33" customFormat="1" ht="21" customHeight="1" thickBot="1">
      <c r="B8" s="76" t="s">
        <v>81</v>
      </c>
      <c r="C8" s="76"/>
      <c r="D8" s="76"/>
      <c r="E8" s="76"/>
      <c r="F8" s="76"/>
      <c r="G8" s="76"/>
      <c r="H8" s="76"/>
      <c r="I8" s="76"/>
      <c r="J8" s="76"/>
      <c r="K8" s="76"/>
      <c r="L8" s="76"/>
    </row>
    <row r="9" spans="1:13" ht="6" customHeight="1">
      <c r="B9" s="74"/>
    </row>
    <row r="10" spans="1:13">
      <c r="B10" s="977" t="s">
        <v>532</v>
      </c>
      <c r="C10" s="978"/>
      <c r="D10" s="978"/>
      <c r="E10" s="978"/>
      <c r="F10" s="978"/>
      <c r="G10" s="978"/>
      <c r="H10" s="978"/>
      <c r="I10" s="978"/>
      <c r="J10" s="978"/>
      <c r="K10" s="978"/>
      <c r="L10" s="979"/>
    </row>
    <row r="11" spans="1:13">
      <c r="B11" s="980"/>
      <c r="C11" s="981"/>
      <c r="D11" s="981"/>
      <c r="E11" s="981"/>
      <c r="F11" s="981"/>
      <c r="G11" s="981"/>
      <c r="H11" s="981"/>
      <c r="I11" s="981"/>
      <c r="J11" s="981"/>
      <c r="K11" s="981"/>
      <c r="L11" s="982"/>
    </row>
    <row r="12" spans="1:13" ht="15.75" thickBot="1"/>
    <row r="13" spans="1:13" ht="26.25" customHeight="1" thickBot="1">
      <c r="B13" s="950" t="s">
        <v>276</v>
      </c>
      <c r="C13" s="951"/>
      <c r="D13" s="951"/>
      <c r="E13" s="952"/>
      <c r="F13" s="77"/>
      <c r="G13" s="946" t="s">
        <v>110</v>
      </c>
      <c r="H13" s="947"/>
      <c r="I13" s="947"/>
      <c r="J13" s="78" t="s">
        <v>82</v>
      </c>
      <c r="K13" s="947" t="s">
        <v>267</v>
      </c>
      <c r="L13" s="983"/>
    </row>
    <row r="14" spans="1:13" ht="6.75" customHeight="1">
      <c r="A14" s="943" t="s">
        <v>277</v>
      </c>
      <c r="B14" s="975"/>
      <c r="C14" s="975"/>
      <c r="D14" s="975"/>
      <c r="E14" s="976"/>
      <c r="F14" s="46"/>
      <c r="G14" s="989"/>
      <c r="H14" s="988"/>
      <c r="I14" s="988"/>
      <c r="J14" s="988"/>
      <c r="K14" s="988"/>
      <c r="L14" s="993"/>
    </row>
    <row r="15" spans="1:13" ht="6.75" customHeight="1">
      <c r="A15" s="944"/>
      <c r="B15" s="975"/>
      <c r="C15" s="975"/>
      <c r="D15" s="975"/>
      <c r="E15" s="976"/>
      <c r="F15" s="46"/>
      <c r="G15" s="948"/>
      <c r="H15" s="939"/>
      <c r="I15" s="939"/>
      <c r="J15" s="939"/>
      <c r="K15" s="939"/>
      <c r="L15" s="940"/>
    </row>
    <row r="16" spans="1:13" ht="6.75" customHeight="1">
      <c r="A16" s="944"/>
      <c r="B16" s="970"/>
      <c r="C16" s="970"/>
      <c r="D16" s="970"/>
      <c r="E16" s="971"/>
      <c r="F16" s="46"/>
      <c r="G16" s="948"/>
      <c r="H16" s="939"/>
      <c r="I16" s="939"/>
      <c r="J16" s="939"/>
      <c r="K16" s="939"/>
      <c r="L16" s="940"/>
    </row>
    <row r="17" spans="1:12" ht="6.75" customHeight="1">
      <c r="A17" s="944"/>
      <c r="B17" s="970"/>
      <c r="C17" s="970"/>
      <c r="D17" s="970"/>
      <c r="E17" s="971"/>
      <c r="F17" s="46"/>
      <c r="G17" s="948"/>
      <c r="H17" s="939"/>
      <c r="I17" s="939"/>
      <c r="J17" s="939"/>
      <c r="K17" s="939"/>
      <c r="L17" s="940"/>
    </row>
    <row r="18" spans="1:12" ht="6.75" customHeight="1">
      <c r="A18" s="944"/>
      <c r="B18" s="970"/>
      <c r="C18" s="970"/>
      <c r="D18" s="970"/>
      <c r="E18" s="971"/>
      <c r="F18" s="46"/>
      <c r="G18" s="984"/>
      <c r="H18" s="985"/>
      <c r="I18" s="986"/>
      <c r="J18" s="939"/>
      <c r="K18" s="939"/>
      <c r="L18" s="940"/>
    </row>
    <row r="19" spans="1:12" ht="6.75" customHeight="1">
      <c r="A19" s="944"/>
      <c r="B19" s="970"/>
      <c r="C19" s="970"/>
      <c r="D19" s="970"/>
      <c r="E19" s="971"/>
      <c r="F19" s="46"/>
      <c r="G19" s="959"/>
      <c r="H19" s="960"/>
      <c r="I19" s="987"/>
      <c r="J19" s="939"/>
      <c r="K19" s="939"/>
      <c r="L19" s="940"/>
    </row>
    <row r="20" spans="1:12" ht="6.75" customHeight="1">
      <c r="A20" s="944"/>
      <c r="B20" s="970"/>
      <c r="C20" s="970"/>
      <c r="D20" s="970"/>
      <c r="E20" s="971"/>
      <c r="F20" s="46"/>
      <c r="G20" s="948"/>
      <c r="H20" s="939"/>
      <c r="I20" s="939"/>
      <c r="J20" s="939"/>
      <c r="K20" s="939"/>
      <c r="L20" s="940"/>
    </row>
    <row r="21" spans="1:12" ht="6.75" customHeight="1">
      <c r="A21" s="944"/>
      <c r="B21" s="970"/>
      <c r="C21" s="970"/>
      <c r="D21" s="970"/>
      <c r="E21" s="971"/>
      <c r="F21" s="46"/>
      <c r="G21" s="948"/>
      <c r="H21" s="939"/>
      <c r="I21" s="939"/>
      <c r="J21" s="939"/>
      <c r="K21" s="939"/>
      <c r="L21" s="940"/>
    </row>
    <row r="22" spans="1:12" ht="6.75" customHeight="1">
      <c r="A22" s="944"/>
      <c r="B22" s="970"/>
      <c r="C22" s="970"/>
      <c r="D22" s="970"/>
      <c r="E22" s="971"/>
      <c r="F22" s="46"/>
      <c r="G22" s="948"/>
      <c r="H22" s="939"/>
      <c r="I22" s="939"/>
      <c r="J22" s="939"/>
      <c r="K22" s="939"/>
      <c r="L22" s="940"/>
    </row>
    <row r="23" spans="1:12" ht="6.75" customHeight="1">
      <c r="A23" s="944"/>
      <c r="B23" s="970"/>
      <c r="C23" s="970"/>
      <c r="D23" s="970"/>
      <c r="E23" s="971"/>
      <c r="F23" s="46"/>
      <c r="G23" s="948"/>
      <c r="H23" s="939"/>
      <c r="I23" s="939"/>
      <c r="J23" s="939"/>
      <c r="K23" s="939"/>
      <c r="L23" s="940"/>
    </row>
    <row r="24" spans="1:12" ht="6.75" customHeight="1">
      <c r="A24" s="944"/>
      <c r="B24" s="970"/>
      <c r="C24" s="970"/>
      <c r="D24" s="970"/>
      <c r="E24" s="971"/>
      <c r="F24" s="46"/>
      <c r="G24" s="948"/>
      <c r="H24" s="939"/>
      <c r="I24" s="939"/>
      <c r="J24" s="939"/>
      <c r="K24" s="939"/>
      <c r="L24" s="940"/>
    </row>
    <row r="25" spans="1:12" ht="6.75" customHeight="1" thickBot="1">
      <c r="A25" s="945"/>
      <c r="B25" s="972"/>
      <c r="C25" s="972"/>
      <c r="D25" s="972"/>
      <c r="E25" s="973"/>
      <c r="F25" s="46"/>
      <c r="G25" s="953"/>
      <c r="H25" s="954"/>
      <c r="I25" s="954"/>
      <c r="J25" s="954"/>
      <c r="K25" s="954"/>
      <c r="L25" s="990"/>
    </row>
    <row r="27" spans="1:12" ht="18.75">
      <c r="E27" s="949" t="s">
        <v>299</v>
      </c>
      <c r="F27" s="949"/>
      <c r="G27" s="949"/>
      <c r="H27" s="949"/>
      <c r="I27" s="949"/>
    </row>
    <row r="28" spans="1:12" ht="6" customHeight="1">
      <c r="E28" s="72"/>
      <c r="F28" s="72"/>
      <c r="G28" s="72"/>
      <c r="H28" s="72"/>
      <c r="I28" s="72"/>
    </row>
    <row r="29" spans="1:12" s="33" customFormat="1" ht="21" customHeight="1" thickBot="1">
      <c r="B29" s="76" t="s">
        <v>81</v>
      </c>
      <c r="C29" s="76"/>
      <c r="D29" s="76"/>
      <c r="E29" s="76"/>
      <c r="F29" s="76"/>
      <c r="G29" s="76"/>
      <c r="H29" s="76"/>
      <c r="I29" s="76"/>
      <c r="J29" s="76"/>
      <c r="K29" s="76"/>
      <c r="L29" s="76"/>
    </row>
    <row r="30" spans="1:12" ht="6" customHeight="1" thickBot="1">
      <c r="B30" s="74"/>
    </row>
    <row r="31" spans="1:12" ht="21.75" customHeight="1" thickBot="1">
      <c r="B31" s="950" t="s">
        <v>110</v>
      </c>
      <c r="C31" s="951"/>
      <c r="D31" s="951"/>
      <c r="E31" s="952"/>
      <c r="F31" s="77"/>
      <c r="G31" s="946" t="s">
        <v>288</v>
      </c>
      <c r="H31" s="947"/>
      <c r="I31" s="947"/>
      <c r="J31" s="78" t="s">
        <v>269</v>
      </c>
      <c r="K31" s="947" t="s">
        <v>267</v>
      </c>
      <c r="L31" s="983"/>
    </row>
    <row r="32" spans="1:12" ht="7.5" customHeight="1">
      <c r="A32" s="943" t="s">
        <v>278</v>
      </c>
      <c r="B32" s="956"/>
      <c r="C32" s="957"/>
      <c r="D32" s="957"/>
      <c r="E32" s="958"/>
      <c r="F32" s="46"/>
      <c r="G32" s="974"/>
      <c r="H32" s="941"/>
      <c r="I32" s="941"/>
      <c r="J32" s="941"/>
      <c r="K32" s="941"/>
      <c r="L32" s="995"/>
    </row>
    <row r="33" spans="1:12" ht="7.5" customHeight="1">
      <c r="A33" s="944"/>
      <c r="B33" s="959"/>
      <c r="C33" s="960"/>
      <c r="D33" s="960"/>
      <c r="E33" s="961"/>
      <c r="F33" s="46"/>
      <c r="G33" s="955"/>
      <c r="H33" s="942"/>
      <c r="I33" s="942"/>
      <c r="J33" s="942"/>
      <c r="K33" s="942"/>
      <c r="L33" s="991"/>
    </row>
    <row r="34" spans="1:12" ht="7.5" customHeight="1">
      <c r="A34" s="944"/>
      <c r="B34" s="962" t="str">
        <f>IF(Recomandari!I43="","",Recomandari!I43)</f>
        <v/>
      </c>
      <c r="C34" s="963"/>
      <c r="D34" s="963"/>
      <c r="E34" s="964"/>
      <c r="F34" s="46"/>
      <c r="G34" s="955"/>
      <c r="H34" s="942"/>
      <c r="I34" s="942"/>
      <c r="J34" s="942"/>
      <c r="K34" s="942"/>
      <c r="L34" s="991"/>
    </row>
    <row r="35" spans="1:12" ht="7.5" customHeight="1">
      <c r="A35" s="944"/>
      <c r="B35" s="962"/>
      <c r="C35" s="963"/>
      <c r="D35" s="963"/>
      <c r="E35" s="964"/>
      <c r="F35" s="46"/>
      <c r="G35" s="955"/>
      <c r="H35" s="942"/>
      <c r="I35" s="942"/>
      <c r="J35" s="942"/>
      <c r="K35" s="942"/>
      <c r="L35" s="991"/>
    </row>
    <row r="36" spans="1:12" ht="7.5" customHeight="1">
      <c r="A36" s="944"/>
      <c r="B36" s="962" t="str">
        <f>+IF(Recomandari!I53="","",Recomandari!I53)</f>
        <v/>
      </c>
      <c r="C36" s="963"/>
      <c r="D36" s="963"/>
      <c r="E36" s="964"/>
      <c r="F36" s="46"/>
      <c r="G36" s="955"/>
      <c r="H36" s="942"/>
      <c r="I36" s="942"/>
      <c r="J36" s="942"/>
      <c r="K36" s="942"/>
      <c r="L36" s="991"/>
    </row>
    <row r="37" spans="1:12" ht="7.5" customHeight="1">
      <c r="A37" s="944"/>
      <c r="B37" s="962"/>
      <c r="C37" s="963"/>
      <c r="D37" s="963"/>
      <c r="E37" s="964"/>
      <c r="F37" s="46"/>
      <c r="G37" s="955"/>
      <c r="H37" s="942"/>
      <c r="I37" s="942"/>
      <c r="J37" s="942"/>
      <c r="K37" s="942"/>
      <c r="L37" s="991"/>
    </row>
    <row r="38" spans="1:12" ht="7.5" customHeight="1">
      <c r="A38" s="944"/>
      <c r="B38" s="962"/>
      <c r="C38" s="963"/>
      <c r="D38" s="963"/>
      <c r="E38" s="964"/>
      <c r="F38" s="46"/>
      <c r="G38" s="955"/>
      <c r="H38" s="942"/>
      <c r="I38" s="942"/>
      <c r="J38" s="942"/>
      <c r="K38" s="942"/>
      <c r="L38" s="991"/>
    </row>
    <row r="39" spans="1:12" ht="7.5" customHeight="1">
      <c r="A39" s="944"/>
      <c r="B39" s="962"/>
      <c r="C39" s="963"/>
      <c r="D39" s="963"/>
      <c r="E39" s="964"/>
      <c r="F39" s="46"/>
      <c r="G39" s="955"/>
      <c r="H39" s="942"/>
      <c r="I39" s="942"/>
      <c r="J39" s="942"/>
      <c r="K39" s="942"/>
      <c r="L39" s="991"/>
    </row>
    <row r="40" spans="1:12" ht="7.5" customHeight="1">
      <c r="A40" s="944"/>
      <c r="B40" s="962"/>
      <c r="C40" s="963"/>
      <c r="D40" s="963"/>
      <c r="E40" s="964"/>
      <c r="F40" s="46"/>
      <c r="G40" s="955"/>
      <c r="H40" s="942"/>
      <c r="I40" s="942"/>
      <c r="J40" s="942"/>
      <c r="K40" s="942"/>
      <c r="L40" s="991"/>
    </row>
    <row r="41" spans="1:12" ht="7.5" customHeight="1">
      <c r="A41" s="944"/>
      <c r="B41" s="962"/>
      <c r="C41" s="963"/>
      <c r="D41" s="963"/>
      <c r="E41" s="964"/>
      <c r="F41" s="46"/>
      <c r="G41" s="955"/>
      <c r="H41" s="942"/>
      <c r="I41" s="942"/>
      <c r="J41" s="942"/>
      <c r="K41" s="942"/>
      <c r="L41" s="991"/>
    </row>
    <row r="42" spans="1:12" ht="7.5" customHeight="1">
      <c r="A42" s="944"/>
      <c r="B42" s="962"/>
      <c r="C42" s="963"/>
      <c r="D42" s="963"/>
      <c r="E42" s="964"/>
      <c r="F42" s="46"/>
      <c r="G42" s="955"/>
      <c r="H42" s="942"/>
      <c r="I42" s="942"/>
      <c r="J42" s="942"/>
      <c r="K42" s="942"/>
      <c r="L42" s="991"/>
    </row>
    <row r="43" spans="1:12" ht="7.5" customHeight="1" thickBot="1">
      <c r="A43" s="945"/>
      <c r="B43" s="965"/>
      <c r="C43" s="966"/>
      <c r="D43" s="966"/>
      <c r="E43" s="967"/>
      <c r="F43" s="46"/>
      <c r="G43" s="968"/>
      <c r="H43" s="969"/>
      <c r="I43" s="969"/>
      <c r="J43" s="969"/>
      <c r="K43" s="969"/>
      <c r="L43" s="994"/>
    </row>
  </sheetData>
  <mergeCells count="67">
    <mergeCell ref="K42:L43"/>
    <mergeCell ref="K36:L37"/>
    <mergeCell ref="K38:L39"/>
    <mergeCell ref="K32:L33"/>
    <mergeCell ref="J36:J37"/>
    <mergeCell ref="J40:J41"/>
    <mergeCell ref="J42:J43"/>
    <mergeCell ref="J38:J39"/>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A14:A25"/>
    <mergeCell ref="J18:J19"/>
    <mergeCell ref="J16:J17"/>
    <mergeCell ref="J14:J15"/>
    <mergeCell ref="B16:E17"/>
    <mergeCell ref="G14:I15"/>
    <mergeCell ref="B34:E35"/>
    <mergeCell ref="G34:I35"/>
    <mergeCell ref="J34:J35"/>
    <mergeCell ref="B36:E37"/>
    <mergeCell ref="G36:I37"/>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s>
  <phoneticPr fontId="30" type="noConversion"/>
  <conditionalFormatting sqref="C4:D4">
    <cfRule type="cellIs" dxfId="14" priority="1" stopIfTrue="1" operator="equal">
      <formula>"C"</formula>
    </cfRule>
    <cfRule type="cellIs" dxfId="13" priority="2" stopIfTrue="1" operator="equal">
      <formula>"B2"</formula>
    </cfRule>
    <cfRule type="cellIs" dxfId="12"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r:id="rId1"/>
  <headerFooter alignWithMargins="0">
    <oddFooter>&amp;L&amp;F&amp;C&amp;A&amp;RV1.0          &amp;D</oddFooter>
  </headerFooter>
  <ignoredErrors>
    <ignoredError sqref="C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EBF073CC-B72F-4A6E-89A6-C2004FB1AA75}">
  <ds:schemaRefs>
    <ds:schemaRef ds:uri="http://schemas.microsoft.com/office/2006/metadata/properties"/>
    <ds:schemaRef ds:uri="f127e3a1-6a43-4b35-8211-dfdf2a8cacea"/>
    <ds:schemaRef ds:uri="http://schemas.microsoft.com/sharepoint/v3"/>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Meniu</vt:lpstr>
      <vt:lpstr>Lista Indicatorilor</vt:lpstr>
      <vt:lpstr>Introducerea datelor</vt:lpstr>
      <vt:lpstr>Detalii despre Grant</vt:lpstr>
      <vt:lpstr>Financiar</vt:lpstr>
      <vt:lpstr>Management</vt:lpstr>
      <vt:lpstr>Programatic</vt:lpstr>
      <vt:lpstr>Recomandari</vt:lpstr>
      <vt:lpstr>Actions</vt:lpstr>
      <vt:lpstr>Setup</vt:lpstr>
      <vt:lpstr>Component</vt:lpstr>
      <vt:lpstr>Countries</vt:lpstr>
      <vt:lpstr>Currency</vt:lpstr>
      <vt:lpstr>LFA</vt:lpstr>
      <vt:lpstr>Medicaments</vt:lpstr>
      <vt:lpstr>PERIOD</vt:lpstr>
      <vt:lpstr>Phase</vt:lpstr>
      <vt:lpstr>Actions!Print_Area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F station</cp:lastModifiedBy>
  <cp:lastPrinted>2014-05-22T07:46:16Z</cp:lastPrinted>
  <dcterms:created xsi:type="dcterms:W3CDTF">2008-11-20T16:06:13Z</dcterms:created>
  <dcterms:modified xsi:type="dcterms:W3CDTF">2014-05-22T11:12:27Z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