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ocs\desktop\"/>
    </mc:Choice>
  </mc:AlternateContent>
  <bookViews>
    <workbookView xWindow="0" yWindow="0" windowWidth="24240" windowHeight="11985" tabRatio="721" activeTab="3"/>
  </bookViews>
  <sheets>
    <sheet name="Meniu" sheetId="1" r:id="rId1"/>
    <sheet name="Lista Indicatorilor" sheetId="45" r:id="rId2"/>
    <sheet name="Introducerea datelor" sheetId="29" r:id="rId3"/>
    <sheet name="Detail despre Grant" sheetId="27" r:id="rId4"/>
    <sheet name="Management" sheetId="35" r:id="rId5"/>
    <sheet name="Financiar" sheetId="30" r:id="rId6"/>
    <sheet name="Programatic" sheetId="37" r:id="rId7"/>
    <sheet name="Recomandari" sheetId="42" r:id="rId8"/>
    <sheet name="Actiuni" sheetId="39" r:id="rId9"/>
    <sheet name="Setup" sheetId="32" state="hidden" r:id="rId10"/>
    <sheet name="Sheet1" sheetId="46" r:id="rId11"/>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Actiuni!$A$1:$L$43</definedName>
    <definedName name="_xlnm.Print_Area" localSheetId="5">Financiar!$A$2:$K$33</definedName>
    <definedName name="_xlnm.Print_Area" localSheetId="2">'Introducerea datelor'!$A$1:$S$149</definedName>
    <definedName name="_xlnm.Print_Area" localSheetId="4">Management!$A$2:$L$34</definedName>
    <definedName name="_xlnm.Print_Area" localSheetId="6">Programatic!$A$1:$R$29</definedName>
    <definedName name="PrintA">Actiuni!$A$2:$L$34</definedName>
    <definedName name="PrintDataF">'Introducerea datelor'!$B$25:$J$65</definedName>
    <definedName name="PrintDataM">'Introducerea datelor'!$B$67:$H$111</definedName>
    <definedName name="PrintF">Financiar!$A$2:$K$31</definedName>
    <definedName name="PrintGD">'Detail despre Grant'!$A$2:$J$13</definedName>
    <definedName name="PrintM" localSheetId="8">Actiuni!$A$2:$L$6</definedName>
    <definedName name="PrintM">Management!$A$2:$L$36</definedName>
    <definedName name="PrintP">Programatic!$A$2:$P$30</definedName>
    <definedName name="PrintR">Recomandari!$A$2:$N$41</definedName>
    <definedName name="Rating">Setup!$G$9:$G$14</definedName>
    <definedName name="Round">Setup!$D$9:$D$21</definedName>
  </definedNames>
  <calcPr calcId="152511"/>
</workbook>
</file>

<file path=xl/calcChain.xml><?xml version="1.0" encoding="utf-8"?>
<calcChain xmlns="http://schemas.openxmlformats.org/spreadsheetml/2006/main">
  <c r="D37" i="42" l="1"/>
  <c r="D96" i="29" l="1"/>
  <c r="D44" i="29"/>
  <c r="C43" i="29"/>
  <c r="D43" i="29"/>
  <c r="D39" i="29"/>
  <c r="D40" i="29"/>
  <c r="C40" i="29"/>
  <c r="C39" i="29"/>
  <c r="D98" i="29" l="1"/>
  <c r="E98" i="29" s="1"/>
  <c r="F98" i="29" s="1"/>
  <c r="G98" i="29" s="1"/>
  <c r="H98" i="29" s="1"/>
  <c r="I98" i="29" s="1"/>
  <c r="J98" i="29" s="1"/>
  <c r="K98" i="29" s="1"/>
  <c r="L98" i="29" s="1"/>
  <c r="M98" i="29" s="1"/>
  <c r="N98" i="29" s="1"/>
  <c r="D99" i="29"/>
  <c r="E99" i="29" s="1"/>
  <c r="F99" i="29" s="1"/>
  <c r="G99" i="29" s="1"/>
  <c r="H99" i="29" s="1"/>
  <c r="I99" i="29" s="1"/>
  <c r="J99" i="29" s="1"/>
  <c r="K99" i="29" s="1"/>
  <c r="L99" i="29" s="1"/>
  <c r="M99" i="29" s="1"/>
  <c r="N99" i="29" s="1"/>
  <c r="D100" i="29"/>
  <c r="E100" i="29" s="1"/>
  <c r="F100" i="29" s="1"/>
  <c r="G100" i="29" s="1"/>
  <c r="H100" i="29" s="1"/>
  <c r="I100" i="29" s="1"/>
  <c r="J100" i="29" s="1"/>
  <c r="K100" i="29" s="1"/>
  <c r="L100" i="29" s="1"/>
  <c r="M100" i="29" s="1"/>
  <c r="N100" i="29" s="1"/>
  <c r="D33" i="29"/>
  <c r="R30" i="29" s="1"/>
  <c r="C47" i="29"/>
  <c r="D47" i="29"/>
  <c r="D41" i="42"/>
  <c r="B28" i="37"/>
  <c r="B27" i="37"/>
  <c r="B26" i="37"/>
  <c r="B24" i="37"/>
  <c r="B23" i="37"/>
  <c r="Q145" i="29"/>
  <c r="R145" i="29"/>
  <c r="Q146" i="29"/>
  <c r="R146" i="29"/>
  <c r="I145" i="29"/>
  <c r="J145" i="29"/>
  <c r="K145" i="29"/>
  <c r="L145" i="29"/>
  <c r="M145" i="29"/>
  <c r="N145" i="29"/>
  <c r="O145" i="29"/>
  <c r="P145" i="29"/>
  <c r="I146" i="29"/>
  <c r="J146" i="29"/>
  <c r="K146" i="29"/>
  <c r="L146" i="29"/>
  <c r="M146" i="29"/>
  <c r="N146" i="29"/>
  <c r="O146" i="29"/>
  <c r="P146" i="29"/>
  <c r="H146" i="29"/>
  <c r="H145" i="29"/>
  <c r="F26" i="37"/>
  <c r="F24" i="37"/>
  <c r="E26" i="37"/>
  <c r="E24" i="37"/>
  <c r="E25" i="37"/>
  <c r="L8" i="37"/>
  <c r="K148" i="29"/>
  <c r="K147" i="29"/>
  <c r="K144" i="29"/>
  <c r="K143" i="29"/>
  <c r="B2" i="39"/>
  <c r="B2" i="42"/>
  <c r="B20" i="37"/>
  <c r="E20" i="37"/>
  <c r="B2" i="37"/>
  <c r="B2" i="35"/>
  <c r="B2" i="30"/>
  <c r="B2" i="45"/>
  <c r="B3" i="27"/>
  <c r="B2" i="1" s="1"/>
  <c r="I9" i="27"/>
  <c r="E51" i="29"/>
  <c r="C38" i="29"/>
  <c r="D38" i="29"/>
  <c r="B32" i="29"/>
  <c r="B31" i="29"/>
  <c r="D29" i="42"/>
  <c r="E53" i="29"/>
  <c r="E52" i="29"/>
  <c r="E55" i="29"/>
  <c r="E54" i="29"/>
  <c r="D34" i="29"/>
  <c r="E34" i="29"/>
  <c r="F34" i="29"/>
  <c r="G34" i="29"/>
  <c r="H34" i="29"/>
  <c r="I34" i="29"/>
  <c r="J34" i="29"/>
  <c r="K34" i="29"/>
  <c r="L34" i="29"/>
  <c r="M34" i="29"/>
  <c r="F20" i="37"/>
  <c r="B22" i="45"/>
  <c r="F29" i="37"/>
  <c r="F28" i="37"/>
  <c r="E28" i="37"/>
  <c r="F27" i="37"/>
  <c r="F25" i="37"/>
  <c r="E29" i="37"/>
  <c r="E27" i="37"/>
  <c r="F23" i="37"/>
  <c r="E23" i="37"/>
  <c r="F22" i="37"/>
  <c r="E22" i="37"/>
  <c r="F21" i="37"/>
  <c r="E21" i="37"/>
  <c r="K5" i="30"/>
  <c r="K4" i="30"/>
  <c r="L5" i="35"/>
  <c r="L4" i="35"/>
  <c r="Q5" i="37"/>
  <c r="Q4" i="37"/>
  <c r="M5" i="42"/>
  <c r="M4" i="42"/>
  <c r="L5" i="39"/>
  <c r="L4" i="39"/>
  <c r="C4" i="39"/>
  <c r="C3" i="39"/>
  <c r="B3" i="39"/>
  <c r="C4" i="42"/>
  <c r="C3" i="42"/>
  <c r="B3" i="42"/>
  <c r="C4" i="37"/>
  <c r="C3" i="37"/>
  <c r="B3" i="37"/>
  <c r="C4" i="35"/>
  <c r="C3" i="35"/>
  <c r="B3" i="35"/>
  <c r="C4" i="30"/>
  <c r="C3" i="30"/>
  <c r="B3" i="30"/>
  <c r="G9" i="27"/>
  <c r="G13" i="27"/>
  <c r="G11" i="27"/>
  <c r="D11" i="27"/>
  <c r="B12" i="27"/>
  <c r="I11" i="27"/>
  <c r="D10" i="27"/>
  <c r="B10" i="27"/>
  <c r="B9" i="27"/>
  <c r="B6" i="27"/>
  <c r="B4" i="1"/>
  <c r="E90" i="29"/>
  <c r="E89" i="29"/>
  <c r="D11" i="42"/>
  <c r="J3" i="35"/>
  <c r="L3" i="35"/>
  <c r="H15" i="35" s="1"/>
  <c r="I3" i="30"/>
  <c r="B22" i="30" s="1"/>
  <c r="K3" i="30"/>
  <c r="D33" i="42"/>
  <c r="D34" i="42"/>
  <c r="D35" i="42"/>
  <c r="D36" i="42"/>
  <c r="D38" i="42"/>
  <c r="D39" i="42"/>
  <c r="D40" i="42"/>
  <c r="D32" i="42"/>
  <c r="D31" i="42"/>
  <c r="D30" i="42"/>
  <c r="E109" i="29"/>
  <c r="G109" i="29" s="1"/>
  <c r="I109" i="29" s="1"/>
  <c r="E108" i="29"/>
  <c r="G108" i="29" s="1"/>
  <c r="I108" i="29" s="1"/>
  <c r="E110" i="29"/>
  <c r="G110" i="29"/>
  <c r="I110" i="29" s="1"/>
  <c r="E111" i="29"/>
  <c r="G111" i="29"/>
  <c r="I111" i="29"/>
  <c r="K30" i="35"/>
  <c r="K31" i="35"/>
  <c r="K32" i="35"/>
  <c r="K33" i="35"/>
  <c r="L144" i="29"/>
  <c r="M144" i="29"/>
  <c r="N144" i="29"/>
  <c r="O144" i="29"/>
  <c r="P144" i="29"/>
  <c r="Q144" i="29"/>
  <c r="R144" i="29"/>
  <c r="S144" i="29"/>
  <c r="S145"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N33" i="29"/>
  <c r="N35" i="29" s="1"/>
  <c r="N34" i="29"/>
  <c r="H29" i="30"/>
  <c r="H28" i="30"/>
  <c r="H27" i="30"/>
  <c r="D24" i="42"/>
  <c r="D23" i="42"/>
  <c r="D22" i="42"/>
  <c r="D21" i="42"/>
  <c r="D20" i="42"/>
  <c r="D19" i="42"/>
  <c r="D14" i="42"/>
  <c r="D13" i="42"/>
  <c r="D12" i="42"/>
  <c r="B25" i="45"/>
  <c r="B23" i="45"/>
  <c r="B21" i="45"/>
  <c r="B20" i="45"/>
  <c r="B19" i="45"/>
  <c r="B11" i="45"/>
  <c r="B10" i="45"/>
  <c r="B9" i="45"/>
  <c r="B8" i="45"/>
  <c r="B4" i="37"/>
  <c r="B4" i="35"/>
  <c r="B4" i="30"/>
  <c r="G73" i="29"/>
  <c r="F20" i="42" s="1"/>
  <c r="G12" i="27"/>
  <c r="H4" i="1"/>
  <c r="G72"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E79" i="29"/>
  <c r="D5" i="35"/>
  <c r="E4" i="35"/>
  <c r="K5" i="35"/>
  <c r="J4" i="35"/>
  <c r="D5" i="37"/>
  <c r="P5" i="37"/>
  <c r="P4" i="37"/>
  <c r="N3" i="37"/>
  <c r="J5" i="30"/>
  <c r="D5" i="30"/>
  <c r="I4" i="30"/>
  <c r="E4" i="30"/>
  <c r="F8" i="37"/>
  <c r="B8" i="37"/>
  <c r="L143" i="29"/>
  <c r="J148" i="29"/>
  <c r="J147" i="29"/>
  <c r="J144" i="29"/>
  <c r="J143" i="29"/>
  <c r="I148" i="29"/>
  <c r="I147" i="29"/>
  <c r="I144" i="29"/>
  <c r="I143" i="29"/>
  <c r="H148" i="29"/>
  <c r="H147" i="29"/>
  <c r="H144" i="29"/>
  <c r="H143" i="29"/>
  <c r="B25" i="37"/>
  <c r="S142" i="29"/>
  <c r="R142" i="29"/>
  <c r="Q142" i="29"/>
  <c r="P142" i="29"/>
  <c r="O142" i="29"/>
  <c r="B22" i="37"/>
  <c r="B21" i="37"/>
  <c r="N142" i="29"/>
  <c r="M142" i="29"/>
  <c r="L142" i="29"/>
  <c r="K142" i="29"/>
  <c r="J142" i="29"/>
  <c r="I142" i="29"/>
  <c r="H142" i="29"/>
  <c r="B36" i="39"/>
  <c r="B34" i="39"/>
  <c r="B34" i="35"/>
  <c r="Z24" i="37"/>
  <c r="AA24" i="37" s="1"/>
  <c r="Z23" i="37"/>
  <c r="AA23" i="37"/>
  <c r="AD23" i="37" s="1"/>
  <c r="Z22" i="37"/>
  <c r="AA22" i="37"/>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9" i="37"/>
  <c r="T27" i="37"/>
  <c r="U27" i="37"/>
  <c r="V27" i="37"/>
  <c r="W27" i="37"/>
  <c r="X27" i="37"/>
  <c r="T28" i="37"/>
  <c r="U28" i="37"/>
  <c r="V28" i="37"/>
  <c r="W28" i="37"/>
  <c r="X28" i="37"/>
  <c r="T29" i="37"/>
  <c r="V29" i="37"/>
  <c r="X29" i="37"/>
  <c r="T31" i="37"/>
  <c r="T30" i="37"/>
  <c r="U30" i="37"/>
  <c r="V30" i="37"/>
  <c r="W30" i="37"/>
  <c r="X30" i="37"/>
  <c r="U31" i="37"/>
  <c r="W31" i="37"/>
  <c r="T32" i="37"/>
  <c r="U32" i="37"/>
  <c r="V32" i="37"/>
  <c r="W32" i="37"/>
  <c r="X32" i="37"/>
  <c r="T33" i="37"/>
  <c r="U33" i="37"/>
  <c r="V33" i="37"/>
  <c r="W33" i="37"/>
  <c r="X33" i="37"/>
  <c r="X31" i="37"/>
  <c r="V31" i="37"/>
  <c r="W29" i="37"/>
  <c r="C35" i="29"/>
  <c r="B3" i="32"/>
  <c r="E20" i="42"/>
  <c r="AE23" i="37"/>
  <c r="R29" i="29"/>
  <c r="H7" i="35"/>
  <c r="AC22" i="37"/>
  <c r="AF22" i="37"/>
  <c r="AE22" i="37"/>
  <c r="AD22" i="37"/>
  <c r="AB22" i="37"/>
  <c r="K111" i="29"/>
  <c r="L33" i="35" s="1"/>
  <c r="J33" i="35"/>
  <c r="AB23" i="37"/>
  <c r="AF23" i="37"/>
  <c r="AC23" i="37"/>
  <c r="E33" i="29"/>
  <c r="E35" i="29" s="1"/>
  <c r="D35" i="29"/>
  <c r="F33" i="29"/>
  <c r="R32" i="29" s="1"/>
  <c r="G33" i="29"/>
  <c r="R33" i="29" s="1"/>
  <c r="H33" i="29"/>
  <c r="H35" i="29" s="1"/>
  <c r="I33" i="29"/>
  <c r="R35" i="29" s="1"/>
  <c r="J33" i="29"/>
  <c r="J35" i="29" s="1"/>
  <c r="K33" i="29"/>
  <c r="R50" i="29" s="1"/>
  <c r="L33" i="29"/>
  <c r="L35" i="29" s="1"/>
  <c r="M33" i="29"/>
  <c r="M35" i="29" s="1"/>
  <c r="H22" i="30"/>
  <c r="AB24" i="37" l="1"/>
  <c r="AF24" i="37"/>
  <c r="AC24" i="37"/>
  <c r="AD24" i="37"/>
  <c r="AE24" i="37"/>
  <c r="J30" i="35"/>
  <c r="K108" i="29"/>
  <c r="L30" i="35" s="1"/>
  <c r="K109" i="29"/>
  <c r="L31" i="35" s="1"/>
  <c r="J31" i="35"/>
  <c r="J32" i="35"/>
  <c r="K110" i="29"/>
  <c r="L32" i="35" s="1"/>
  <c r="H8" i="30"/>
  <c r="H26" i="35"/>
  <c r="B8" i="30"/>
  <c r="F47" i="29"/>
  <c r="G22" i="37"/>
  <c r="B7" i="35"/>
  <c r="B15" i="35"/>
  <c r="K35" i="29"/>
  <c r="I35" i="29"/>
  <c r="G35" i="29"/>
  <c r="R31" i="29"/>
  <c r="R34" i="29"/>
  <c r="F35" i="29"/>
  <c r="R49" i="29"/>
  <c r="Q51" i="29"/>
  <c r="G28" i="37"/>
  <c r="G24" i="37"/>
  <c r="G25" i="37"/>
  <c r="G27" i="37"/>
  <c r="G20" i="37"/>
  <c r="G21" i="37"/>
  <c r="G23" i="37"/>
  <c r="G29" i="37"/>
  <c r="G26" i="37"/>
  <c r="O31" i="29" l="1"/>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72" authorId="1" shapeId="0">
      <text>
        <r>
          <rPr>
            <b/>
            <sz val="8"/>
            <color indexed="81"/>
            <rFont val="Tahoma"/>
            <family val="2"/>
            <charset val="204"/>
          </rPr>
          <t xml:space="preserve">If data are not available, do not enter zeros; rather, leave the cells in the table blank. </t>
        </r>
      </text>
    </comment>
    <comment ref="B73" authorId="1" shapeId="0">
      <text>
        <r>
          <rPr>
            <b/>
            <sz val="8"/>
            <color indexed="81"/>
            <rFont val="Tahoma"/>
            <family val="2"/>
            <charset val="204"/>
          </rPr>
          <t>If data are not available, do not enter zeros; rather, leave the cells in this table blank.</t>
        </r>
      </text>
    </comment>
    <comment ref="B79" authorId="0" shapeId="0">
      <text>
        <r>
          <rPr>
            <sz val="8"/>
            <color indexed="81"/>
            <rFont val="Tahoma"/>
            <family val="2"/>
            <charset val="204"/>
          </rPr>
          <t xml:space="preserve">If data are not available, do not enter zeros; rather, leave the cells in this table blank. </t>
        </r>
      </text>
    </comment>
    <comment ref="B94"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<sst xmlns="http://schemas.openxmlformats.org/spreadsheetml/2006/main" count="648" uniqueCount="495">
  <si>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</si>
  <si>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Comments:</t>
  </si>
  <si>
    <t>€</t>
  </si>
  <si>
    <t>Round 9</t>
  </si>
  <si>
    <t>Phase 2</t>
  </si>
  <si>
    <t>Round 1</t>
  </si>
  <si>
    <t>Phase 1</t>
  </si>
  <si>
    <t>$</t>
  </si>
  <si>
    <t>Round 2</t>
  </si>
  <si>
    <t>Round 3</t>
  </si>
  <si>
    <t>RCC</t>
  </si>
  <si>
    <t>Round 4</t>
  </si>
  <si>
    <t>HIV / AIDS</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</si>
  <si>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</si>
  <si>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</si>
  <si>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</si>
  <si>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</si>
  <si>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</si>
  <si>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</si>
  <si>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</si>
  <si>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</si>
  <si>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</si>
  <si>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</si>
  <si>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</si>
  <si>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</si>
  <si>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</si>
  <si>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</si>
  <si>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</si>
  <si>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</si>
  <si>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</si>
  <si>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</si>
  <si>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</si>
  <si>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</si>
  <si>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</si>
  <si>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</si>
  <si>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</si>
  <si>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</si>
  <si>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</si>
  <si>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</si>
  <si>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</si>
  <si>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NVP</t>
  </si>
  <si>
    <t>3TC</t>
  </si>
  <si>
    <t>D4T</t>
  </si>
  <si>
    <t>AZT</t>
  </si>
  <si>
    <t>DDI</t>
  </si>
  <si>
    <t>EFV</t>
  </si>
  <si>
    <t>AS/MQ</t>
  </si>
  <si>
    <t>AS/LF</t>
  </si>
  <si>
    <t>AS/AQ</t>
  </si>
  <si>
    <t>Peru</t>
  </si>
  <si>
    <t>HIVAIDS / TB</t>
  </si>
  <si>
    <t>HSS</t>
  </si>
  <si>
    <t>Target</t>
  </si>
  <si>
    <t xml:space="preserve">Achieved </t>
  </si>
  <si>
    <t>Medicaments</t>
  </si>
  <si>
    <t>min</t>
  </si>
  <si>
    <t>max</t>
  </si>
  <si>
    <t>Management</t>
  </si>
  <si>
    <t>F1</t>
  </si>
  <si>
    <t>F2</t>
  </si>
  <si>
    <t>F3</t>
  </si>
  <si>
    <t>F4</t>
  </si>
  <si>
    <t>P1</t>
  </si>
  <si>
    <t>P2</t>
  </si>
  <si>
    <t>P3</t>
  </si>
  <si>
    <t>P4</t>
  </si>
  <si>
    <t>M1</t>
  </si>
  <si>
    <t>M2</t>
  </si>
  <si>
    <t>M3</t>
  </si>
  <si>
    <t>M4</t>
  </si>
  <si>
    <t>M5</t>
  </si>
  <si>
    <t>M6</t>
  </si>
  <si>
    <t>P5</t>
  </si>
  <si>
    <t>P6</t>
  </si>
  <si>
    <t>P7</t>
  </si>
  <si>
    <t>P8</t>
  </si>
  <si>
    <t>P9</t>
  </si>
  <si>
    <t>P10</t>
  </si>
  <si>
    <t>P11</t>
  </si>
  <si>
    <t>SRs</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</si>
  <si>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</si>
  <si>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</si>
  <si>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</si>
  <si>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</si>
  <si>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</si>
  <si>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</si>
  <si>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</si>
  <si>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</si>
  <si>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</si>
  <si>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</si>
  <si>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</si>
  <si>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</si>
  <si>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</si>
  <si>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</si>
  <si>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</si>
  <si>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</si>
  <si>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</si>
  <si>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</si>
  <si>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</si>
  <si>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</si>
  <si>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</si>
  <si>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</si>
  <si>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</si>
  <si>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</si>
  <si>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</si>
  <si>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</si>
  <si>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</si>
  <si>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</si>
  <si>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</si>
  <si>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</si>
  <si>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</si>
  <si>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</si>
  <si>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</si>
  <si>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</si>
  <si>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</si>
  <si>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</si>
  <si>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</si>
  <si>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</si>
  <si>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</si>
  <si>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</si>
  <si>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</si>
  <si>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</si>
  <si>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</si>
  <si>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</si>
  <si>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</si>
  <si>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</si>
  <si>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</si>
  <si>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</si>
  <si>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</si>
  <si>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</si>
  <si>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</si>
  <si>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</si>
  <si>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</si>
  <si>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</si>
  <si>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</si>
  <si>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</si>
  <si>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</si>
  <si>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</si>
  <si>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</si>
  <si>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</si>
  <si>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</si>
  <si>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</si>
  <si>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</si>
  <si>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</si>
  <si>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</si>
  <si>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</si>
  <si>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</si>
  <si>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</si>
  <si>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</si>
  <si>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</si>
  <si>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</si>
  <si>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</si>
  <si>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</si>
  <si>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</si>
  <si>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</si>
  <si>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</si>
  <si>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</si>
  <si>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</si>
  <si>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</si>
  <si>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</si>
  <si>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</si>
  <si>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</si>
  <si>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</si>
  <si>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</si>
  <si>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</si>
  <si>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</si>
  <si>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</si>
  <si>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</si>
  <si>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</si>
  <si>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</si>
  <si>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</si>
  <si>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</si>
  <si>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</si>
  <si>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</si>
  <si>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</si>
  <si>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</si>
  <si>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</si>
  <si>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</si>
  <si>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</si>
  <si>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</si>
  <si>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</si>
  <si>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</si>
  <si>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</si>
  <si>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</si>
  <si>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</si>
  <si>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</si>
  <si>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</si>
  <si>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</si>
  <si>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</si>
  <si>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</si>
  <si>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</si>
  <si>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</si>
  <si>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</si>
  <si>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</si>
  <si>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</si>
  <si>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</si>
  <si>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</si>
  <si>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</si>
  <si>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</si>
  <si>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</si>
  <si>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</si>
  <si>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</si>
  <si>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</si>
  <si>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</si>
  <si>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</si>
  <si>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</si>
  <si>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</si>
  <si>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</si>
  <si>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</si>
  <si>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</si>
  <si>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</si>
  <si>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</si>
  <si>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</si>
  <si>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</si>
  <si>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</si>
  <si>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</si>
  <si>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</si>
  <si>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</si>
  <si>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</si>
  <si>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</si>
  <si>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</si>
  <si>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</si>
  <si>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</si>
  <si>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</si>
  <si>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</si>
  <si>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</si>
  <si>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</si>
  <si>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</si>
  <si>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</si>
  <si>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</si>
  <si>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</si>
  <si>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</si>
  <si>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</si>
  <si>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</si>
  <si>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LFA</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</si>
  <si>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</si>
  <si>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</si>
  <si>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</si>
  <si>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</si>
  <si>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</si>
  <si>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</si>
  <si>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E-PAP</t>
  </si>
  <si>
    <t>Al/Lum</t>
  </si>
  <si>
    <t>TB nutri'l supplements</t>
  </si>
  <si>
    <t>P1 - trend</t>
  </si>
  <si>
    <t>P2 - trend</t>
  </si>
  <si>
    <t>P3 - trend</t>
  </si>
  <si>
    <t>Set-up = List of validation for Grant Detail page</t>
  </si>
  <si>
    <t>Grant No.</t>
  </si>
  <si>
    <t>0% - 59%</t>
  </si>
  <si>
    <t>60% - 89%</t>
  </si>
  <si>
    <t>&gt; 90%</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</si>
  <si>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</si>
  <si>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</si>
  <si>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</si>
  <si>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</si>
  <si>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</si>
  <si>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</si>
  <si>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</si>
  <si>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</si>
  <si>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</si>
  <si>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</si>
  <si>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</si>
  <si>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</si>
  <si>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</si>
  <si>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</si>
  <si>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</si>
  <si>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</si>
  <si>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</si>
  <si>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</si>
  <si>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Please Select</t>
  </si>
  <si>
    <t>TOP 3</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</si>
  <si>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</si>
  <si>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</si>
  <si>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</si>
  <si>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</si>
  <si>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</si>
  <si>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</si>
  <si>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</si>
  <si>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</si>
  <si>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impact 1</t>
  </si>
  <si>
    <t xml:space="preserve">P3 </t>
  </si>
  <si>
    <t>IP UCIMP RSS</t>
  </si>
  <si>
    <t>Informație despre Grant</t>
  </si>
  <si>
    <t>Țara:</t>
  </si>
  <si>
    <t>No. Grantului :</t>
  </si>
  <si>
    <t>Recipientul Principal:</t>
  </si>
  <si>
    <t>Ultimul Rating:</t>
  </si>
  <si>
    <t>Numele Grantului:</t>
  </si>
  <si>
    <t>Componenta:</t>
  </si>
  <si>
    <t>Suma totală:</t>
  </si>
  <si>
    <t>Runda:</t>
  </si>
  <si>
    <t>Faza:</t>
  </si>
  <si>
    <t>Agentul Local:</t>
  </si>
  <si>
    <t>Informația despre perioada raportată</t>
  </si>
  <si>
    <t>Perioada de Raportare:</t>
  </si>
  <si>
    <t>De la:</t>
  </si>
  <si>
    <t>Pînă la:</t>
  </si>
  <si>
    <t>Informația despre indicatori</t>
  </si>
  <si>
    <t xml:space="preserve">Informația Financiară: </t>
  </si>
  <si>
    <t xml:space="preserve">Informația pe Management: </t>
  </si>
  <si>
    <t xml:space="preserve">Informația Programatică: </t>
  </si>
  <si>
    <t>Valuta Grantului</t>
  </si>
  <si>
    <t>F1: Bugetul și debursările de către Fondul Global</t>
  </si>
  <si>
    <t>Perioada Raportată</t>
  </si>
  <si>
    <t>Buget Cumulativ</t>
  </si>
  <si>
    <t>Debursări cumulative</t>
  </si>
  <si>
    <t>Debursări</t>
  </si>
  <si>
    <t>F2: Bugetul și cheltuielile actuale după Obiectivele Grantului</t>
  </si>
  <si>
    <t>Obiectivele Grantului</t>
  </si>
  <si>
    <t>Consolidarea controlului Tuberculozei în Republica Moldova</t>
  </si>
  <si>
    <t>Fortificarea realizării DOTS în scopul ameliorării detecţiei tuberculozei şi a managementului cazului de TB</t>
  </si>
  <si>
    <t>Asigurarea accesului universal la diagnosticul şi tratamentul cazurilor de TB drog-rezistentă</t>
  </si>
  <si>
    <t xml:space="preserve">Fortificarea sistemului de monitorizare şi evaluare, a managementului şi coordonării sistemului de sănătate pentru pacienţii cu TB </t>
  </si>
  <si>
    <t xml:space="preserve">Creşterea informării publice despre TB şi reducerea stigmatizării </t>
  </si>
  <si>
    <t>Fortificarea managementului Proiectului</t>
  </si>
  <si>
    <t>% Cumulativ</t>
  </si>
  <si>
    <t>F3: Debursări și cheltuieli</t>
  </si>
  <si>
    <t>Debursat de către Fondul Global</t>
  </si>
  <si>
    <t xml:space="preserve">Cheltuielile și debursările RP </t>
  </si>
  <si>
    <t>Debursări către SR</t>
  </si>
  <si>
    <t>Cheltuielile SR</t>
  </si>
  <si>
    <t>Către perioada de raportare</t>
  </si>
  <si>
    <t>Perioada de raportare curentă</t>
  </si>
  <si>
    <t>Ultima debursare a surselor: Număr de zile calendaristice</t>
  </si>
  <si>
    <t>Preconizat (zile)</t>
  </si>
  <si>
    <t>Actual (zile)</t>
  </si>
  <si>
    <t>Zile necesare pentru remiterea PU/DR final către ALF</t>
  </si>
  <si>
    <t>Zile necesare pentru debursare către RP</t>
  </si>
  <si>
    <t>Zile necesare pentru debursare către SR</t>
  </si>
  <si>
    <t xml:space="preserve">  </t>
  </si>
  <si>
    <t xml:space="preserve">                               Întroduceți datele pentru management în celulele albastre</t>
  </si>
  <si>
    <t>Informația pe Management:</t>
  </si>
  <si>
    <t xml:space="preserve">M1: Statutul Condițiilor Precedente și a Acțiunilor Prestabilite în Timp </t>
  </si>
  <si>
    <t>Condiții Precedente (CP)</t>
  </si>
  <si>
    <t>Acțiuni Prestabilite în Timp (TBA)</t>
  </si>
  <si>
    <t>Finisate</t>
  </si>
  <si>
    <t>Ne finisate, dar realizarea  în conformitate cu planul</t>
  </si>
  <si>
    <t>Ne finisate, și au depășit planul de realizare</t>
  </si>
  <si>
    <t xml:space="preserve">M2: Statutul pozițiilor cheie a RP </t>
  </si>
  <si>
    <t>Planificate</t>
  </si>
  <si>
    <t>Completate</t>
  </si>
  <si>
    <t>Vacante</t>
  </si>
  <si>
    <t xml:space="preserve">M3: Aranjamente contractuale (SR) </t>
  </si>
  <si>
    <t>Identificați</t>
  </si>
  <si>
    <t>Evaluați</t>
  </si>
  <si>
    <t>Aprobați</t>
  </si>
  <si>
    <t>Contracte semnate</t>
  </si>
  <si>
    <t>Au recepționat surse</t>
  </si>
  <si>
    <t>M4: Numărul rapoartelor complete recepționate la timp</t>
  </si>
  <si>
    <t>SSR către SR</t>
  </si>
  <si>
    <t>SR către RP</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</si>
  <si>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</si>
  <si>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</si>
  <si>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</si>
  <si>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</si>
  <si>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</si>
  <si>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</si>
  <si>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</si>
  <si>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</si>
  <si>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</si>
  <si>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</si>
  <si>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</si>
  <si>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</si>
  <si>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</si>
  <si>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</si>
  <si>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</si>
  <si>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</si>
  <si>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</si>
  <si>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</si>
  <si>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 xml:space="preserve">(7)
Nivelul stocului de siguranță
(exprimat în luni și prestabilit de țară) </t>
  </si>
  <si>
    <t xml:space="preserve">(8 = 6 - 7)
Diferența între stocul curent și stocul de siguranță </t>
  </si>
  <si>
    <t>Informația Programatică:</t>
  </si>
  <si>
    <t>Da</t>
  </si>
  <si>
    <t>Ținta</t>
  </si>
  <si>
    <t>Rezultat</t>
  </si>
  <si>
    <t>Rezultat 4</t>
  </si>
  <si>
    <t>Nu</t>
  </si>
  <si>
    <t>Indicatori de Program  (Performance Framework )</t>
  </si>
  <si>
    <t>Codul</t>
  </si>
  <si>
    <t>Direct rezulta din activitatea FG?</t>
  </si>
  <si>
    <t>Data Demarării (zz/ll/aa):</t>
  </si>
  <si>
    <t>Data Demarării:</t>
  </si>
  <si>
    <t>Recipientul Principal :</t>
  </si>
  <si>
    <t>Pregătit de către:</t>
  </si>
  <si>
    <t>Data de pregătire a raportului:</t>
  </si>
  <si>
    <t xml:space="preserve">F4: Ultima perioadă de raportare și debursare a RP </t>
  </si>
  <si>
    <t xml:space="preserve"> </t>
  </si>
  <si>
    <t>Indicatorii financiari</t>
  </si>
  <si>
    <t>Comentarii:</t>
  </si>
  <si>
    <t xml:space="preserve">MOL-T-PCIMU </t>
  </si>
  <si>
    <t>Indicatorii de Management</t>
  </si>
  <si>
    <t>Produsele</t>
  </si>
  <si>
    <t>(6 = 5 / 4)
Stocul exprimat în luni de treatament pentru toți pacienții curenți</t>
  </si>
  <si>
    <t>Stocul exprimat în luni de treatament pentru toți pacienții curenți</t>
  </si>
  <si>
    <t>Luni pentru stocul de siguranță</t>
  </si>
  <si>
    <t xml:space="preserve">Diferența între stocul curent și stocul de siguranță </t>
  </si>
  <si>
    <t>* Include numai EFR categoriile 4 și 5  (Produse medicale și Echipamente medicale &amp; Medicamente și Produse farmaceutice)</t>
  </si>
  <si>
    <t>Comentarii: P1</t>
  </si>
  <si>
    <t>Comentarii: P2</t>
  </si>
  <si>
    <t>Comentarii: P3</t>
  </si>
  <si>
    <t>Indicatorii</t>
  </si>
  <si>
    <t>Comentarii</t>
  </si>
  <si>
    <t>Indicatorii de Program</t>
  </si>
  <si>
    <t>Recomandări</t>
  </si>
  <si>
    <t>Financiar</t>
  </si>
  <si>
    <t>Sumarul comentariilor</t>
  </si>
  <si>
    <t>Programatic</t>
  </si>
  <si>
    <t>Au fost atinse țintele?</t>
  </si>
  <si>
    <t>Sunt procurarile conforme planului?</t>
  </si>
  <si>
    <t xml:space="preserve">Sursele financiare au atins nivelele de implementare și au fost utilizate în conformitate cu bugetul? </t>
  </si>
  <si>
    <t>Decizii și Acțiuni</t>
  </si>
  <si>
    <t>Care este nivelul general de implementarea a grantului?</t>
  </si>
  <si>
    <t>Recomandările cheie a Cmisiei de Supraveghere</t>
  </si>
  <si>
    <t>Decizia CNC</t>
  </si>
  <si>
    <t>Data limită</t>
  </si>
  <si>
    <t>Persoana responsabilă</t>
  </si>
  <si>
    <t>Perioada de Raportare Curentă</t>
  </si>
  <si>
    <t>Acțiuni implementate / Perioada Precedentă</t>
  </si>
  <si>
    <t>Care este nivelul general de implementare?</t>
  </si>
  <si>
    <t>Acțiuni realizate</t>
  </si>
  <si>
    <t xml:space="preserve">Data </t>
  </si>
  <si>
    <t>Perioada de Raportare Precedentă</t>
  </si>
  <si>
    <t>metode de măsurare</t>
  </si>
  <si>
    <t>Sursa de date</t>
  </si>
  <si>
    <t xml:space="preserve">Colectat anual </t>
  </si>
  <si>
    <t>Sistemul R&amp;R TB, rapoarte trimestriale. SYME TB, modulul DOTS Plus.</t>
  </si>
  <si>
    <t>Formular de notificare a cazurilor TB (089); Registrul cazurilor TB (03);
Fișa de tratament a pacienților TB (01).</t>
  </si>
  <si>
    <t xml:space="preserve">Y - cumulativ anual </t>
  </si>
  <si>
    <t>Numărător: Numărul de decese cauzate de TB (toate formele) înregistrate într-o anumită perioadă per 100,000 persoane; Numitor: Numărul total al populației în țară</t>
  </si>
  <si>
    <t>Numărător: Numărul pacienţilor cu tuberculoză multirezistentă (confirmată în baza testului de laborator) care beneficiază de tratamentul DOTS Plus; Numitor: Nu este</t>
  </si>
  <si>
    <t>Data de introducere a informației:</t>
  </si>
  <si>
    <t xml:space="preserve">Introduceți datele financiare în celulele colorate în oranj </t>
  </si>
  <si>
    <t xml:space="preserve">Introduceți datele bazîndu-vă de celulele codificate prin culoare </t>
  </si>
  <si>
    <t>Tabelul este în mod automat reînnoit. Nu necesită introducerea datelor și/sau informației.</t>
  </si>
  <si>
    <t>Impact 1</t>
  </si>
  <si>
    <t>Utilizarea dobînzii</t>
  </si>
  <si>
    <t>Prevalența TB MDR printre cazurile noi TB, %</t>
  </si>
  <si>
    <t xml:space="preserve">Ultima debursare: Zile calendaristice </t>
  </si>
  <si>
    <t>Rata mortalităţii  - Numărul de decese cauzate de TB (toate formele) pe an, la 100,000 persoane</t>
  </si>
  <si>
    <t>Tatiana Vinichenko</t>
  </si>
  <si>
    <t>Indicator de impact 1. Rata mortalităţii  - Numărul de decese cauzate de TB (toate formele) pe an, la 100,000 persoane</t>
  </si>
  <si>
    <t>Indicatori de Program (din Performance Framework)</t>
  </si>
  <si>
    <t xml:space="preserve">Formular de notificare a cazurilor MDR TB (090); Registrul cazurilor MDR TB (03MDR = registru categoria IV); Fișa de tratament a pacienților MDR TB (01)
</t>
  </si>
  <si>
    <t xml:space="preserve">    Introduceți datele de performanță în celulele în galben.</t>
  </si>
  <si>
    <t>N/A</t>
  </si>
  <si>
    <t>Activitățile aferente acestui indicator au fost finalizate la data de 30 Septembrie, 2012.</t>
  </si>
  <si>
    <t>Numărător: Numărul cazurilor confirmate de TB-MDR, tratate cu succes (vindecate și tratamente încheiate); Numitor: Numărul total de cazuri înregistrate pentru tratament DOTS Plus într-o anumită perioadă</t>
  </si>
  <si>
    <t xml:space="preserve">Indicator de rezultat 1. Rata succesului tratamentului pacienților cu TB-MDR </t>
  </si>
  <si>
    <t xml:space="preserve">Colectat trimestrial și anual </t>
  </si>
  <si>
    <t>Indicator de rezultat 2. Prevalența TB-MDR printre cazurile noi TB</t>
  </si>
  <si>
    <t xml:space="preserve">Indicator de rezultat 3. Prevalența TB-MDR printre cazurile TB anterior tratate </t>
  </si>
  <si>
    <t xml:space="preserve">Numărător: Numărul cazurilor noi TB cu cultura pozitivă, testate la DST pentru preparatele de linia I, diagnosticate cu MDR; Numitor: Numărul total de cazuri noi TB cu cultura pozitivă, testate la DST pentru preparatele de linia I, într-un an </t>
  </si>
  <si>
    <t>Numărător: Numărul cazurilor TB cu cultura pozitivă, anterior tratate, testate la DST pentru preparatele de linia I, diagnosticate cu MDR; Numitor: Numărul total de cazuri TB cu cultura pozitivă, anterior tratate, testate la DST pentru preparatele de linia I, într-un an</t>
  </si>
  <si>
    <t xml:space="preserve">1.1 Numărul pacienţilor cu tuberculoză multirezistentă (confirmată în baza testului de laborator) care beneficiază de tratamentul DOTS Plus             </t>
  </si>
  <si>
    <t xml:space="preserve">1.2 Rezultatul interimar al tratamentului cazurilor MDR-TB, rata interimară a succesului  </t>
  </si>
  <si>
    <t>Numărător: Numărul pacienţilor cu test de cultură negativ, după 6 luni de tratament DOTS-Plus; Numitor: Numărul total al pacienţilor cu tuberculoză multirezistentă (confirmată în baza testului de laborator), incluși în tratamentul DOTS Plus într-o perioadă anumită</t>
  </si>
  <si>
    <t>1.3 Rezultatul interimar de abandon al tratamentului cazurilor MDR-TB</t>
  </si>
  <si>
    <t>Numărător: Numărul pacienţilor cu TB-MDR care au întrerupt tratamentul după 6 luni de tratament DOTS-Plus; Numitor: Numărul total al pacienţilor cu tuberculoză multirezistentă (confirmată în baza testului de laborator), incluși în tratamentul DOTS Plus într-o perioadă anumită</t>
  </si>
  <si>
    <t>2.1 Procentul deținuților testați pentru TB, la echipamentul radiologic digital mobil MRP</t>
  </si>
  <si>
    <t>Y - nu este cumulativ</t>
  </si>
  <si>
    <t>Ministerul Justiției, Departamentul  Instituțiilor Penitenciare, rapoarte semestriale</t>
  </si>
  <si>
    <t xml:space="preserve">Numărător: Numărul deținuților testați pentru TB, la echipamentul radiologic digital mobil MRP într-o perioadă anumită; Numitor: Numărul total al deținuților eligibili pentru screening în sistemul penitenciar în perioada raportată </t>
  </si>
  <si>
    <t>Rezultat 2</t>
  </si>
  <si>
    <t xml:space="preserve">Numărul și procentul pacienţilor cu tuberculoză multirezistentă (confirmată în baza testului de laborator) tratați cu succes (care au urmat și terminat tratamentul), incluşi în tratamentul DOTS-Plus     </t>
  </si>
  <si>
    <t>Rezultat 1</t>
  </si>
  <si>
    <t>Rezultat 3</t>
  </si>
  <si>
    <t xml:space="preserve">Prevalența TB-MDR printre cazurile TB anterior tratate, % </t>
  </si>
  <si>
    <t xml:space="preserve">Numărul pacienţilor cu tuberculoză multirezistentă (confirmată în baza testului de laborator) care beneficiază de tratamentul DOTS Plus             </t>
  </si>
  <si>
    <t xml:space="preserve">Rezultatul interimar al tratamentului cazurilor MDR-TB, rata interimară a succesului  </t>
  </si>
  <si>
    <t>Rezultatul interimar de abandon al tratamentului cazurilor MDR-TB</t>
  </si>
  <si>
    <t>Definiție  (din M&amp;E Plan, Decembrie 2012)</t>
  </si>
  <si>
    <t xml:space="preserve">Formular de notificare a cazurilor MDR TB (090); Registrul cazurilor MDR TB (03MDR = registru categoria IV); Fișa de tratament a pacienților MDR TB (01); Registrul de laborator (04)
</t>
  </si>
  <si>
    <t>Procentul deținuților testați pentru TB, la echipamentul radiologic digital mobil MRP</t>
  </si>
  <si>
    <t>Faza 2</t>
  </si>
  <si>
    <t>Totae cele patru condiții precedente stipulate în Acordul de Grant au fost îndeplinite de către RP</t>
  </si>
  <si>
    <t>Nu sunt posturi libere în cadrul echipei ce gestionează Grantul Consolidat TB</t>
  </si>
  <si>
    <t>În perioada doi de implementare a Grantului Consolidat IP UCIMP RSS nu are aranjamentele contractuale cu SR pentru realizarea activităților în perioada raportată</t>
  </si>
  <si>
    <t>RP are angajamente financiare semnate în volum de aprx. 21 mii EUR pentru achitarea consumabilelor și reactivelor pentru investigațiile de cultură, DST și HEPA filtrelor pentru boxele de protecţie a personalului din Laboratoarele de Referinţă.</t>
  </si>
  <si>
    <t>Analiza stocului (la data de 31 decembrie 2013) a medicamentelor de linia a II, a numărului de pacienți în tratament la aceeași dată, precum si a livrarilor planificate arata prezența unui stock buffer între 5 și 11 luni ce previne riscul lipsei de preparate.</t>
  </si>
  <si>
    <t xml:space="preserve">Fondul Global a debursat în avans intreaga sumă a grantului </t>
  </si>
  <si>
    <t>RP are angajamente financiare în volum de aprx. 23,2 mii EUR în mare parte pentru achitarea consumabilelor și reactivelor pentru investigațiile de cultură, DST și HEPA filtrelor pentru boxele de protecţie a personalului din Laboratoarele de Referinţă; și salariile restante pentru o lună a personalului de la Depozitul IFP şi şoferilor pentru transportarea sputei.</t>
  </si>
  <si>
    <t>Raportul de Progres pentru semestrul II.2013 a fost remis către Agentul Local şi Secretariatul Fondului Global la 21 Februarie 2014.</t>
  </si>
  <si>
    <t>589 pacienți din 854 incluși în tratamentul DOTS Plus în anul 2012, au obținut un test de cultură negativ, după 6 luni de tratament DOTS Plus.                                                                                                                                   Notă: Rezultatul acestui indicator depăşeşte puţin ținta preconizată pentru această perioadă cu 2,2%.</t>
  </si>
  <si>
    <t xml:space="preserve">64 pacienți din 854 incluși în tratamentul DOTS Plus în anul 2012, au abandonat tratamentul după 6 luni de tratament DOTS Plus.                                                                                                                                   Notă: Se observă o descreștere a rezultatului interimar de abandon al tratamentului cazurilor MDR-TB atît în comparație cu rata a. 2011 (36,4%), cît și  în comparație cu ținta stabilită pentru anul 2013 - cu 8,0%.   </t>
  </si>
  <si>
    <t>În perioada raportată activităţile implementate în cadrul celor două obiective -  1: Fortificarea implicării comunității și a parteneriatelor pentru un control eficient al TB prin ameliorarea diagnosticului de TB prin identificare și screening activ (ameliorarea diagnosticului TB în sectorul penitenciar prin suportul efectuării screening-ului deținuților la TB) și 2: Asigurarea accesului universal la diagnosticul şi tratamentul cazurilor de TB drogrezistentă, au facut posibile obţinerea unor economii în suma totala de 484,5 mii EUR, care au fost propuse CNC şi aprobate de către acesta şi de către Secretaritul FG pentru utilizarea la procurarea cantităţilor adiţionale de medicamente antituberculoase de linia a doua pentru un număr suplimentar de 60 pacienţi cu TB-MDR.</t>
  </si>
  <si>
    <t>Date preliminare pentru anul 2013: 315 cazuri noi TB cu cultura pozitivă, testate la DST pentru preparatele de linia I, din 1,270 investigate în 2013, au fost diagnosticate cu MDR (24,8%).                                                                                                                                                       Notă. Comparativ cu datele pentru anul 2012 de 23,7% de TB-MDR printre cazurile noi, se constată o creştere a datelor indicatorului cu 4,6%. Totodată, nu a fost atinsă şi ţinta indicatorului de 22,0% stipulată în Acordul de Grant.</t>
  </si>
  <si>
    <t xml:space="preserve">Date preliminare pentru anul 2013: 454 pacienţi cu TB au decedat în anul 2013.                                                                                                                                                             Notă 1: Se constată o reducere a ratei mortalităţii pacienţilor cu TB cu 22,8%, comparativ cu datele anului 2012 (588 pacienţi cu TB decedaţi).                                                                                                       Notă 2: Ţinta indicatorului a fost atinsă.                 </t>
  </si>
  <si>
    <t xml:space="preserve">Date preliminare pentru anul 2013: 454 pacienţi cu TB au decedat în anul 2013.                                                                                                              Notă 1: Se constată o reducere a ratei mortalităţii pacienţilor cu TB cu 22,8%, comparativ cu datele anului 2012 (588 pacienţi cu TB decedaţi).                                                                                                       Notă 2: Ţinta indicatorului a fost atinsă.                 </t>
  </si>
  <si>
    <t xml:space="preserve">Date preliminare pentru cohorta MDR-TB a anului 2010: 391 cazuri confirmate de TB MDR au fost tratate cu succes (vindecate și tratamente încheiate), din 793 înregistrate sub DOTS Plus în 2010.                                                                                               Notă: Rata de succes terapeutic în rândul pacienţilor TB-MDR incluşi în tratamentul DOTS-Plus în 2010  a constituit 49,3%, ceva mai joasă decât rata succesului a cohortei anului 2009 (51,5%), precum şi comparatriv cu ținta prestabilită în  Acordul de grant de 60,0% pentru perioada raportată. Nivelul jos al ratei succesului a fost influenţat de către 10,34% eşecuri, 27,36 % abandonuri şi 12,74% decese.                             </t>
  </si>
  <si>
    <t xml:space="preserve">Date preliminare pentru cohorta MDR-TB a anului 2010: 391 cazuri confirmate de TB MDR au fost tratate cu succes (vindecate și tratamente încheiate), din 793 înregistrate sub DOTS Plus în 2010.                                                                                               Notă: Rata de succes terapeutic în rândul pacienţilor TB-MDR incluşi în tratamentul DOTS-Plus în 2010,  a constituit 49,3%, fiind ceva mai joasă decât rata succesului a cohortei anului 2009 (51,5%), precum şi comparativ cu ținta prestabilită în  Acordul de grant de 60,0% pentru perioada raportată. Nivelul jos al ratei succesului a fost influenţat de către 10,34% eşecuri, 27,36 % abandonuri şi 12,74% decese.    </t>
  </si>
  <si>
    <t xml:space="preserve">Date preliminare pentru anul 2013: 315 cazuri noi TB cu cultura pozitivă, testate la DST pentru preparatele de linia I, din 1,270 investigate în 2013, au fost diagnosticate cu MDR (24,8%).                                                                                                                                                       Notă. Comparativ cu datele pentru anul 2012 de 23,7% de TB-MDR printre cazurile noi, se constată o creştere a datelor indicatorului cu 4,6%. </t>
  </si>
  <si>
    <t xml:space="preserve">Date preliminare pentru anul 2013: 510 cazuri TB cu cultura pozitivă, anterior tratate, testate la DST pentru preparatele de linia I, din 825 investigate în 2013, au fost diagnosticate cu MDR (61,82%).                                                                                                                                                                       Notă. Comparativ cu datele pentru anul 2012 de 62,76% de TB-MDR printre cazurile anterior tratate de TB, se constată o reducere nesemnificativă a datelor indicatorului cu 1,5%.     </t>
  </si>
  <si>
    <t xml:space="preserve">Pe parcursul anului 2013, un număr de 898 pacienți TB-MDR au fost incluși în tratamentul DOTS Plus.                                                                                                                                                                                          Nota: În perioada raportată, a fost implementată practica anterioară de includere în tratamentul DOTS-Plus a unui număr mai mare de pacienți, astfel, înlocuindu-se cazurile de eșec, deces sau abandon înregistrate imediat după inițierea administrării medicamentelor, atunci cînd medicamentele în cauză rămîn a fi încă disponibile.       </t>
  </si>
  <si>
    <t xml:space="preserve">În perioada raportată, 3,802 deținuți au fost testați  pentru TB la echipamentul radiologic digital mobil MRP, din 3,852 deținuti care necesitau această examinare.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</si>
</sst>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00_);_(* \(#,##0.00\);_(* &quot;-&quot;??_);_(@_)"/>
    <numFmt numFmtId="165" formatCode="&quot;Q&quot;#,##0_);[Red]\(&quot;Q&quot;#,##0\)"/>
    <numFmt numFmtId="166" formatCode="_(* #,##0_);_(* \(#,##0\);_(* &quot;-&quot;??_);_(@_)"/>
    <numFmt numFmtId="167" formatCode=";;;"/>
    <numFmt numFmtId="168" formatCode="0.0"/>
    <numFmt numFmtId="169" formatCode=";;;&quot;Financial Variance in %&quot;"/>
    <numFmt numFmtId="170" formatCode="[$$-409]#,##0_);\([$$-409]#,##0\)"/>
    <numFmt numFmtId="171" formatCode="dd/mm/yy;@"/>
    <numFmt numFmtId="172" formatCode="_-[$€-2]\ * #,##0_-;\-[$€-2]\ * #,##0_-;_-[$€-2]\ * &quot;-&quot;_-;_-@_-"/>
    <numFmt numFmtId="173" formatCode="[$€-2]\ #,##0"/>
    <numFmt numFmtId="174" formatCode="#,##0.00_р_."/>
    <numFmt numFmtId="175" formatCode="#,##0.0"/>
    <numFmt numFmtId="176" formatCode="0.0%"/>
  </numFmts>
  <fonts count="133">
    <font>
      <sz val="11"/>
      <color theme="1"/>
      <name val="Calibri"/>
      <family val="2"/>
      <scheme val="minor"/>
    </font>
    <font>
      <sz val="11"/>
      <color indexed="8"/>
      <name val="Calibri"/>
      <family val="2"/>
    </font>
    <font>
      <sz val="10"/>
      <name val="Arial"/>
      <family val="2"/>
    </font>
    <font>
      <sz val="11"/>
      <color indexed="8"/>
      <name val="Calibri"/>
      <family val="2"/>
    </font>
    <font>
      <sz val="11"/>
      <color indexed="60"/>
      <name val="Calibri"/>
      <family val="2"/>
    </font>
    <font>
      <b/>
      <sz val="11"/>
      <color indexed="52"/>
      <name val="Calibri"/>
      <family val="2"/>
    </font>
    <font>
      <sz val="11"/>
      <color indexed="10"/>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9"/>
      <name val="Tahoma"/>
      <family val="2"/>
    </font>
    <font>
      <sz val="8"/>
      <name val="Webdings"/>
      <family val="1"/>
      <charset val="2"/>
    </font>
    <font>
      <sz val="7"/>
      <color indexed="23"/>
      <name val="Verdana"/>
      <family val="2"/>
    </font>
    <font>
      <sz val="10"/>
      <name val="Micro Bar Charts 1.1"/>
    </font>
    <font>
      <sz val="9"/>
      <name val="Tahoma"/>
      <family val="2"/>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9"/>
      <color indexed="8"/>
      <name val="Arial"/>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0"/>
      <name val="Arial"/>
      <family val="2"/>
    </font>
    <font>
      <b/>
      <sz val="12"/>
      <color indexed="56"/>
      <name val="Tahoma"/>
      <family val="2"/>
    </font>
    <font>
      <b/>
      <sz val="10"/>
      <name val="Verdana"/>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b/>
      <sz val="11"/>
      <color indexed="8"/>
      <name val="Calibri"/>
      <family val="2"/>
      <charset val="204"/>
    </font>
    <font>
      <sz val="11"/>
      <color indexed="8"/>
      <name val="Calibri"/>
      <family val="2"/>
    </font>
    <font>
      <b/>
      <sz val="14"/>
      <color indexed="14"/>
      <name val="Calibri"/>
      <family val="2"/>
      <charset val="204"/>
    </font>
    <font>
      <b/>
      <sz val="10"/>
      <color indexed="53"/>
      <name val="Calibri"/>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10"/>
      <name val="Arial"/>
      <family val="2"/>
      <charset val="204"/>
    </font>
    <font>
      <b/>
      <sz val="14"/>
      <color indexed="44"/>
      <name val="Calibri"/>
      <family val="2"/>
      <charset val="204"/>
    </font>
    <font>
      <sz val="9"/>
      <color indexed="8"/>
      <name val="Calibri"/>
      <family val="2"/>
    </font>
    <font>
      <b/>
      <sz val="11"/>
      <name val="Arial"/>
      <family val="2"/>
    </font>
    <font>
      <sz val="11"/>
      <color theme="1"/>
      <name val="Calibri"/>
      <family val="2"/>
      <scheme val="minor"/>
    </font>
    <font>
      <sz val="10"/>
      <color theme="1"/>
      <name val="Calibri"/>
      <family val="2"/>
      <scheme val="minor"/>
    </font>
    <font>
      <sz val="11"/>
      <name val="Calibri"/>
      <family val="2"/>
      <scheme val="minor"/>
    </font>
    <font>
      <b/>
      <sz val="10"/>
      <color rgb="FFFF0000"/>
      <name val="Calibri"/>
      <family val="2"/>
    </font>
    <font>
      <b/>
      <sz val="10"/>
      <color theme="1"/>
      <name val="Calibri"/>
      <family val="2"/>
      <charset val="204"/>
      <scheme val="minor"/>
    </font>
    <font>
      <sz val="10"/>
      <color theme="1"/>
      <name val="Calibri"/>
      <family val="2"/>
      <charset val="204"/>
      <scheme val="minor"/>
    </font>
    <font>
      <sz val="11"/>
      <color rgb="FF7030A0"/>
      <name val="Calibri"/>
      <family val="2"/>
    </font>
    <font>
      <sz val="11"/>
      <color theme="1"/>
      <name val="Calibri"/>
      <family val="2"/>
    </font>
    <font>
      <sz val="22"/>
      <color theme="0"/>
      <name val="Calibri"/>
      <family val="2"/>
      <charset val="204"/>
    </font>
    <font>
      <sz val="14"/>
      <color theme="0"/>
      <name val="Calibri"/>
      <family val="2"/>
    </font>
    <font>
      <i/>
      <sz val="11"/>
      <name val="Calibri"/>
      <family val="2"/>
    </font>
    <font>
      <b/>
      <sz val="10"/>
      <name val="Arial"/>
      <family val="2"/>
      <charset val="204"/>
    </font>
    <font>
      <sz val="7.7"/>
      <name val="Calibri"/>
      <family val="2"/>
    </font>
    <font>
      <sz val="7.7"/>
      <name val="Calibri"/>
      <family val="2"/>
      <scheme val="minor"/>
    </font>
    <font>
      <sz val="7"/>
      <name val="Verdana"/>
      <family val="2"/>
    </font>
    <font>
      <sz val="11"/>
      <name val="Micro Line Charts 1.1"/>
      <family val="2"/>
    </font>
    <font>
      <sz val="8"/>
      <name val="Micro Bar Charts 1.1"/>
    </font>
    <font>
      <b/>
      <sz val="12"/>
      <name val="Tahoma"/>
      <family val="2"/>
    </font>
    <font>
      <b/>
      <sz val="8"/>
      <name val="Calibri"/>
      <family val="2"/>
    </font>
    <font>
      <sz val="8"/>
      <name val="Arial"/>
      <family val="2"/>
    </font>
    <font>
      <sz val="8"/>
      <name val="Tahoma"/>
      <family val="2"/>
    </font>
    <font>
      <b/>
      <sz val="8"/>
      <name val="Verdana"/>
      <family val="2"/>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gray0625">
        <fgColor indexed="52"/>
        <bgColor indexed="43"/>
      </patternFill>
    </fill>
    <fill>
      <patternFill patternType="solid">
        <fgColor indexed="11"/>
        <bgColor indexed="64"/>
      </patternFill>
    </fill>
    <fill>
      <patternFill patternType="solid">
        <fgColor indexed="47"/>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65"/>
        <bgColor indexed="52"/>
      </patternFill>
    </fill>
    <fill>
      <patternFill patternType="solid">
        <fgColor indexed="65"/>
        <bgColor indexed="64"/>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57"/>
        <bgColor indexed="64"/>
      </patternFill>
    </fill>
    <fill>
      <patternFill patternType="solid">
        <fgColor indexed="13"/>
        <bgColor indexed="64"/>
      </patternFill>
    </fill>
    <fill>
      <patternFill patternType="solid">
        <fgColor theme="0"/>
        <bgColor indexed="64"/>
      </patternFill>
    </fill>
    <fill>
      <patternFill patternType="gray0625">
        <fgColor theme="9"/>
      </patternFill>
    </fill>
    <fill>
      <patternFill patternType="gray0625">
        <fgColor theme="9"/>
        <bgColor indexed="43"/>
      </patternFill>
    </fill>
    <fill>
      <patternFill patternType="solid">
        <fgColor indexed="43"/>
        <bgColor theme="0"/>
      </patternFill>
    </fill>
  </fills>
  <borders count="239">
    <border>
      <left/>
      <right/>
      <top/>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thin">
        <color indexed="64"/>
      </right>
      <top style="thin">
        <color indexed="64"/>
      </top>
      <bottom style="medium">
        <color indexed="16"/>
      </bottom>
      <diagonal/>
    </border>
    <border>
      <left style="thin">
        <color indexed="64"/>
      </left>
      <right style="medium">
        <color indexed="60"/>
      </right>
      <top style="thin">
        <color indexed="64"/>
      </top>
      <bottom style="thin">
        <color indexed="64"/>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right style="medium">
        <color indexed="64"/>
      </right>
      <top style="thin">
        <color indexed="64"/>
      </top>
      <bottom style="thin">
        <color indexed="64"/>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style="thin">
        <color indexed="64"/>
      </left>
      <right style="thin">
        <color indexed="64"/>
      </right>
      <top style="thin">
        <color indexed="64"/>
      </top>
      <bottom style="medium">
        <color indexed="51"/>
      </bottom>
      <diagonal/>
    </border>
    <border>
      <left style="thin">
        <color indexed="64"/>
      </left>
      <right style="medium">
        <color indexed="51"/>
      </right>
      <top style="thin">
        <color indexed="64"/>
      </top>
      <bottom style="medium">
        <color indexed="51"/>
      </bottom>
      <diagonal/>
    </border>
    <border>
      <left/>
      <right/>
      <top style="medium">
        <color indexed="51"/>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51"/>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medium">
        <color indexed="51"/>
      </left>
      <right style="medium">
        <color indexed="51"/>
      </right>
      <top style="thin">
        <color indexed="64"/>
      </top>
      <bottom/>
      <diagonal/>
    </border>
    <border>
      <left style="medium">
        <color indexed="51"/>
      </left>
      <right style="medium">
        <color indexed="51"/>
      </right>
      <top style="medium">
        <color indexed="51"/>
      </top>
      <bottom/>
      <diagonal/>
    </border>
    <border>
      <left style="medium">
        <color indexed="60"/>
      </left>
      <right style="dotted">
        <color indexed="64"/>
      </right>
      <top style="medium">
        <color indexed="60"/>
      </top>
      <bottom/>
      <diagonal/>
    </border>
    <border>
      <left style="dotted">
        <color indexed="64"/>
      </left>
      <right style="dotted">
        <color indexed="64"/>
      </right>
      <top style="medium">
        <color indexed="52"/>
      </top>
      <bottom/>
      <diagonal/>
    </border>
    <border>
      <left style="medium">
        <color indexed="60"/>
      </left>
      <right style="dotted">
        <color indexed="64"/>
      </right>
      <top/>
      <bottom style="medium">
        <color indexed="60"/>
      </bottom>
      <diagonal/>
    </border>
    <border>
      <left style="dotted">
        <color indexed="64"/>
      </left>
      <right style="dotted">
        <color indexed="64"/>
      </right>
      <top/>
      <bottom style="medium">
        <color indexed="52"/>
      </bottom>
      <diagonal/>
    </border>
    <border>
      <left style="medium">
        <color indexed="60"/>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2"/>
      </left>
      <right/>
      <top style="medium">
        <color indexed="62"/>
      </top>
      <bottom/>
      <diagonal/>
    </border>
    <border>
      <left style="dotted">
        <color indexed="62"/>
      </left>
      <right style="dotted">
        <color indexed="64"/>
      </right>
      <top style="medium">
        <color indexed="62"/>
      </top>
      <bottom/>
      <diagonal/>
    </border>
    <border>
      <left style="medium">
        <color indexed="62"/>
      </left>
      <right/>
      <top/>
      <bottom style="medium">
        <color indexed="62"/>
      </bottom>
      <diagonal/>
    </border>
    <border>
      <left style="dotted">
        <color indexed="62"/>
      </left>
      <right style="dotted">
        <color indexed="64"/>
      </right>
      <top/>
      <bottom style="medium">
        <color indexed="62"/>
      </bottom>
      <diagonal/>
    </border>
    <border>
      <left style="medium">
        <color indexed="62"/>
      </left>
      <right/>
      <top style="thin">
        <color indexed="64"/>
      </top>
      <bottom style="thin">
        <color indexed="64"/>
      </bottom>
      <diagonal/>
    </border>
    <border>
      <left style="dotted">
        <color indexed="62"/>
      </left>
      <right style="dotted">
        <color indexed="64"/>
      </right>
      <top style="thin">
        <color indexed="64"/>
      </top>
      <bottom style="thin">
        <color indexed="64"/>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style="thin">
        <color indexed="64"/>
      </top>
      <bottom style="medium">
        <color indexed="60"/>
      </bottom>
      <diagonal/>
    </border>
    <border>
      <left style="thin">
        <color indexed="64"/>
      </left>
      <right style="medium">
        <color indexed="16"/>
      </right>
      <top style="thin">
        <color indexed="64"/>
      </top>
      <bottom style="medium">
        <color indexed="16"/>
      </bottom>
      <diagonal/>
    </border>
    <border>
      <left style="thin">
        <color indexed="64"/>
      </left>
      <right style="medium">
        <color indexed="48"/>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51"/>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style="medium">
        <color indexed="51"/>
      </right>
      <top style="thin">
        <color indexed="64"/>
      </top>
      <bottom style="thin">
        <color indexed="64"/>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style="medium">
        <color indexed="51"/>
      </left>
      <right style="thin">
        <color indexed="64"/>
      </right>
      <top style="thin">
        <color indexed="64"/>
      </top>
      <bottom style="thin">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51"/>
      </left>
      <right style="medium">
        <color indexed="51"/>
      </right>
      <top style="thin">
        <color indexed="64"/>
      </top>
      <bottom style="medium">
        <color indexed="51"/>
      </bottom>
      <diagonal/>
    </border>
    <border>
      <left/>
      <right style="thin">
        <color indexed="64"/>
      </right>
      <top style="thin">
        <color indexed="64"/>
      </top>
      <bottom style="medium">
        <color indexed="5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top style="thin">
        <color indexed="64"/>
      </top>
      <bottom/>
      <diagonal/>
    </border>
    <border>
      <left/>
      <right style="medium">
        <color indexed="51"/>
      </right>
      <top style="thin">
        <color indexed="64"/>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right style="medium">
        <color indexed="51"/>
      </right>
      <top/>
      <bottom/>
      <diagonal/>
    </border>
    <border>
      <left style="medium">
        <color indexed="51"/>
      </left>
      <right style="thin">
        <color indexed="64"/>
      </right>
      <top style="thin">
        <color indexed="64"/>
      </top>
      <bottom style="medium">
        <color indexed="51"/>
      </bottom>
      <diagonal/>
    </border>
    <border>
      <left style="thin">
        <color indexed="64"/>
      </left>
      <right/>
      <top style="thin">
        <color indexed="64"/>
      </top>
      <bottom style="medium">
        <color indexed="51"/>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ck">
        <color indexed="9"/>
      </left>
      <right/>
      <top/>
      <bottom/>
      <diagonal/>
    </border>
    <border>
      <left/>
      <right/>
      <top style="hair">
        <color indexed="23"/>
      </top>
      <bottom/>
      <diagonal/>
    </border>
    <border>
      <left/>
      <right style="medium">
        <color indexed="60"/>
      </right>
      <top style="hair">
        <color indexed="23"/>
      </top>
      <bottom/>
      <diagonal/>
    </border>
    <border>
      <left style="medium">
        <color indexed="51"/>
      </left>
      <right/>
      <top style="medium">
        <color indexed="51"/>
      </top>
      <bottom/>
      <diagonal/>
    </border>
    <border>
      <left/>
      <right style="medium">
        <color indexed="51"/>
      </right>
      <top style="medium">
        <color indexed="51"/>
      </top>
      <bottom/>
      <diagonal/>
    </border>
    <border>
      <left style="medium">
        <color indexed="51"/>
      </left>
      <right/>
      <top/>
      <bottom/>
      <diagonal/>
    </border>
    <border>
      <left/>
      <right/>
      <top/>
      <bottom style="medium">
        <color indexed="62"/>
      </bottom>
      <diagonal/>
    </border>
    <border>
      <left/>
      <right style="medium">
        <color indexed="62"/>
      </right>
      <top/>
      <bottom style="medium">
        <color indexed="62"/>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right/>
      <top style="hair">
        <color indexed="64"/>
      </top>
      <bottom style="hair">
        <color indexed="64"/>
      </bottom>
      <diagonal/>
    </border>
    <border>
      <left/>
      <right style="medium">
        <color indexed="60"/>
      </right>
      <top style="thin">
        <color indexed="64"/>
      </top>
      <bottom style="thin">
        <color indexed="64"/>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right style="medium">
        <color indexed="62"/>
      </right>
      <top style="thin">
        <color indexed="64"/>
      </top>
      <bottom style="thin">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60"/>
      </left>
      <right/>
      <top/>
      <bottom style="medium">
        <color indexed="60"/>
      </bottom>
      <diagonal/>
    </border>
    <border>
      <left/>
      <right style="medium">
        <color indexed="60"/>
      </right>
      <top/>
      <bottom style="medium">
        <color indexed="60"/>
      </bottom>
      <diagonal/>
    </border>
    <border>
      <left/>
      <right/>
      <top style="medium">
        <color indexed="62"/>
      </top>
      <bottom/>
      <diagonal/>
    </border>
    <border>
      <left/>
      <right style="medium">
        <color indexed="62"/>
      </right>
      <top style="medium">
        <color indexed="62"/>
      </top>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medium">
        <color indexed="64"/>
      </bottom>
      <diagonal/>
    </border>
    <border>
      <left style="medium">
        <color indexed="57"/>
      </left>
      <right style="hair">
        <color indexed="57"/>
      </right>
      <top style="medium">
        <color indexed="57"/>
      </top>
      <bottom style="medium">
        <color indexed="57"/>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style="hair">
        <color indexed="57"/>
      </left>
      <right style="medium">
        <color indexed="57"/>
      </right>
      <top style="medium">
        <color indexed="57"/>
      </top>
      <bottom style="medium">
        <color indexed="57"/>
      </bottom>
      <diagonal/>
    </border>
    <border>
      <left style="thin">
        <color indexed="64"/>
      </left>
      <right/>
      <top style="medium">
        <color indexed="57"/>
      </top>
      <bottom/>
      <diagonal/>
    </border>
    <border>
      <left style="thin">
        <color indexed="64"/>
      </left>
      <right style="thin">
        <color indexed="64"/>
      </right>
      <top/>
      <bottom style="medium">
        <color indexed="16"/>
      </bottom>
      <diagonal/>
    </border>
    <border>
      <left style="medium">
        <color indexed="51"/>
      </left>
      <right/>
      <top/>
      <bottom style="dotted">
        <color indexed="51"/>
      </bottom>
      <diagonal/>
    </border>
    <border>
      <left/>
      <right/>
      <top/>
      <bottom style="dotted">
        <color indexed="51"/>
      </bottom>
      <diagonal/>
    </border>
    <border>
      <left/>
      <right style="medium">
        <color indexed="51"/>
      </right>
      <top/>
      <bottom style="dotted">
        <color indexed="51"/>
      </bottom>
      <diagonal/>
    </border>
    <border>
      <left style="medium">
        <color indexed="5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s>
  <cellStyleXfs count="24">
    <xf numFmtId="170" fontId="0" fillId="0" borderId="0"/>
    <xf numFmtId="164" fontId="3" fillId="0" borderId="0" applyFont="0" applyFill="0" applyBorder="0" applyAlignment="0" applyProtection="0"/>
    <xf numFmtId="170" fontId="2" fillId="0" borderId="0" applyFont="0" applyFill="0" applyBorder="0" applyAlignment="0" applyProtection="0"/>
    <xf numFmtId="164" fontId="2" fillId="0" borderId="0" applyFill="0" applyBorder="0" applyAlignment="0" applyProtection="0"/>
    <xf numFmtId="164" fontId="111"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64" fontId="1" fillId="0" borderId="0"/>
    <xf numFmtId="164" fontId="1" fillId="0" borderId="0"/>
    <xf numFmtId="164" fontId="111" fillId="0" borderId="0"/>
    <xf numFmtId="164" fontId="111" fillId="0" borderId="0"/>
    <xf numFmtId="164" fontId="111" fillId="0" borderId="0"/>
    <xf numFmtId="164" fontId="111" fillId="0" borderId="0"/>
    <xf numFmtId="170" fontId="49" fillId="0" borderId="0"/>
    <xf numFmtId="9" fontId="3" fillId="0" borderId="0" applyFont="0" applyFill="0" applyBorder="0" applyAlignment="0" applyProtection="0"/>
    <xf numFmtId="164" fontId="111" fillId="0" borderId="1" applyNumberFormat="0" applyFill="0" applyAlignment="0" applyProtection="0"/>
    <xf numFmtId="164" fontId="1" fillId="0" borderId="1" applyNumberFormat="0" applyFill="0" applyAlignment="0" applyProtection="0"/>
    <xf numFmtId="164" fontId="1" fillId="0" borderId="1" applyNumberFormat="0" applyFill="0" applyAlignment="0" applyProtection="0"/>
    <xf numFmtId="164" fontId="111" fillId="0" borderId="1" applyNumberFormat="0" applyFill="0" applyAlignment="0" applyProtection="0"/>
  </cellStyleXfs>
  <cellXfs count="1029">
    <xf numFmtId="170" fontId="0" fillId="0" borderId="0" xfId="0"/>
    <xf numFmtId="164" fontId="9" fillId="0" borderId="0" xfId="4" applyFont="1" applyFill="1" applyAlignment="1">
      <alignment vertical="center"/>
    </xf>
    <xf numFmtId="170" fontId="0" fillId="0" borderId="0" xfId="0" applyBorder="1" applyProtection="1"/>
    <xf numFmtId="170" fontId="0" fillId="0" borderId="0" xfId="0" applyProtection="1"/>
    <xf numFmtId="164" fontId="15" fillId="0" borderId="0" xfId="4" applyFont="1" applyFill="1" applyAlignment="1" applyProtection="1">
      <alignment vertical="center"/>
    </xf>
    <xf numFmtId="170" fontId="14" fillId="0" borderId="0" xfId="0" applyFont="1" applyProtection="1"/>
    <xf numFmtId="164" fontId="12" fillId="0" borderId="0" xfId="15" applyFont="1" applyFill="1" applyAlignment="1" applyProtection="1"/>
    <xf numFmtId="164" fontId="12" fillId="0" borderId="0" xfId="15" applyFont="1" applyFill="1" applyAlignment="1" applyProtection="1">
      <alignment horizontal="center"/>
    </xf>
    <xf numFmtId="164" fontId="12" fillId="0" borderId="0" xfId="15" applyFont="1" applyFill="1" applyAlignment="1" applyProtection="1">
      <alignment horizontal="right"/>
    </xf>
    <xf numFmtId="164" fontId="12" fillId="0" borderId="0" xfId="15" applyFont="1" applyFill="1" applyBorder="1" applyAlignment="1" applyProtection="1">
      <alignment horizontal="center"/>
    </xf>
    <xf numFmtId="164" fontId="111" fillId="0" borderId="0" xfId="14" applyProtection="1"/>
    <xf numFmtId="164" fontId="8" fillId="0" borderId="0" xfId="14" applyFont="1" applyProtection="1"/>
    <xf numFmtId="170" fontId="11" fillId="0" borderId="0" xfId="14" applyNumberFormat="1" applyFont="1" applyBorder="1" applyProtection="1"/>
    <xf numFmtId="164" fontId="111" fillId="0" borderId="0" xfId="16" applyProtection="1"/>
    <xf numFmtId="164" fontId="111" fillId="0" borderId="0" xfId="16" applyFill="1" applyBorder="1" applyAlignment="1" applyProtection="1">
      <alignment horizontal="left"/>
    </xf>
    <xf numFmtId="170" fontId="0" fillId="0" borderId="0" xfId="0" applyFill="1" applyBorder="1" applyProtection="1"/>
    <xf numFmtId="164" fontId="111" fillId="0" borderId="0" xfId="16" applyFill="1" applyBorder="1" applyProtection="1"/>
    <xf numFmtId="170" fontId="8" fillId="0" borderId="0" xfId="0" applyFont="1" applyProtection="1"/>
    <xf numFmtId="164" fontId="8" fillId="0" borderId="0" xfId="16" applyFont="1" applyProtection="1"/>
    <xf numFmtId="170" fontId="0" fillId="0" borderId="0" xfId="0" applyBorder="1"/>
    <xf numFmtId="170" fontId="0" fillId="0" borderId="0" xfId="0" applyFill="1" applyBorder="1"/>
    <xf numFmtId="15" fontId="22" fillId="0" borderId="0" xfId="0" applyNumberFormat="1" applyFont="1" applyFill="1" applyBorder="1" applyAlignment="1" applyProtection="1">
      <alignment horizontal="center" vertical="center" wrapText="1"/>
      <protection locked="0"/>
    </xf>
    <xf numFmtId="164" fontId="21" fillId="0" borderId="0" xfId="0" applyNumberFormat="1" applyFont="1"/>
    <xf numFmtId="164" fontId="21" fillId="0" borderId="0" xfId="0" applyNumberFormat="1" applyFont="1" applyAlignment="1">
      <alignment horizontal="right"/>
    </xf>
    <xf numFmtId="166" fontId="21" fillId="0" borderId="0" xfId="1" applyNumberFormat="1" applyFont="1" applyAlignment="1">
      <alignment horizontal="left"/>
    </xf>
    <xf numFmtId="164" fontId="9" fillId="0" borderId="0" xfId="13" applyFont="1" applyFill="1" applyAlignment="1">
      <alignment vertical="center"/>
    </xf>
    <xf numFmtId="170" fontId="0" fillId="0" borderId="2" xfId="0" applyBorder="1" applyAlignment="1">
      <alignment horizontal="center"/>
    </xf>
    <xf numFmtId="170" fontId="7" fillId="0" borderId="0" xfId="0" applyFont="1" applyBorder="1" applyAlignment="1">
      <alignment horizontal="center"/>
    </xf>
    <xf numFmtId="170" fontId="1" fillId="0" borderId="0" xfId="0" applyFont="1" applyBorder="1" applyAlignment="1"/>
    <xf numFmtId="170" fontId="1" fillId="0" borderId="0" xfId="0" applyFont="1" applyFill="1" applyBorder="1" applyAlignment="1"/>
    <xf numFmtId="170" fontId="34" fillId="0" borderId="0" xfId="0" applyFont="1"/>
    <xf numFmtId="170" fontId="34" fillId="0" borderId="0" xfId="0" applyFont="1" applyAlignment="1">
      <alignment horizontal="right"/>
    </xf>
    <xf numFmtId="170" fontId="34" fillId="0" borderId="0" xfId="0" applyFont="1" applyBorder="1"/>
    <xf numFmtId="170" fontId="37" fillId="0" borderId="0" xfId="0" applyFont="1"/>
    <xf numFmtId="170" fontId="34" fillId="0" borderId="0" xfId="0" applyNumberFormat="1" applyFont="1" applyBorder="1"/>
    <xf numFmtId="170" fontId="0" fillId="0" borderId="0" xfId="0" applyFill="1"/>
    <xf numFmtId="10" fontId="4" fillId="0" borderId="0" xfId="19" applyNumberFormat="1" applyFont="1" applyFill="1" applyBorder="1" applyAlignment="1">
      <alignment horizontal="center"/>
    </xf>
    <xf numFmtId="10" fontId="4" fillId="0" borderId="0" xfId="19" applyNumberFormat="1" applyFont="1" applyFill="1" applyBorder="1" applyAlignment="1" applyProtection="1">
      <alignment horizontal="center"/>
      <protection locked="0"/>
    </xf>
    <xf numFmtId="164" fontId="21" fillId="0" borderId="0" xfId="0" applyNumberFormat="1" applyFont="1" applyFill="1" applyBorder="1" applyAlignment="1"/>
    <xf numFmtId="164" fontId="111" fillId="0" borderId="0" xfId="23" applyFill="1" applyBorder="1" applyAlignment="1" applyProtection="1">
      <alignment vertical="center"/>
      <protection locked="0"/>
    </xf>
    <xf numFmtId="165" fontId="25" fillId="0" borderId="0" xfId="0" applyNumberFormat="1" applyFont="1" applyFill="1" applyBorder="1" applyAlignment="1">
      <alignment horizontal="center"/>
    </xf>
    <xf numFmtId="170" fontId="19" fillId="0" borderId="0" xfId="0" applyFont="1" applyFill="1" applyBorder="1" applyAlignment="1">
      <alignment horizontal="centerContinuous"/>
    </xf>
    <xf numFmtId="170" fontId="0" fillId="0" borderId="0" xfId="0" applyFill="1" applyBorder="1" applyAlignment="1">
      <alignment horizontal="centerContinuous"/>
    </xf>
    <xf numFmtId="164" fontId="32" fillId="0" borderId="0" xfId="23" applyFont="1" applyFill="1" applyBorder="1" applyAlignment="1" applyProtection="1">
      <alignment vertical="center"/>
      <protection locked="0"/>
    </xf>
    <xf numFmtId="170" fontId="0" fillId="0" borderId="2" xfId="0" applyBorder="1"/>
    <xf numFmtId="170" fontId="0" fillId="0" borderId="0" xfId="0" applyFill="1" applyBorder="1" applyAlignment="1">
      <alignment horizontal="center"/>
    </xf>
    <xf numFmtId="22" fontId="0" fillId="0" borderId="0" xfId="0" applyNumberFormat="1"/>
    <xf numFmtId="2" fontId="0" fillId="0" borderId="0" xfId="0" applyNumberFormat="1" applyFill="1"/>
    <xf numFmtId="2" fontId="111" fillId="0" borderId="0" xfId="20" applyNumberFormat="1" applyFill="1" applyBorder="1" applyAlignment="1" applyProtection="1">
      <alignment horizontal="center"/>
      <protection locked="0"/>
    </xf>
    <xf numFmtId="170" fontId="8" fillId="0" borderId="0" xfId="0" applyFont="1" applyFill="1" applyBorder="1" applyAlignment="1" applyProtection="1">
      <alignment horizontal="center"/>
    </xf>
    <xf numFmtId="170" fontId="16" fillId="0" borderId="0" xfId="0" applyFont="1" applyFill="1" applyAlignment="1" applyProtection="1"/>
    <xf numFmtId="170" fontId="8" fillId="0" borderId="0" xfId="0" applyFont="1" applyAlignment="1" applyProtection="1">
      <alignment horizontal="left" indent="1"/>
    </xf>
    <xf numFmtId="170" fontId="11" fillId="0" borderId="0" xfId="0" applyFont="1" applyAlignment="1" applyProtection="1">
      <alignment horizontal="left" indent="1"/>
    </xf>
    <xf numFmtId="170" fontId="8" fillId="0" borderId="0" xfId="0" applyFont="1" applyFill="1" applyBorder="1" applyProtection="1"/>
    <xf numFmtId="164" fontId="51" fillId="0" borderId="0" xfId="14" applyFont="1" applyProtection="1"/>
    <xf numFmtId="164" fontId="51" fillId="0" borderId="0" xfId="16" applyFont="1" applyProtection="1"/>
    <xf numFmtId="170" fontId="51" fillId="0" borderId="2" xfId="0" applyFont="1" applyFill="1" applyBorder="1" applyAlignment="1" applyProtection="1">
      <alignment horizontal="center"/>
    </xf>
    <xf numFmtId="170" fontId="51" fillId="0" borderId="2" xfId="0" applyFont="1" applyFill="1" applyBorder="1" applyProtection="1"/>
    <xf numFmtId="164" fontId="51" fillId="0" borderId="2" xfId="16" applyFont="1" applyBorder="1" applyProtection="1"/>
    <xf numFmtId="170" fontId="52" fillId="0" borderId="2" xfId="0" applyFont="1" applyBorder="1" applyAlignment="1" applyProtection="1">
      <alignment horizontal="left" indent="1"/>
    </xf>
    <xf numFmtId="170" fontId="53" fillId="0" borderId="2" xfId="0" applyFont="1" applyBorder="1"/>
    <xf numFmtId="170" fontId="54" fillId="2" borderId="2" xfId="0" applyFont="1" applyFill="1" applyBorder="1" applyAlignment="1" applyProtection="1">
      <alignment horizontal="center"/>
    </xf>
    <xf numFmtId="170" fontId="54" fillId="2" borderId="2" xfId="0" applyFont="1" applyFill="1" applyBorder="1" applyAlignment="1">
      <alignment horizontal="center"/>
    </xf>
    <xf numFmtId="170" fontId="14" fillId="0" borderId="0" xfId="0" applyFont="1"/>
    <xf numFmtId="3" fontId="8" fillId="3" borderId="3" xfId="0" applyNumberFormat="1" applyFont="1" applyFill="1" applyBorder="1" applyAlignment="1">
      <alignment horizontal="right"/>
    </xf>
    <xf numFmtId="3" fontId="8" fillId="3" borderId="3" xfId="1" applyNumberFormat="1" applyFont="1" applyFill="1" applyBorder="1"/>
    <xf numFmtId="9" fontId="8" fillId="3" borderId="3" xfId="19" applyFont="1" applyFill="1" applyBorder="1"/>
    <xf numFmtId="9" fontId="8" fillId="3" borderId="3" xfId="19" applyNumberFormat="1" applyFont="1" applyFill="1" applyBorder="1"/>
    <xf numFmtId="170" fontId="8" fillId="3" borderId="3" xfId="0" applyFont="1" applyFill="1" applyBorder="1"/>
    <xf numFmtId="9" fontId="8" fillId="3" borderId="3" xfId="19" applyFont="1" applyFill="1" applyBorder="1" applyAlignment="1">
      <alignment horizontal="center"/>
    </xf>
    <xf numFmtId="170" fontId="8" fillId="0" borderId="0" xfId="0" applyFont="1"/>
    <xf numFmtId="170" fontId="26" fillId="0" borderId="0" xfId="0" applyFont="1" applyAlignment="1">
      <alignment horizontal="center"/>
    </xf>
    <xf numFmtId="164" fontId="45" fillId="0" borderId="0" xfId="13" applyFont="1" applyFill="1" applyAlignment="1">
      <alignment vertical="center"/>
    </xf>
    <xf numFmtId="170" fontId="7" fillId="0" borderId="0" xfId="0" applyFont="1"/>
    <xf numFmtId="170" fontId="37" fillId="0" borderId="0" xfId="0" applyFont="1" applyFill="1"/>
    <xf numFmtId="170" fontId="58" fillId="2" borderId="4" xfId="0" applyFont="1" applyFill="1" applyBorder="1" applyAlignment="1">
      <alignment vertical="center"/>
    </xf>
    <xf numFmtId="170" fontId="56" fillId="0" borderId="0" xfId="18" applyNumberFormat="1" applyFont="1" applyFill="1" applyBorder="1" applyAlignment="1">
      <alignment horizontal="center" vertical="center" wrapText="1"/>
    </xf>
    <xf numFmtId="170" fontId="56" fillId="4" borderId="5" xfId="18"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14" fillId="0" borderId="0" xfId="0" applyNumberFormat="1" applyFont="1" applyFill="1" applyBorder="1" applyAlignment="1">
      <alignment horizontal="center"/>
    </xf>
    <xf numFmtId="1" fontId="60" fillId="3" borderId="0" xfId="0" applyNumberFormat="1" applyFont="1" applyFill="1" applyBorder="1" applyAlignment="1">
      <alignment horizontal="center"/>
    </xf>
    <xf numFmtId="170" fontId="60" fillId="0" borderId="0" xfId="0" applyFont="1" applyFill="1" applyBorder="1" applyAlignment="1" applyProtection="1">
      <alignment horizontal="left"/>
    </xf>
    <xf numFmtId="170" fontId="61" fillId="0" borderId="0" xfId="0" applyFont="1"/>
    <xf numFmtId="164" fontId="32" fillId="0" borderId="0" xfId="23" applyFont="1" applyFill="1" applyBorder="1" applyAlignment="1" applyProtection="1">
      <alignment horizontal="center" vertical="center"/>
      <protection locked="0"/>
    </xf>
    <xf numFmtId="15" fontId="0" fillId="0" borderId="0" xfId="0" applyNumberFormat="1"/>
    <xf numFmtId="170" fontId="0" fillId="0" borderId="2" xfId="0" quotePrefix="1" applyNumberFormat="1" applyBorder="1"/>
    <xf numFmtId="164" fontId="24" fillId="0" borderId="6" xfId="23" applyFont="1" applyBorder="1" applyAlignment="1" applyProtection="1"/>
    <xf numFmtId="164" fontId="111" fillId="0" borderId="6" xfId="23" applyFill="1" applyBorder="1" applyAlignment="1" applyProtection="1">
      <alignment vertical="center"/>
    </xf>
    <xf numFmtId="164" fontId="3" fillId="0" borderId="6" xfId="23" applyFont="1" applyFill="1" applyBorder="1" applyAlignment="1" applyProtection="1">
      <alignment vertical="center"/>
    </xf>
    <xf numFmtId="164" fontId="24" fillId="0" borderId="0" xfId="23" applyFont="1" applyBorder="1" applyAlignment="1" applyProtection="1"/>
    <xf numFmtId="164" fontId="111" fillId="0" borderId="0" xfId="23" applyFill="1" applyBorder="1" applyAlignment="1" applyProtection="1">
      <alignment vertical="center"/>
    </xf>
    <xf numFmtId="164" fontId="3" fillId="0" borderId="0" xfId="23" applyFont="1" applyFill="1" applyBorder="1" applyAlignment="1" applyProtection="1">
      <alignment vertical="center"/>
    </xf>
    <xf numFmtId="170" fontId="25" fillId="0" borderId="7" xfId="0" applyFont="1" applyBorder="1" applyAlignment="1" applyProtection="1">
      <alignment horizontal="center"/>
    </xf>
    <xf numFmtId="15" fontId="25" fillId="0" borderId="8" xfId="0" applyNumberFormat="1" applyFont="1" applyBorder="1" applyAlignment="1" applyProtection="1">
      <alignment horizontal="center"/>
    </xf>
    <xf numFmtId="170" fontId="25" fillId="0" borderId="9" xfId="0" applyFont="1" applyBorder="1" applyAlignment="1" applyProtection="1">
      <alignment horizontal="center"/>
    </xf>
    <xf numFmtId="166" fontId="8" fillId="0" borderId="0" xfId="0" applyNumberFormat="1" applyFont="1" applyFill="1" applyBorder="1" applyAlignment="1" applyProtection="1"/>
    <xf numFmtId="10" fontId="4" fillId="0" borderId="0" xfId="19" applyNumberFormat="1" applyFont="1" applyFill="1" applyBorder="1" applyAlignment="1" applyProtection="1">
      <alignment horizontal="center"/>
    </xf>
    <xf numFmtId="170" fontId="4" fillId="0" borderId="0" xfId="0" applyFont="1" applyFill="1" applyBorder="1" applyAlignment="1" applyProtection="1"/>
    <xf numFmtId="170" fontId="19" fillId="0" borderId="0" xfId="0" applyFont="1" applyFill="1" applyBorder="1" applyAlignment="1" applyProtection="1">
      <alignment horizontal="centerContinuous" wrapText="1"/>
    </xf>
    <xf numFmtId="170" fontId="19" fillId="0" borderId="0" xfId="0" applyFont="1" applyFill="1" applyBorder="1" applyAlignment="1" applyProtection="1">
      <alignment horizontal="centerContinuous"/>
    </xf>
    <xf numFmtId="170" fontId="0" fillId="0" borderId="0" xfId="0" applyFill="1" applyBorder="1" applyAlignment="1" applyProtection="1">
      <alignment horizontal="centerContinuous"/>
    </xf>
    <xf numFmtId="15" fontId="19" fillId="0" borderId="10" xfId="0" applyNumberFormat="1" applyFont="1" applyFill="1" applyBorder="1" applyAlignment="1" applyProtection="1"/>
    <xf numFmtId="170" fontId="19" fillId="0" borderId="10" xfId="0" applyFont="1" applyFill="1" applyBorder="1" applyProtection="1"/>
    <xf numFmtId="170" fontId="19" fillId="0" borderId="11" xfId="0" applyFont="1" applyFill="1" applyBorder="1" applyProtection="1"/>
    <xf numFmtId="164" fontId="31" fillId="0" borderId="12" xfId="23" applyFont="1" applyBorder="1" applyAlignment="1" applyProtection="1"/>
    <xf numFmtId="164" fontId="32" fillId="0" borderId="12" xfId="23" applyFont="1" applyFill="1" applyBorder="1" applyAlignment="1" applyProtection="1">
      <alignment vertical="center"/>
    </xf>
    <xf numFmtId="164" fontId="32" fillId="0" borderId="12" xfId="23" applyFont="1" applyFill="1" applyBorder="1" applyAlignment="1" applyProtection="1">
      <alignment horizontal="center" vertical="center"/>
    </xf>
    <xf numFmtId="164" fontId="32" fillId="0" borderId="0" xfId="23" applyFont="1" applyFill="1" applyBorder="1" applyAlignment="1" applyProtection="1">
      <alignment vertical="center"/>
    </xf>
    <xf numFmtId="164" fontId="31" fillId="0" borderId="0" xfId="23" applyFont="1" applyBorder="1" applyAlignment="1" applyProtection="1"/>
    <xf numFmtId="164" fontId="33" fillId="0" borderId="0" xfId="23" applyFont="1" applyFill="1" applyBorder="1" applyAlignment="1" applyProtection="1">
      <alignment vertical="center"/>
    </xf>
    <xf numFmtId="170" fontId="7" fillId="0" borderId="0" xfId="0" applyFont="1" applyBorder="1" applyAlignment="1" applyProtection="1">
      <alignment horizontal="center"/>
    </xf>
    <xf numFmtId="170" fontId="7" fillId="0" borderId="13" xfId="0" applyFont="1" applyBorder="1" applyAlignment="1" applyProtection="1">
      <alignment horizontal="center"/>
    </xf>
    <xf numFmtId="170" fontId="7" fillId="0" borderId="13" xfId="0" applyFont="1" applyBorder="1" applyAlignment="1" applyProtection="1">
      <alignment horizontal="center" wrapText="1"/>
    </xf>
    <xf numFmtId="170" fontId="7" fillId="0" borderId="14" xfId="0" applyFont="1" applyBorder="1" applyAlignment="1" applyProtection="1">
      <alignment horizontal="center"/>
    </xf>
    <xf numFmtId="170" fontId="7" fillId="0" borderId="15" xfId="0" applyFont="1" applyBorder="1" applyAlignment="1" applyProtection="1">
      <alignment horizontal="center"/>
    </xf>
    <xf numFmtId="170" fontId="7" fillId="0" borderId="16" xfId="0" applyFont="1" applyBorder="1" applyAlignment="1" applyProtection="1">
      <alignment horizontal="center"/>
    </xf>
    <xf numFmtId="1" fontId="14" fillId="3" borderId="17" xfId="0" applyNumberFormat="1" applyFont="1" applyFill="1" applyBorder="1" applyAlignment="1" applyProtection="1">
      <alignment horizontal="center"/>
    </xf>
    <xf numFmtId="170" fontId="0" fillId="0" borderId="18" xfId="0" applyBorder="1" applyProtection="1"/>
    <xf numFmtId="170" fontId="0" fillId="0" borderId="14" xfId="0" applyBorder="1" applyAlignment="1" applyProtection="1">
      <alignment horizontal="center"/>
    </xf>
    <xf numFmtId="170" fontId="0" fillId="0" borderId="16" xfId="0" applyBorder="1" applyAlignment="1" applyProtection="1">
      <alignment horizontal="center"/>
    </xf>
    <xf numFmtId="170" fontId="25" fillId="0" borderId="13" xfId="0" applyFont="1" applyBorder="1" applyAlignment="1" applyProtection="1">
      <alignment horizontal="center"/>
    </xf>
    <xf numFmtId="170" fontId="25" fillId="0" borderId="14" xfId="0" applyFont="1" applyBorder="1" applyAlignment="1" applyProtection="1">
      <alignment horizontal="center"/>
    </xf>
    <xf numFmtId="170" fontId="0" fillId="0" borderId="0" xfId="0" applyFill="1" applyBorder="1" applyAlignment="1" applyProtection="1">
      <alignment horizontal="center" wrapText="1"/>
    </xf>
    <xf numFmtId="164" fontId="78" fillId="0" borderId="0" xfId="1" applyFont="1" applyFill="1" applyBorder="1" applyProtection="1"/>
    <xf numFmtId="164" fontId="0" fillId="0" borderId="0" xfId="0" applyNumberFormat="1" applyFill="1" applyBorder="1" applyProtection="1"/>
    <xf numFmtId="164" fontId="50" fillId="0" borderId="19" xfId="23" applyFont="1" applyFill="1" applyBorder="1" applyAlignment="1" applyProtection="1"/>
    <xf numFmtId="164" fontId="32" fillId="0" borderId="19" xfId="23" applyFont="1" applyFill="1" applyBorder="1" applyAlignment="1" applyProtection="1">
      <alignment vertical="center"/>
    </xf>
    <xf numFmtId="3" fontId="49" fillId="5" borderId="20" xfId="0" applyNumberFormat="1" applyFont="1" applyFill="1" applyBorder="1" applyAlignment="1" applyProtection="1">
      <alignment vertical="center"/>
      <protection locked="0"/>
    </xf>
    <xf numFmtId="164" fontId="21" fillId="0" borderId="0" xfId="0" applyNumberFormat="1" applyFont="1" applyAlignment="1" applyProtection="1">
      <alignment horizontal="right"/>
    </xf>
    <xf numFmtId="166" fontId="21" fillId="0" borderId="0" xfId="1" applyNumberFormat="1" applyFont="1" applyAlignment="1" applyProtection="1">
      <alignment horizontal="left"/>
    </xf>
    <xf numFmtId="15" fontId="21" fillId="0" borderId="0" xfId="0" applyNumberFormat="1" applyFont="1" applyAlignment="1" applyProtection="1">
      <alignment horizontal="left"/>
    </xf>
    <xf numFmtId="15" fontId="21" fillId="0" borderId="0" xfId="0" applyNumberFormat="1" applyFont="1" applyAlignment="1" applyProtection="1">
      <alignment horizontal="right"/>
    </xf>
    <xf numFmtId="164" fontId="21" fillId="0" borderId="0" xfId="0" applyNumberFormat="1" applyFont="1" applyProtection="1"/>
    <xf numFmtId="164" fontId="21" fillId="0" borderId="0" xfId="0" applyNumberFormat="1" applyFont="1" applyBorder="1" applyProtection="1"/>
    <xf numFmtId="164" fontId="21" fillId="0" borderId="0" xfId="0" applyNumberFormat="1" applyFont="1" applyBorder="1" applyAlignment="1" applyProtection="1">
      <alignment horizontal="right"/>
    </xf>
    <xf numFmtId="166" fontId="21" fillId="0" borderId="0" xfId="1" applyNumberFormat="1" applyFont="1" applyBorder="1" applyAlignment="1" applyProtection="1">
      <alignment horizontal="left"/>
    </xf>
    <xf numFmtId="170" fontId="12" fillId="0" borderId="0" xfId="0" applyFont="1" applyBorder="1" applyAlignment="1" applyProtection="1">
      <alignment horizontal="center"/>
    </xf>
    <xf numFmtId="170" fontId="12" fillId="0" borderId="0" xfId="0" applyFont="1" applyAlignment="1" applyProtection="1">
      <alignment horizontal="center"/>
    </xf>
    <xf numFmtId="170" fontId="27" fillId="0" borderId="2" xfId="0" applyFont="1" applyBorder="1" applyAlignment="1" applyProtection="1">
      <alignment horizontal="center" vertical="center" wrapText="1"/>
    </xf>
    <xf numFmtId="15" fontId="19" fillId="0" borderId="0" xfId="0" applyNumberFormat="1" applyFont="1" applyFill="1" applyBorder="1" applyAlignment="1" applyProtection="1"/>
    <xf numFmtId="15" fontId="19" fillId="0" borderId="0" xfId="0" applyNumberFormat="1" applyFont="1" applyFill="1" applyBorder="1" applyAlignment="1" applyProtection="1">
      <alignment horizontal="center" wrapText="1"/>
    </xf>
    <xf numFmtId="170" fontId="19" fillId="0" borderId="0" xfId="0" applyFont="1" applyFill="1" applyBorder="1" applyProtection="1"/>
    <xf numFmtId="170" fontId="0" fillId="0" borderId="0" xfId="0" applyFill="1" applyBorder="1" applyAlignment="1" applyProtection="1">
      <alignment horizontal="center"/>
    </xf>
    <xf numFmtId="170" fontId="19" fillId="0" borderId="0" xfId="0" applyFont="1" applyFill="1" applyBorder="1" applyAlignment="1" applyProtection="1"/>
    <xf numFmtId="170" fontId="0" fillId="0" borderId="14" xfId="0" applyBorder="1" applyAlignment="1" applyProtection="1">
      <alignment horizontal="center" wrapText="1"/>
    </xf>
    <xf numFmtId="170" fontId="34" fillId="0" borderId="0" xfId="0" applyFont="1" applyProtection="1"/>
    <xf numFmtId="170" fontId="34" fillId="0" borderId="0" xfId="0" applyFont="1" applyAlignment="1" applyProtection="1">
      <alignment horizontal="right"/>
    </xf>
    <xf numFmtId="170" fontId="34" fillId="0" borderId="0" xfId="0" applyFont="1" applyBorder="1" applyProtection="1"/>
    <xf numFmtId="170" fontId="36" fillId="0" borderId="0" xfId="0" applyFont="1" applyBorder="1" applyAlignment="1" applyProtection="1">
      <alignment horizontal="left" vertical="center"/>
    </xf>
    <xf numFmtId="170" fontId="36" fillId="0" borderId="0" xfId="0" applyFont="1" applyBorder="1" applyAlignment="1" applyProtection="1">
      <alignment horizontal="left"/>
    </xf>
    <xf numFmtId="167" fontId="36" fillId="0" borderId="0" xfId="0" applyNumberFormat="1" applyFont="1" applyBorder="1" applyAlignment="1" applyProtection="1">
      <alignment horizontal="left"/>
    </xf>
    <xf numFmtId="170" fontId="37" fillId="0" borderId="0" xfId="0" applyFont="1" applyProtection="1"/>
    <xf numFmtId="170" fontId="38" fillId="0" borderId="0" xfId="0" applyFont="1" applyFill="1" applyBorder="1" applyAlignment="1" applyProtection="1">
      <alignment horizontal="right"/>
    </xf>
    <xf numFmtId="3" fontId="42" fillId="0" borderId="0" xfId="0" applyNumberFormat="1" applyFont="1" applyFill="1" applyBorder="1" applyAlignment="1" applyProtection="1">
      <alignment horizontal="right" vertical="center"/>
    </xf>
    <xf numFmtId="170" fontId="39" fillId="3" borderId="0" xfId="0" applyNumberFormat="1" applyFont="1" applyFill="1" applyBorder="1" applyAlignment="1" applyProtection="1">
      <alignment horizontal="right"/>
    </xf>
    <xf numFmtId="170" fontId="41" fillId="3" borderId="0" xfId="0" applyFont="1" applyFill="1" applyBorder="1" applyAlignment="1" applyProtection="1">
      <alignment horizontal="center" vertical="center"/>
    </xf>
    <xf numFmtId="170" fontId="46" fillId="0" borderId="0" xfId="0" applyFont="1" applyFill="1" applyBorder="1" applyAlignment="1" applyProtection="1">
      <alignment horizontal="center"/>
    </xf>
    <xf numFmtId="170" fontId="39" fillId="0" borderId="0" xfId="0" applyNumberFormat="1" applyFont="1" applyFill="1" applyBorder="1" applyAlignment="1" applyProtection="1">
      <alignment horizontal="right"/>
    </xf>
    <xf numFmtId="9" fontId="40" fillId="0" borderId="0" xfId="0" applyNumberFormat="1" applyFont="1" applyFill="1" applyBorder="1" applyProtection="1"/>
    <xf numFmtId="170" fontId="27" fillId="0" borderId="23" xfId="0" applyNumberFormat="1" applyFont="1" applyFill="1" applyBorder="1" applyAlignment="1" applyProtection="1">
      <alignment vertical="center"/>
    </xf>
    <xf numFmtId="170" fontId="35" fillId="0" borderId="0" xfId="0" applyFont="1" applyProtection="1"/>
    <xf numFmtId="170" fontId="48" fillId="0" borderId="0" xfId="0" applyFont="1" applyProtection="1"/>
    <xf numFmtId="170" fontId="43" fillId="0" borderId="0" xfId="0" applyFont="1" applyProtection="1"/>
    <xf numFmtId="170" fontId="55" fillId="0" borderId="0" xfId="0" applyFont="1" applyBorder="1" applyAlignment="1" applyProtection="1">
      <alignment wrapText="1"/>
    </xf>
    <xf numFmtId="170" fontId="51" fillId="0" borderId="0" xfId="0" applyFont="1" applyFill="1" applyBorder="1" applyAlignment="1" applyProtection="1"/>
    <xf numFmtId="164" fontId="8" fillId="0" borderId="0" xfId="0" applyNumberFormat="1" applyFont="1"/>
    <xf numFmtId="170" fontId="21" fillId="0" borderId="0" xfId="0" applyNumberFormat="1" applyFont="1" applyAlignment="1" applyProtection="1">
      <alignment horizontal="center"/>
    </xf>
    <xf numFmtId="170" fontId="21" fillId="0" borderId="0" xfId="0" applyFont="1" applyAlignment="1" applyProtection="1">
      <alignment horizontal="center"/>
    </xf>
    <xf numFmtId="15" fontId="21"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164" fontId="30" fillId="0" borderId="0" xfId="0" applyNumberFormat="1" applyFont="1" applyBorder="1" applyProtection="1"/>
    <xf numFmtId="166" fontId="4" fillId="0" borderId="0" xfId="1" applyNumberFormat="1" applyFont="1" applyFill="1" applyBorder="1" applyAlignment="1" applyProtection="1">
      <protection locked="0"/>
    </xf>
    <xf numFmtId="166" fontId="4" fillId="0" borderId="0" xfId="1" applyNumberFormat="1" applyFont="1" applyFill="1" applyBorder="1" applyProtection="1">
      <protection locked="0"/>
    </xf>
    <xf numFmtId="170" fontId="0" fillId="0" borderId="0" xfId="0" applyBorder="1" applyAlignment="1">
      <alignment horizontal="center"/>
    </xf>
    <xf numFmtId="170" fontId="8" fillId="3" borderId="0" xfId="0" applyFont="1" applyFill="1"/>
    <xf numFmtId="165" fontId="8" fillId="3" borderId="0" xfId="0" applyNumberFormat="1" applyFont="1" applyFill="1"/>
    <xf numFmtId="166" fontId="8" fillId="3" borderId="0" xfId="0" applyNumberFormat="1" applyFont="1" applyFill="1"/>
    <xf numFmtId="3" fontId="8" fillId="3" borderId="0" xfId="0" applyNumberFormat="1" applyFont="1" applyFill="1" applyProtection="1"/>
    <xf numFmtId="165" fontId="8" fillId="3" borderId="0" xfId="0" applyNumberFormat="1" applyFont="1" applyFill="1" applyProtection="1"/>
    <xf numFmtId="170" fontId="27" fillId="0" borderId="0" xfId="0" applyFont="1" applyFill="1" applyAlignment="1" applyProtection="1">
      <alignment horizontal="left"/>
      <protection locked="0"/>
    </xf>
    <xf numFmtId="170" fontId="27" fillId="0" borderId="0" xfId="0" applyFont="1" applyFill="1" applyBorder="1" applyAlignment="1" applyProtection="1">
      <alignment horizontal="left"/>
      <protection locked="0"/>
    </xf>
    <xf numFmtId="170" fontId="21" fillId="0" borderId="0" xfId="0" applyFont="1" applyFill="1" applyBorder="1" applyAlignment="1">
      <alignment vertical="center" wrapText="1"/>
    </xf>
    <xf numFmtId="170" fontId="21" fillId="0" borderId="0" xfId="0" applyFont="1" applyFill="1" applyBorder="1" applyAlignment="1">
      <alignment horizontal="center"/>
    </xf>
    <xf numFmtId="170" fontId="0" fillId="3" borderId="0" xfId="0" applyFill="1" applyBorder="1" applyAlignment="1">
      <alignment horizontal="center"/>
    </xf>
    <xf numFmtId="170" fontId="21" fillId="0" borderId="24" xfId="0" applyFont="1" applyFill="1" applyBorder="1" applyAlignment="1" applyProtection="1">
      <alignment horizontal="center" wrapText="1"/>
    </xf>
    <xf numFmtId="170" fontId="0" fillId="0" borderId="25" xfId="0" applyBorder="1" applyProtection="1"/>
    <xf numFmtId="164" fontId="10" fillId="0" borderId="0" xfId="12" applyFont="1" applyFill="1" applyAlignment="1" applyProtection="1">
      <alignment horizontal="center" vertical="center"/>
    </xf>
    <xf numFmtId="164" fontId="9" fillId="0" borderId="0" xfId="12" applyFont="1" applyFill="1" applyAlignment="1" applyProtection="1">
      <alignment vertical="center"/>
    </xf>
    <xf numFmtId="170" fontId="62" fillId="0" borderId="0" xfId="0" applyFont="1"/>
    <xf numFmtId="164" fontId="7" fillId="0" borderId="0" xfId="0" applyNumberFormat="1" applyFont="1" applyAlignment="1" applyProtection="1">
      <alignment horizontal="center"/>
    </xf>
    <xf numFmtId="164" fontId="13" fillId="0" borderId="26" xfId="20" applyFont="1" applyBorder="1" applyAlignment="1" applyProtection="1">
      <alignment horizontal="right"/>
    </xf>
    <xf numFmtId="170" fontId="6" fillId="0" borderId="0" xfId="0" applyFont="1"/>
    <xf numFmtId="170" fontId="0" fillId="3" borderId="0" xfId="0" applyFill="1" applyProtection="1"/>
    <xf numFmtId="170" fontId="0" fillId="3" borderId="27" xfId="0" applyFill="1" applyBorder="1" applyProtection="1"/>
    <xf numFmtId="164" fontId="68" fillId="0" borderId="0" xfId="0" applyNumberFormat="1" applyFont="1"/>
    <xf numFmtId="170" fontId="68" fillId="0" borderId="0" xfId="0" applyFont="1"/>
    <xf numFmtId="164" fontId="0" fillId="0" borderId="0" xfId="0" quotePrefix="1" applyNumberFormat="1"/>
    <xf numFmtId="164" fontId="0" fillId="0" borderId="0" xfId="0" applyNumberFormat="1"/>
    <xf numFmtId="170" fontId="27" fillId="0" borderId="28" xfId="0" applyNumberFormat="1" applyFont="1" applyFill="1" applyBorder="1" applyAlignment="1" applyProtection="1">
      <alignment vertical="center"/>
    </xf>
    <xf numFmtId="164" fontId="111" fillId="0" borderId="0" xfId="17" applyFill="1" applyBorder="1" applyAlignment="1" applyProtection="1">
      <alignment horizontal="center"/>
    </xf>
    <xf numFmtId="170" fontId="27" fillId="0" borderId="0" xfId="0" quotePrefix="1" applyFont="1" applyProtection="1"/>
    <xf numFmtId="170" fontId="47" fillId="0" borderId="29" xfId="0" applyFont="1" applyBorder="1" applyAlignment="1">
      <alignment horizontal="justify" vertical="center" wrapText="1"/>
    </xf>
    <xf numFmtId="170" fontId="47" fillId="0" borderId="30" xfId="0" applyFont="1" applyBorder="1" applyAlignment="1">
      <alignment horizontal="justify" vertical="center" wrapText="1"/>
    </xf>
    <xf numFmtId="170" fontId="47" fillId="0" borderId="31" xfId="0" applyFont="1" applyBorder="1" applyAlignment="1">
      <alignment horizontal="justify" vertical="center" wrapText="1"/>
    </xf>
    <xf numFmtId="170" fontId="67" fillId="0" borderId="30" xfId="0" applyFont="1" applyBorder="1" applyAlignment="1">
      <alignment horizontal="justify" vertical="center" wrapText="1"/>
    </xf>
    <xf numFmtId="164" fontId="70" fillId="0" borderId="19" xfId="23" applyFont="1" applyFill="1" applyBorder="1" applyAlignment="1" applyProtection="1"/>
    <xf numFmtId="164" fontId="5" fillId="0" borderId="19" xfId="23" applyFont="1" applyFill="1" applyBorder="1" applyAlignment="1" applyProtection="1">
      <alignment vertical="center"/>
    </xf>
    <xf numFmtId="170" fontId="66" fillId="0" borderId="29" xfId="0" applyFont="1" applyBorder="1" applyAlignment="1">
      <alignment vertical="center" wrapText="1"/>
    </xf>
    <xf numFmtId="170" fontId="66" fillId="0" borderId="30" xfId="0" applyFont="1" applyBorder="1" applyAlignment="1">
      <alignment vertical="center" wrapText="1"/>
    </xf>
    <xf numFmtId="170" fontId="2" fillId="0" borderId="32" xfId="0" applyFont="1" applyFill="1" applyBorder="1" applyAlignment="1" applyProtection="1">
      <alignment horizontal="center"/>
    </xf>
    <xf numFmtId="170" fontId="1" fillId="0" borderId="0" xfId="0" applyFont="1"/>
    <xf numFmtId="170" fontId="73" fillId="0" borderId="0" xfId="0" applyFont="1"/>
    <xf numFmtId="170" fontId="47" fillId="0" borderId="29" xfId="0" applyFont="1" applyBorder="1" applyAlignment="1" applyProtection="1">
      <alignment horizontal="justify" vertical="center" wrapText="1"/>
      <protection locked="0"/>
    </xf>
    <xf numFmtId="170" fontId="67" fillId="0" borderId="30" xfId="0" applyFont="1" applyBorder="1" applyAlignment="1" applyProtection="1">
      <alignment horizontal="justify" vertical="center" wrapText="1"/>
      <protection locked="0"/>
    </xf>
    <xf numFmtId="170" fontId="67" fillId="0" borderId="31" xfId="0" applyFont="1" applyBorder="1" applyAlignment="1" applyProtection="1">
      <alignment horizontal="justify" vertical="center" wrapText="1"/>
      <protection locked="0"/>
    </xf>
    <xf numFmtId="164" fontId="75" fillId="0" borderId="19" xfId="23" applyFont="1" applyFill="1" applyBorder="1" applyAlignment="1" applyProtection="1">
      <alignment vertical="center"/>
    </xf>
    <xf numFmtId="170" fontId="74" fillId="0" borderId="0" xfId="0" applyFont="1" applyFill="1"/>
    <xf numFmtId="15" fontId="29" fillId="0" borderId="0" xfId="0" applyNumberFormat="1" applyFont="1" applyAlignment="1" applyProtection="1">
      <alignment horizontal="center"/>
    </xf>
    <xf numFmtId="1" fontId="14" fillId="6" borderId="2" xfId="0" applyNumberFormat="1" applyFont="1" applyFill="1" applyBorder="1" applyAlignment="1" applyProtection="1">
      <alignment horizontal="center"/>
      <protection locked="0"/>
    </xf>
    <xf numFmtId="1" fontId="14" fillId="6" borderId="33" xfId="0" applyNumberFormat="1" applyFont="1" applyFill="1" applyBorder="1" applyAlignment="1" applyProtection="1">
      <alignment horizontal="center"/>
      <protection locked="0"/>
    </xf>
    <xf numFmtId="166" fontId="0" fillId="0" borderId="0" xfId="0" applyNumberFormat="1" applyProtection="1"/>
    <xf numFmtId="170" fontId="47" fillId="0" borderId="29" xfId="0" applyFont="1" applyBorder="1" applyAlignment="1" applyProtection="1">
      <alignment horizontal="left" vertical="center" wrapText="1"/>
      <protection locked="0"/>
    </xf>
    <xf numFmtId="170" fontId="47" fillId="0" borderId="30" xfId="0" applyFont="1" applyBorder="1" applyAlignment="1" applyProtection="1">
      <alignment horizontal="left" vertical="center" wrapText="1"/>
      <protection locked="0"/>
    </xf>
    <xf numFmtId="170" fontId="47" fillId="0" borderId="31" xfId="0" applyFont="1" applyBorder="1" applyAlignment="1" applyProtection="1">
      <alignment horizontal="left" vertical="center" wrapText="1"/>
      <protection locked="0"/>
    </xf>
    <xf numFmtId="164" fontId="13" fillId="0" borderId="0" xfId="15" applyFont="1" applyFill="1" applyAlignment="1" applyProtection="1">
      <alignment horizontal="right" vertical="center"/>
    </xf>
    <xf numFmtId="170" fontId="80" fillId="0" borderId="0" xfId="0" applyFont="1" applyFill="1" applyBorder="1" applyAlignment="1" applyProtection="1">
      <alignment horizontal="right"/>
    </xf>
    <xf numFmtId="164" fontId="81" fillId="0" borderId="6" xfId="23" applyFont="1" applyFill="1" applyBorder="1" applyAlignment="1" applyProtection="1">
      <alignment horizontal="left" vertical="center"/>
    </xf>
    <xf numFmtId="170" fontId="82" fillId="0" borderId="0" xfId="0" applyFont="1" applyFill="1" applyBorder="1" applyProtection="1"/>
    <xf numFmtId="170" fontId="80" fillId="0" borderId="0" xfId="0" applyFont="1" applyBorder="1" applyProtection="1"/>
    <xf numFmtId="3" fontId="4" fillId="0" borderId="0" xfId="0" applyNumberFormat="1" applyFont="1" applyAlignment="1" applyProtection="1">
      <alignment horizontal="right"/>
    </xf>
    <xf numFmtId="15" fontId="79" fillId="0" borderId="0" xfId="0" applyNumberFormat="1" applyFont="1" applyFill="1" applyBorder="1" applyAlignment="1" applyProtection="1">
      <alignment horizontal="left"/>
    </xf>
    <xf numFmtId="170" fontId="85" fillId="0" borderId="0" xfId="0" applyFont="1" applyFill="1" applyBorder="1" applyAlignment="1" applyProtection="1">
      <alignment horizontal="center" wrapText="1"/>
    </xf>
    <xf numFmtId="170" fontId="80" fillId="0" borderId="0" xfId="0" applyFont="1" applyFill="1" applyBorder="1" applyAlignment="1" applyProtection="1">
      <alignment horizontal="center"/>
    </xf>
    <xf numFmtId="170" fontId="0" fillId="0" borderId="0" xfId="0" quotePrefix="1" applyProtection="1"/>
    <xf numFmtId="15" fontId="25" fillId="0" borderId="34" xfId="0" applyNumberFormat="1" applyFont="1" applyBorder="1" applyAlignment="1" applyProtection="1">
      <alignment horizontal="center"/>
    </xf>
    <xf numFmtId="15" fontId="22" fillId="0" borderId="0" xfId="0" applyNumberFormat="1" applyFont="1" applyFill="1" applyBorder="1" applyAlignment="1" applyProtection="1">
      <alignment horizontal="center" vertical="center" wrapText="1"/>
    </xf>
    <xf numFmtId="170" fontId="91" fillId="0" borderId="0" xfId="0" applyFont="1" applyBorder="1" applyAlignment="1" applyProtection="1">
      <alignment horizontal="right"/>
    </xf>
    <xf numFmtId="170" fontId="91" fillId="0" borderId="0" xfId="0" applyFont="1" applyAlignment="1" applyProtection="1">
      <alignment horizontal="right"/>
    </xf>
    <xf numFmtId="164" fontId="90" fillId="0" borderId="0" xfId="4" applyFont="1" applyFill="1" applyAlignment="1" applyProtection="1">
      <alignment vertical="center"/>
    </xf>
    <xf numFmtId="170" fontId="91" fillId="0" borderId="0" xfId="0" applyFont="1" applyProtection="1"/>
    <xf numFmtId="170" fontId="91" fillId="0" borderId="0" xfId="0" applyFont="1" applyBorder="1" applyProtection="1"/>
    <xf numFmtId="170" fontId="0" fillId="0" borderId="0" xfId="0" applyBorder="1" applyAlignment="1" applyProtection="1"/>
    <xf numFmtId="170" fontId="0" fillId="0" borderId="0" xfId="0" applyAlignment="1" applyProtection="1"/>
    <xf numFmtId="3" fontId="0" fillId="0" borderId="0" xfId="0" applyNumberFormat="1" applyFill="1" applyProtection="1"/>
    <xf numFmtId="170" fontId="0" fillId="0" borderId="0" xfId="0" applyFill="1" applyBorder="1" applyProtection="1">
      <protection locked="0"/>
    </xf>
    <xf numFmtId="170" fontId="77" fillId="0" borderId="0" xfId="0" applyFont="1" applyFill="1" applyBorder="1" applyAlignment="1" applyProtection="1">
      <alignment horizontal="center" vertical="center"/>
    </xf>
    <xf numFmtId="170" fontId="4" fillId="0" borderId="35" xfId="0" applyFont="1" applyBorder="1" applyAlignment="1" applyProtection="1"/>
    <xf numFmtId="170" fontId="4" fillId="0" borderId="36" xfId="0" applyFont="1" applyBorder="1" applyAlignment="1" applyProtection="1"/>
    <xf numFmtId="170" fontId="18" fillId="0" borderId="37" xfId="0" applyFont="1" applyBorder="1" applyAlignment="1" applyProtection="1">
      <alignment vertical="distributed"/>
    </xf>
    <xf numFmtId="15" fontId="20" fillId="0" borderId="38" xfId="0" applyNumberFormat="1" applyFont="1" applyFill="1" applyBorder="1" applyAlignment="1" applyProtection="1">
      <alignment horizontal="center" vertical="center" wrapText="1"/>
    </xf>
    <xf numFmtId="170" fontId="4" fillId="0" borderId="0" xfId="0" applyFont="1" applyFill="1" applyBorder="1" applyAlignment="1" applyProtection="1">
      <protection locked="0"/>
    </xf>
    <xf numFmtId="170" fontId="86" fillId="0" borderId="0" xfId="0" applyFont="1" applyFill="1" applyBorder="1" applyAlignment="1" applyProtection="1">
      <alignment horizontal="left"/>
      <protection locked="0"/>
    </xf>
    <xf numFmtId="170" fontId="19" fillId="0" borderId="39" xfId="0" applyFont="1" applyFill="1" applyBorder="1" applyAlignment="1" applyProtection="1"/>
    <xf numFmtId="15" fontId="19" fillId="0" borderId="2" xfId="0" applyNumberFormat="1" applyFont="1" applyFill="1" applyBorder="1" applyAlignment="1" applyProtection="1">
      <alignment horizontal="center"/>
    </xf>
    <xf numFmtId="15" fontId="19" fillId="0" borderId="40" xfId="0" applyNumberFormat="1" applyFont="1" applyFill="1" applyBorder="1" applyAlignment="1" applyProtection="1">
      <alignment horizontal="center"/>
    </xf>
    <xf numFmtId="15" fontId="87" fillId="0" borderId="25" xfId="0" applyNumberFormat="1" applyFont="1" applyFill="1" applyBorder="1" applyAlignment="1" applyProtection="1">
      <alignment horizontal="center" wrapText="1"/>
    </xf>
    <xf numFmtId="15" fontId="87" fillId="0" borderId="41" xfId="0" applyNumberFormat="1" applyFont="1" applyFill="1" applyBorder="1" applyAlignment="1" applyProtection="1">
      <alignment horizontal="center" wrapText="1"/>
    </xf>
    <xf numFmtId="170" fontId="0" fillId="0" borderId="0" xfId="0" applyFill="1" applyBorder="1" applyAlignment="1" applyProtection="1">
      <alignment horizontal="left" vertical="top"/>
      <protection locked="0"/>
    </xf>
    <xf numFmtId="170" fontId="79" fillId="0" borderId="0" xfId="0" applyFont="1" applyFill="1" applyBorder="1" applyAlignment="1" applyProtection="1">
      <alignment horizontal="center"/>
    </xf>
    <xf numFmtId="170" fontId="84"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4" fontId="0" fillId="0" borderId="2" xfId="0" applyNumberFormat="1" applyBorder="1" applyAlignment="1" applyProtection="1">
      <alignment horizontal="center"/>
      <protection locked="0"/>
    </xf>
    <xf numFmtId="170" fontId="0" fillId="0" borderId="42" xfId="0" applyBorder="1" applyAlignment="1" applyProtection="1">
      <alignment horizontal="center"/>
    </xf>
    <xf numFmtId="170" fontId="0" fillId="0" borderId="25" xfId="0" applyFill="1" applyBorder="1" applyAlignment="1" applyProtection="1">
      <alignment horizontal="center"/>
    </xf>
    <xf numFmtId="170" fontId="1" fillId="0" borderId="24" xfId="0" applyFont="1" applyFill="1" applyBorder="1" applyAlignment="1" applyProtection="1">
      <alignment horizontal="center" wrapText="1"/>
    </xf>
    <xf numFmtId="170" fontId="0" fillId="0" borderId="24" xfId="0" applyBorder="1" applyAlignment="1">
      <alignment horizontal="center" wrapText="1"/>
    </xf>
    <xf numFmtId="170" fontId="21" fillId="0" borderId="24" xfId="0" applyFont="1" applyBorder="1" applyAlignment="1">
      <alignment horizontal="center" wrapText="1"/>
    </xf>
    <xf numFmtId="170" fontId="1" fillId="0" borderId="41" xfId="0" applyFont="1" applyFill="1" applyBorder="1" applyAlignment="1" applyProtection="1">
      <alignment horizontal="center" wrapText="1"/>
    </xf>
    <xf numFmtId="3" fontId="49" fillId="7" borderId="20" xfId="0" applyNumberFormat="1" applyFont="1" applyFill="1" applyBorder="1" applyAlignment="1" applyProtection="1">
      <alignment vertical="center"/>
      <protection locked="0"/>
    </xf>
    <xf numFmtId="3" fontId="49" fillId="7" borderId="2" xfId="0" applyNumberFormat="1" applyFont="1" applyFill="1" applyBorder="1" applyAlignment="1" applyProtection="1">
      <alignment horizontal="right" vertical="center"/>
      <protection locked="0"/>
    </xf>
    <xf numFmtId="170" fontId="56" fillId="0" borderId="43" xfId="0" applyFont="1" applyFill="1" applyBorder="1" applyAlignment="1" applyProtection="1">
      <alignment horizontal="center" vertical="center"/>
    </xf>
    <xf numFmtId="170" fontId="17" fillId="0" borderId="0" xfId="0" applyFont="1" applyProtection="1"/>
    <xf numFmtId="164" fontId="87" fillId="0" borderId="0" xfId="0" applyNumberFormat="1" applyFont="1" applyBorder="1" applyAlignment="1" applyProtection="1">
      <alignment vertical="center" wrapText="1"/>
    </xf>
    <xf numFmtId="170" fontId="87" fillId="0" borderId="0" xfId="0" applyFont="1" applyFill="1" applyBorder="1" applyAlignment="1" applyProtection="1">
      <alignment wrapText="1"/>
    </xf>
    <xf numFmtId="164" fontId="13" fillId="0" borderId="26" xfId="20" applyFont="1" applyFill="1" applyBorder="1" applyAlignment="1" applyProtection="1">
      <alignment horizontal="right"/>
    </xf>
    <xf numFmtId="170" fontId="27" fillId="0" borderId="44" xfId="0" applyFont="1" applyFill="1" applyBorder="1" applyAlignment="1" applyProtection="1">
      <alignment horizontal="center" wrapText="1"/>
    </xf>
    <xf numFmtId="170" fontId="14" fillId="3" borderId="29" xfId="0" applyFont="1" applyFill="1" applyBorder="1" applyAlignment="1" applyProtection="1"/>
    <xf numFmtId="170" fontId="14" fillId="3" borderId="45" xfId="0" applyFont="1" applyFill="1" applyBorder="1" applyAlignment="1" applyProtection="1"/>
    <xf numFmtId="170" fontId="21" fillId="0" borderId="0" xfId="0" applyFont="1" applyFill="1" applyBorder="1" applyAlignment="1" applyProtection="1">
      <alignment wrapText="1"/>
    </xf>
    <xf numFmtId="9" fontId="89" fillId="8" borderId="2" xfId="19" applyFont="1" applyFill="1" applyBorder="1" applyAlignment="1" applyProtection="1">
      <alignment horizontal="center" vertical="center" wrapText="1"/>
    </xf>
    <xf numFmtId="164" fontId="21" fillId="0" borderId="0" xfId="0" applyNumberFormat="1" applyFont="1" applyAlignment="1" applyProtection="1"/>
    <xf numFmtId="170" fontId="0" fillId="0" borderId="19" xfId="0" applyFill="1" applyBorder="1" applyProtection="1"/>
    <xf numFmtId="164" fontId="92" fillId="0" borderId="19" xfId="23" applyFont="1" applyFill="1" applyBorder="1" applyAlignment="1" applyProtection="1">
      <alignment vertical="center"/>
    </xf>
    <xf numFmtId="170" fontId="0" fillId="0" borderId="19" xfId="0" applyBorder="1" applyProtection="1"/>
    <xf numFmtId="170" fontId="0" fillId="0" borderId="19" xfId="0" applyBorder="1"/>
    <xf numFmtId="9" fontId="8" fillId="0" borderId="0" xfId="19" applyFont="1" applyProtection="1"/>
    <xf numFmtId="14" fontId="17" fillId="6" borderId="26" xfId="20" applyNumberFormat="1" applyFont="1" applyFill="1" applyBorder="1" applyAlignment="1" applyProtection="1">
      <alignment horizontal="center" vertical="center"/>
    </xf>
    <xf numFmtId="164" fontId="17" fillId="6" borderId="26" xfId="20" applyFont="1" applyFill="1" applyBorder="1" applyAlignment="1" applyProtection="1">
      <alignment horizontal="center" vertical="center"/>
    </xf>
    <xf numFmtId="170" fontId="17" fillId="6" borderId="26" xfId="20" applyNumberFormat="1" applyFont="1" applyFill="1" applyBorder="1" applyAlignment="1" applyProtection="1">
      <alignment horizontal="center"/>
    </xf>
    <xf numFmtId="3" fontId="17" fillId="6" borderId="26" xfId="20" applyNumberFormat="1" applyFont="1" applyFill="1" applyBorder="1" applyAlignment="1" applyProtection="1">
      <alignment horizontal="center"/>
    </xf>
    <xf numFmtId="164" fontId="17" fillId="6" borderId="26" xfId="20" applyFont="1" applyFill="1" applyBorder="1" applyAlignment="1" applyProtection="1">
      <alignment horizontal="center"/>
    </xf>
    <xf numFmtId="164" fontId="68" fillId="0" borderId="0" xfId="0" applyNumberFormat="1" applyFont="1" applyAlignment="1"/>
    <xf numFmtId="170" fontId="27" fillId="0" borderId="24" xfId="0" applyFont="1" applyFill="1" applyBorder="1" applyAlignment="1" applyProtection="1">
      <alignment horizontal="center" wrapText="1"/>
    </xf>
    <xf numFmtId="170" fontId="23" fillId="5" borderId="0" xfId="0" applyFont="1" applyFill="1" applyBorder="1" applyAlignment="1" applyProtection="1">
      <alignment horizontal="left"/>
      <protection locked="0"/>
    </xf>
    <xf numFmtId="49" fontId="0" fillId="0" borderId="0" xfId="0" applyNumberFormat="1" applyProtection="1"/>
    <xf numFmtId="3" fontId="0" fillId="6" borderId="2" xfId="0" applyNumberFormat="1" applyFill="1" applyBorder="1" applyAlignment="1" applyProtection="1">
      <alignment horizontal="right" wrapText="1"/>
      <protection locked="0"/>
    </xf>
    <xf numFmtId="3" fontId="0" fillId="0" borderId="2" xfId="0" applyNumberFormat="1" applyBorder="1" applyAlignment="1" applyProtection="1">
      <alignment horizontal="right" wrapText="1"/>
    </xf>
    <xf numFmtId="3" fontId="0" fillId="6" borderId="2" xfId="0" applyNumberFormat="1" applyFill="1" applyBorder="1" applyProtection="1">
      <protection locked="0"/>
    </xf>
    <xf numFmtId="3" fontId="0" fillId="0" borderId="2" xfId="0" applyNumberFormat="1" applyFill="1" applyBorder="1" applyProtection="1"/>
    <xf numFmtId="3" fontId="0" fillId="6" borderId="46" xfId="0" applyNumberFormat="1" applyFill="1" applyBorder="1" applyProtection="1">
      <protection locked="0"/>
    </xf>
    <xf numFmtId="170" fontId="14" fillId="3" borderId="0" xfId="0" applyNumberFormat="1" applyFont="1" applyFill="1"/>
    <xf numFmtId="170"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170" fontId="0" fillId="0" borderId="0" xfId="0" applyNumberFormat="1" applyFill="1" applyBorder="1" applyProtection="1">
      <protection locked="0"/>
    </xf>
    <xf numFmtId="165" fontId="25" fillId="2" borderId="47" xfId="0" applyNumberFormat="1" applyFont="1" applyFill="1" applyBorder="1" applyAlignment="1" applyProtection="1">
      <alignment horizontal="center"/>
      <protection locked="0"/>
    </xf>
    <xf numFmtId="165" fontId="25" fillId="2" borderId="48" xfId="0" applyNumberFormat="1" applyFont="1" applyFill="1" applyBorder="1" applyAlignment="1" applyProtection="1">
      <alignment horizontal="center"/>
      <protection locked="0"/>
    </xf>
    <xf numFmtId="165" fontId="25" fillId="2" borderId="49" xfId="0" applyNumberFormat="1" applyFont="1" applyFill="1" applyBorder="1" applyAlignment="1" applyProtection="1">
      <alignment horizontal="center"/>
      <protection locked="0"/>
    </xf>
    <xf numFmtId="165" fontId="25" fillId="2" borderId="50" xfId="0" applyNumberFormat="1" applyFont="1" applyFill="1" applyBorder="1" applyAlignment="1" applyProtection="1">
      <alignment horizontal="center"/>
      <protection locked="0"/>
    </xf>
    <xf numFmtId="165" fontId="25" fillId="2" borderId="51" xfId="0" applyNumberFormat="1" applyFont="1" applyFill="1" applyBorder="1" applyAlignment="1" applyProtection="1">
      <alignment horizontal="center"/>
      <protection locked="0"/>
    </xf>
    <xf numFmtId="170" fontId="0" fillId="0" borderId="52" xfId="0" applyFill="1" applyBorder="1" applyAlignment="1" applyProtection="1">
      <alignment horizontal="center"/>
    </xf>
    <xf numFmtId="164" fontId="1" fillId="0" borderId="26" xfId="20" applyFont="1" applyBorder="1" applyAlignment="1" applyProtection="1">
      <alignment horizontal="right"/>
    </xf>
    <xf numFmtId="164" fontId="100" fillId="0" borderId="0" xfId="16" applyFont="1" applyFill="1" applyBorder="1" applyProtection="1"/>
    <xf numFmtId="3" fontId="21" fillId="9" borderId="47" xfId="0" applyNumberFormat="1" applyFont="1" applyFill="1" applyBorder="1" applyAlignment="1" applyProtection="1">
      <protection locked="0"/>
    </xf>
    <xf numFmtId="3" fontId="21" fillId="9" borderId="53" xfId="0" applyNumberFormat="1" applyFont="1" applyFill="1" applyBorder="1" applyAlignment="1" applyProtection="1">
      <protection locked="0"/>
    </xf>
    <xf numFmtId="3" fontId="21" fillId="0" borderId="2" xfId="0" applyNumberFormat="1" applyFont="1" applyFill="1" applyBorder="1" applyAlignment="1" applyProtection="1"/>
    <xf numFmtId="3" fontId="21" fillId="0" borderId="54" xfId="0" applyNumberFormat="1" applyFont="1" applyFill="1" applyBorder="1" applyAlignment="1" applyProtection="1"/>
    <xf numFmtId="3" fontId="4" fillId="0" borderId="55" xfId="1" applyNumberFormat="1" applyFont="1" applyFill="1" applyBorder="1" applyAlignment="1" applyProtection="1"/>
    <xf numFmtId="3" fontId="4" fillId="0" borderId="56" xfId="1" applyNumberFormat="1" applyFont="1" applyFill="1" applyBorder="1" applyAlignment="1" applyProtection="1"/>
    <xf numFmtId="165" fontId="7" fillId="2" borderId="57" xfId="0" applyNumberFormat="1" applyFont="1" applyFill="1" applyBorder="1" applyAlignment="1" applyProtection="1">
      <alignment horizontal="center"/>
      <protection locked="0"/>
    </xf>
    <xf numFmtId="165" fontId="7" fillId="2" borderId="58" xfId="0" applyNumberFormat="1" applyFont="1" applyFill="1" applyBorder="1" applyAlignment="1" applyProtection="1">
      <alignment horizontal="center"/>
      <protection locked="0"/>
    </xf>
    <xf numFmtId="170" fontId="0" fillId="9" borderId="2" xfId="0" applyFill="1" applyBorder="1" applyProtection="1"/>
    <xf numFmtId="170" fontId="0" fillId="6" borderId="2" xfId="0" applyFill="1" applyBorder="1" applyProtection="1"/>
    <xf numFmtId="49" fontId="18" fillId="0" borderId="59" xfId="0" applyNumberFormat="1" applyFont="1" applyFill="1" applyBorder="1" applyAlignment="1" applyProtection="1">
      <alignment vertical="center" wrapText="1"/>
    </xf>
    <xf numFmtId="170" fontId="69" fillId="0" borderId="60" xfId="0" applyNumberFormat="1" applyFont="1" applyFill="1" applyBorder="1" applyAlignment="1" applyProtection="1">
      <alignment horizontal="center" vertical="center" wrapText="1"/>
    </xf>
    <xf numFmtId="170" fontId="69" fillId="0" borderId="61" xfId="0" applyNumberFormat="1" applyFont="1" applyFill="1" applyBorder="1" applyAlignment="1" applyProtection="1">
      <alignment horizontal="center" vertical="center" wrapText="1"/>
    </xf>
    <xf numFmtId="49" fontId="19" fillId="0" borderId="62" xfId="0" applyNumberFormat="1" applyFont="1" applyFill="1" applyBorder="1" applyAlignment="1" applyProtection="1">
      <protection locked="0"/>
    </xf>
    <xf numFmtId="170" fontId="19" fillId="0" borderId="62" xfId="0" applyFont="1" applyFill="1" applyBorder="1" applyAlignment="1" applyProtection="1">
      <alignment wrapText="1"/>
      <protection locked="0"/>
    </xf>
    <xf numFmtId="170" fontId="0" fillId="0" borderId="63" xfId="0" applyBorder="1" applyAlignment="1" applyProtection="1"/>
    <xf numFmtId="49" fontId="0" fillId="0" borderId="2" xfId="0" applyNumberFormat="1" applyBorder="1" applyAlignment="1" applyProtection="1">
      <alignment horizontal="center"/>
      <protection locked="0"/>
    </xf>
    <xf numFmtId="49" fontId="0" fillId="6" borderId="2" xfId="0" applyNumberFormat="1" applyFill="1" applyBorder="1" applyProtection="1">
      <protection locked="0"/>
    </xf>
    <xf numFmtId="170" fontId="0" fillId="6" borderId="2" xfId="0" applyNumberFormat="1" applyFill="1" applyBorder="1" applyProtection="1">
      <protection locked="0"/>
    </xf>
    <xf numFmtId="170" fontId="0" fillId="0" borderId="2" xfId="0" applyNumberFormat="1" applyFill="1" applyBorder="1" applyProtection="1"/>
    <xf numFmtId="170" fontId="0" fillId="6" borderId="2" xfId="0" applyNumberFormat="1" applyFill="1" applyBorder="1" applyAlignment="1" applyProtection="1">
      <alignment horizontal="center"/>
      <protection locked="0"/>
    </xf>
    <xf numFmtId="49" fontId="0" fillId="6" borderId="46" xfId="0" applyNumberFormat="1" applyFill="1" applyBorder="1" applyAlignment="1" applyProtection="1">
      <alignment horizontal="left"/>
      <protection locked="0"/>
    </xf>
    <xf numFmtId="170" fontId="0" fillId="6" borderId="46" xfId="0" applyNumberFormat="1" applyFill="1" applyBorder="1" applyProtection="1">
      <protection locked="0"/>
    </xf>
    <xf numFmtId="170" fontId="0" fillId="6" borderId="46" xfId="0" applyNumberFormat="1" applyFill="1" applyBorder="1" applyAlignment="1" applyProtection="1">
      <alignment horizontal="center"/>
      <protection locked="0"/>
    </xf>
    <xf numFmtId="164" fontId="111" fillId="9" borderId="64" xfId="23" applyFill="1" applyBorder="1" applyAlignment="1" applyProtection="1">
      <alignment vertical="center"/>
    </xf>
    <xf numFmtId="170" fontId="0" fillId="5" borderId="65" xfId="0" applyFill="1" applyBorder="1"/>
    <xf numFmtId="170" fontId="0" fillId="0" borderId="12" xfId="0" applyBorder="1" applyProtection="1"/>
    <xf numFmtId="164" fontId="32" fillId="6" borderId="66" xfId="23" applyFont="1" applyFill="1" applyBorder="1" applyAlignment="1" applyProtection="1">
      <alignment horizontal="center" vertical="center"/>
    </xf>
    <xf numFmtId="164" fontId="32" fillId="0" borderId="67" xfId="23" applyFont="1" applyFill="1" applyBorder="1" applyAlignment="1" applyProtection="1">
      <alignment vertical="center"/>
    </xf>
    <xf numFmtId="170" fontId="0" fillId="0" borderId="68" xfId="0" applyNumberFormat="1" applyFill="1" applyBorder="1"/>
    <xf numFmtId="15" fontId="20" fillId="0" borderId="69" xfId="0" applyNumberFormat="1" applyFont="1" applyFill="1" applyBorder="1" applyAlignment="1" applyProtection="1">
      <alignment horizontal="center" vertical="center" wrapText="1"/>
    </xf>
    <xf numFmtId="170" fontId="0" fillId="0" borderId="2" xfId="0" quotePrefix="1" applyNumberFormat="1" applyBorder="1" applyAlignment="1">
      <alignment horizontal="center"/>
    </xf>
    <xf numFmtId="3" fontId="0" fillId="0" borderId="0" xfId="0" applyNumberFormat="1" applyFill="1" applyBorder="1" applyProtection="1">
      <protection locked="0"/>
    </xf>
    <xf numFmtId="168" fontId="0" fillId="0" borderId="2" xfId="0" applyNumberFormat="1" applyFill="1" applyBorder="1" applyAlignment="1" applyProtection="1">
      <alignment horizontal="center"/>
    </xf>
    <xf numFmtId="168" fontId="8" fillId="10" borderId="70" xfId="0" applyNumberFormat="1" applyFont="1" applyFill="1" applyBorder="1" applyAlignment="1" applyProtection="1">
      <alignment horizontal="center"/>
    </xf>
    <xf numFmtId="168" fontId="14" fillId="10" borderId="70" xfId="0" applyNumberFormat="1" applyFont="1" applyFill="1" applyBorder="1" applyAlignment="1" applyProtection="1">
      <alignment horizontal="center"/>
    </xf>
    <xf numFmtId="164" fontId="51" fillId="0" borderId="2" xfId="16" applyFont="1" applyBorder="1" applyAlignment="1" applyProtection="1">
      <alignment horizontal="center"/>
    </xf>
    <xf numFmtId="170" fontId="51" fillId="0" borderId="2" xfId="0" applyFont="1" applyBorder="1" applyAlignment="1" applyProtection="1">
      <alignment horizontal="center"/>
    </xf>
    <xf numFmtId="170" fontId="59" fillId="0" borderId="73" xfId="0" applyNumberFormat="1" applyFont="1" applyFill="1" applyBorder="1" applyAlignment="1" applyProtection="1">
      <alignment horizontal="center" vertical="center"/>
    </xf>
    <xf numFmtId="170" fontId="56" fillId="0" borderId="74" xfId="0" applyFont="1" applyFill="1" applyBorder="1" applyAlignment="1" applyProtection="1">
      <alignment horizontal="center" vertical="center"/>
    </xf>
    <xf numFmtId="170" fontId="56" fillId="0" borderId="75" xfId="0" applyFont="1" applyFill="1" applyBorder="1" applyAlignment="1" applyProtection="1">
      <alignment horizontal="center" vertical="center"/>
    </xf>
    <xf numFmtId="170" fontId="56" fillId="0" borderId="76" xfId="0" applyFont="1" applyFill="1" applyBorder="1" applyAlignment="1" applyProtection="1">
      <alignment horizontal="center" vertical="center"/>
    </xf>
    <xf numFmtId="170" fontId="56" fillId="0" borderId="77" xfId="0" applyFont="1" applyFill="1" applyBorder="1" applyAlignment="1" applyProtection="1">
      <alignment horizontal="center" vertical="center"/>
    </xf>
    <xf numFmtId="170" fontId="2" fillId="0" borderId="78" xfId="0" applyFont="1" applyFill="1" applyBorder="1" applyAlignment="1" applyProtection="1">
      <alignment horizontal="center"/>
    </xf>
    <xf numFmtId="165" fontId="7" fillId="2" borderId="75" xfId="0" applyNumberFormat="1" applyFont="1" applyFill="1" applyBorder="1" applyAlignment="1" applyProtection="1">
      <alignment horizontal="center"/>
      <protection locked="0"/>
    </xf>
    <xf numFmtId="165" fontId="7" fillId="2" borderId="79" xfId="0" applyNumberFormat="1" applyFont="1" applyFill="1" applyBorder="1" applyAlignment="1" applyProtection="1">
      <alignment horizontal="center"/>
      <protection locked="0"/>
    </xf>
    <xf numFmtId="168" fontId="0" fillId="3" borderId="2" xfId="0" applyNumberFormat="1" applyFill="1" applyBorder="1" applyAlignment="1" applyProtection="1">
      <alignment horizontal="center"/>
    </xf>
    <xf numFmtId="168" fontId="0" fillId="0" borderId="2" xfId="0" applyNumberFormat="1" applyBorder="1" applyAlignment="1" applyProtection="1">
      <alignment horizontal="center"/>
    </xf>
    <xf numFmtId="168" fontId="0" fillId="3" borderId="46" xfId="0" applyNumberFormat="1" applyFill="1" applyBorder="1" applyAlignment="1" applyProtection="1">
      <alignment horizontal="center"/>
    </xf>
    <xf numFmtId="168" fontId="0" fillId="0" borderId="46" xfId="0" applyNumberFormat="1" applyBorder="1" applyAlignment="1" applyProtection="1">
      <alignment horizontal="center"/>
    </xf>
    <xf numFmtId="170" fontId="49" fillId="11" borderId="2" xfId="0" applyFont="1" applyFill="1" applyBorder="1" applyAlignment="1" applyProtection="1">
      <alignment horizontal="center"/>
    </xf>
    <xf numFmtId="170" fontId="49" fillId="12" borderId="2" xfId="0" applyFont="1" applyFill="1" applyBorder="1" applyAlignment="1" applyProtection="1">
      <alignment horizontal="center"/>
    </xf>
    <xf numFmtId="3" fontId="49" fillId="13" borderId="2" xfId="0" applyNumberFormat="1" applyFont="1" applyFill="1" applyBorder="1" applyAlignment="1" applyProtection="1">
      <alignment vertical="center"/>
      <protection locked="0"/>
    </xf>
    <xf numFmtId="3" fontId="49" fillId="13" borderId="20" xfId="0" applyNumberFormat="1" applyFont="1" applyFill="1" applyBorder="1" applyAlignment="1" applyProtection="1">
      <alignment vertical="center"/>
      <protection locked="0"/>
    </xf>
    <xf numFmtId="3" fontId="49" fillId="7" borderId="20" xfId="0" applyNumberFormat="1" applyFont="1" applyFill="1" applyBorder="1" applyAlignment="1" applyProtection="1">
      <alignment horizontal="right" vertical="center"/>
      <protection locked="0"/>
    </xf>
    <xf numFmtId="170" fontId="49" fillId="11" borderId="80" xfId="0" applyFont="1" applyFill="1" applyBorder="1" applyAlignment="1" applyProtection="1">
      <alignment horizontal="center"/>
    </xf>
    <xf numFmtId="3" fontId="49" fillId="7" borderId="80" xfId="0" applyNumberFormat="1" applyFont="1" applyFill="1" applyBorder="1" applyAlignment="1" applyProtection="1">
      <alignment horizontal="right" vertical="center"/>
      <protection locked="0"/>
    </xf>
    <xf numFmtId="3" fontId="49" fillId="7" borderId="81" xfId="0" applyNumberFormat="1" applyFont="1" applyFill="1" applyBorder="1" applyAlignment="1" applyProtection="1">
      <alignment horizontal="right" vertical="center"/>
      <protection locked="0"/>
    </xf>
    <xf numFmtId="170" fontId="0" fillId="0" borderId="82" xfId="0" applyBorder="1"/>
    <xf numFmtId="170" fontId="0" fillId="0" borderId="46" xfId="0" applyNumberFormat="1" applyFill="1" applyBorder="1" applyProtection="1"/>
    <xf numFmtId="3" fontId="0" fillId="0" borderId="46" xfId="0" applyNumberFormat="1" applyFill="1" applyBorder="1" applyProtection="1"/>
    <xf numFmtId="168" fontId="0" fillId="0" borderId="46" xfId="0" applyNumberFormat="1" applyFill="1" applyBorder="1" applyAlignment="1" applyProtection="1">
      <alignment horizontal="center"/>
    </xf>
    <xf numFmtId="170" fontId="0" fillId="0" borderId="83" xfId="0" applyBorder="1" applyAlignment="1" applyProtection="1">
      <alignment horizontal="center" wrapText="1"/>
    </xf>
    <xf numFmtId="3" fontId="0" fillId="0" borderId="46" xfId="0" applyNumberFormat="1" applyBorder="1" applyAlignment="1" applyProtection="1">
      <alignment horizontal="right" wrapText="1"/>
    </xf>
    <xf numFmtId="3" fontId="0" fillId="6" borderId="84" xfId="0" applyNumberFormat="1" applyFill="1" applyBorder="1" applyAlignment="1" applyProtection="1">
      <alignment horizontal="right" wrapText="1"/>
      <protection locked="0"/>
    </xf>
    <xf numFmtId="168" fontId="0" fillId="0" borderId="84" xfId="0" applyNumberFormat="1" applyFill="1" applyBorder="1" applyProtection="1"/>
    <xf numFmtId="168" fontId="0" fillId="0" borderId="85" xfId="0" applyNumberFormat="1" applyFill="1" applyBorder="1" applyProtection="1"/>
    <xf numFmtId="3" fontId="49" fillId="0" borderId="20" xfId="0" applyNumberFormat="1" applyFont="1" applyFill="1" applyBorder="1" applyAlignment="1" applyProtection="1">
      <alignment vertical="center"/>
    </xf>
    <xf numFmtId="3" fontId="49" fillId="11" borderId="20" xfId="0" applyNumberFormat="1" applyFont="1" applyFill="1" applyBorder="1" applyAlignment="1" applyProtection="1">
      <alignment vertical="center"/>
    </xf>
    <xf numFmtId="3" fontId="49" fillId="0" borderId="81" xfId="0" applyNumberFormat="1" applyFont="1" applyFill="1" applyBorder="1" applyAlignment="1" applyProtection="1">
      <alignment vertical="center"/>
    </xf>
    <xf numFmtId="170" fontId="27" fillId="5" borderId="0" xfId="0" applyFont="1" applyFill="1" applyBorder="1" applyAlignment="1" applyProtection="1">
      <alignment horizontal="left" vertical="top" wrapText="1"/>
      <protection locked="0"/>
    </xf>
    <xf numFmtId="3" fontId="107" fillId="7" borderId="2" xfId="0" applyNumberFormat="1" applyFont="1" applyFill="1" applyBorder="1" applyAlignment="1" applyProtection="1">
      <alignment vertical="center"/>
      <protection locked="0"/>
    </xf>
    <xf numFmtId="3" fontId="107" fillId="7" borderId="2" xfId="0" applyNumberFormat="1" applyFont="1" applyFill="1" applyBorder="1" applyAlignment="1" applyProtection="1">
      <alignment horizontal="right" vertical="center"/>
      <protection locked="0"/>
    </xf>
    <xf numFmtId="3" fontId="49" fillId="13" borderId="2" xfId="0" applyNumberFormat="1" applyFont="1" applyFill="1" applyBorder="1" applyAlignment="1" applyProtection="1">
      <alignment horizontal="right" vertical="center"/>
      <protection locked="0"/>
    </xf>
    <xf numFmtId="49" fontId="19" fillId="0" borderId="62" xfId="0" applyNumberFormat="1" applyFont="1" applyFill="1" applyBorder="1" applyAlignment="1" applyProtection="1">
      <alignment horizontal="justify" wrapText="1"/>
      <protection locked="0"/>
    </xf>
    <xf numFmtId="49" fontId="19" fillId="0" borderId="62" xfId="0" applyNumberFormat="1" applyFont="1" applyFill="1" applyBorder="1" applyAlignment="1" applyProtection="1">
      <alignment horizontal="justify"/>
      <protection locked="0"/>
    </xf>
    <xf numFmtId="170" fontId="107" fillId="0" borderId="2" xfId="0" applyFont="1" applyFill="1" applyBorder="1" applyAlignment="1" applyProtection="1">
      <alignment horizontal="center"/>
    </xf>
    <xf numFmtId="170" fontId="107" fillId="11" borderId="2" xfId="0" applyFont="1" applyFill="1" applyBorder="1" applyAlignment="1" applyProtection="1">
      <alignment horizontal="center"/>
    </xf>
    <xf numFmtId="170" fontId="0" fillId="0" borderId="13" xfId="0" applyBorder="1" applyAlignment="1" applyProtection="1">
      <alignment horizontal="center"/>
    </xf>
    <xf numFmtId="164" fontId="108" fillId="0" borderId="12" xfId="23" applyFont="1" applyFill="1" applyBorder="1" applyAlignment="1" applyProtection="1">
      <alignment vertical="center"/>
    </xf>
    <xf numFmtId="170" fontId="0" fillId="0" borderId="0" xfId="0" applyAlignment="1"/>
    <xf numFmtId="164" fontId="26" fillId="0" borderId="0" xfId="0" applyNumberFormat="1" applyFont="1" applyAlignment="1" applyProtection="1">
      <alignment horizontal="center"/>
    </xf>
    <xf numFmtId="170" fontId="56" fillId="0" borderId="86" xfId="0" applyFont="1" applyFill="1" applyBorder="1" applyAlignment="1" applyProtection="1">
      <alignment horizontal="center" vertical="center" wrapText="1"/>
    </xf>
    <xf numFmtId="170" fontId="107" fillId="0" borderId="80" xfId="0" applyFont="1" applyFill="1" applyBorder="1" applyAlignment="1" applyProtection="1">
      <alignment horizontal="center"/>
    </xf>
    <xf numFmtId="49" fontId="62" fillId="0" borderId="2" xfId="0" applyNumberFormat="1" applyFont="1" applyBorder="1" applyAlignment="1" applyProtection="1">
      <alignment horizontal="center" wrapText="1"/>
      <protection locked="0"/>
    </xf>
    <xf numFmtId="170" fontId="109" fillId="0" borderId="87" xfId="0" applyFont="1" applyFill="1" applyBorder="1" applyAlignment="1" applyProtection="1">
      <alignment wrapText="1"/>
    </xf>
    <xf numFmtId="170" fontId="27" fillId="0" borderId="25" xfId="0" applyFont="1" applyFill="1" applyBorder="1" applyAlignment="1" applyProtection="1">
      <alignment horizontal="center" wrapText="1"/>
    </xf>
    <xf numFmtId="170" fontId="0" fillId="0" borderId="0" xfId="0" applyFill="1" applyProtection="1"/>
    <xf numFmtId="170" fontId="91" fillId="0" borderId="0" xfId="0" applyFont="1" applyFill="1" applyAlignment="1" applyProtection="1">
      <alignment horizontal="right"/>
    </xf>
    <xf numFmtId="170" fontId="107" fillId="5" borderId="89" xfId="0" applyNumberFormat="1" applyFont="1" applyFill="1" applyBorder="1" applyAlignment="1" applyProtection="1">
      <alignment vertical="center" wrapText="1"/>
      <protection locked="0"/>
    </xf>
    <xf numFmtId="170" fontId="107" fillId="7" borderId="89" xfId="0" applyNumberFormat="1" applyFont="1" applyFill="1" applyBorder="1" applyAlignment="1" applyProtection="1">
      <alignment vertical="center" wrapText="1"/>
      <protection locked="0"/>
    </xf>
    <xf numFmtId="170" fontId="107" fillId="7" borderId="90" xfId="0" applyNumberFormat="1" applyFont="1" applyFill="1" applyBorder="1" applyAlignment="1" applyProtection="1">
      <alignment vertical="center" wrapText="1"/>
      <protection locked="0"/>
    </xf>
    <xf numFmtId="170" fontId="112" fillId="0" borderId="0" xfId="0" applyFont="1" applyAlignment="1" applyProtection="1">
      <alignment horizontal="left" vertical="center"/>
    </xf>
    <xf numFmtId="170" fontId="112" fillId="0" borderId="0" xfId="0" applyFont="1" applyAlignment="1">
      <alignment horizontal="left" vertical="center"/>
    </xf>
    <xf numFmtId="170" fontId="0" fillId="0" borderId="0" xfId="0" applyAlignment="1">
      <alignment horizontal="center"/>
    </xf>
    <xf numFmtId="170" fontId="0" fillId="0" borderId="0" xfId="0" applyAlignment="1" applyProtection="1">
      <alignment horizontal="center"/>
    </xf>
    <xf numFmtId="170" fontId="0" fillId="3" borderId="0" xfId="0" applyFill="1" applyAlignment="1" applyProtection="1">
      <alignment horizontal="center"/>
    </xf>
    <xf numFmtId="3" fontId="30" fillId="0" borderId="39" xfId="0" applyNumberFormat="1" applyFont="1" applyFill="1" applyBorder="1" applyAlignment="1" applyProtection="1">
      <alignment horizontal="center"/>
    </xf>
    <xf numFmtId="3" fontId="30" fillId="0" borderId="83" xfId="0" applyNumberFormat="1" applyFont="1" applyFill="1" applyBorder="1" applyAlignment="1" applyProtection="1">
      <alignment horizontal="center"/>
    </xf>
    <xf numFmtId="171" fontId="17" fillId="6" borderId="26" xfId="20" applyNumberFormat="1" applyFont="1" applyFill="1" applyBorder="1" applyAlignment="1" applyProtection="1">
      <alignment horizontal="center" vertical="center"/>
    </xf>
    <xf numFmtId="171" fontId="17" fillId="6" borderId="26" xfId="20" applyNumberFormat="1" applyFont="1" applyFill="1" applyBorder="1" applyAlignment="1" applyProtection="1">
      <alignment horizontal="center"/>
    </xf>
    <xf numFmtId="170" fontId="56" fillId="0" borderId="91" xfId="0" applyFont="1" applyFill="1" applyBorder="1" applyAlignment="1" applyProtection="1">
      <alignment horizontal="center" vertical="center" wrapText="1"/>
    </xf>
    <xf numFmtId="170" fontId="39" fillId="0" borderId="92" xfId="0" applyNumberFormat="1" applyFont="1" applyFill="1" applyBorder="1" applyAlignment="1" applyProtection="1">
      <alignment horizontal="right"/>
    </xf>
    <xf numFmtId="170" fontId="56" fillId="0" borderId="93" xfId="0" applyFont="1" applyFill="1" applyBorder="1" applyAlignment="1" applyProtection="1">
      <alignment horizontal="center"/>
    </xf>
    <xf numFmtId="170" fontId="39" fillId="0" borderId="94" xfId="0" applyNumberFormat="1" applyFont="1" applyFill="1" applyBorder="1" applyAlignment="1" applyProtection="1">
      <alignment horizontal="right"/>
    </xf>
    <xf numFmtId="170" fontId="56" fillId="0" borderId="95" xfId="0" applyFont="1" applyFill="1" applyBorder="1" applyAlignment="1" applyProtection="1">
      <alignment horizontal="center"/>
    </xf>
    <xf numFmtId="170" fontId="39" fillId="0" borderId="96" xfId="0" applyNumberFormat="1" applyFont="1" applyFill="1" applyBorder="1" applyAlignment="1" applyProtection="1">
      <alignment horizontal="right"/>
    </xf>
    <xf numFmtId="170" fontId="56" fillId="0" borderId="97" xfId="0" applyNumberFormat="1" applyFont="1" applyFill="1" applyBorder="1" applyAlignment="1" applyProtection="1">
      <alignment horizontal="center"/>
    </xf>
    <xf numFmtId="170" fontId="39" fillId="0" borderId="98" xfId="0" applyNumberFormat="1" applyFont="1" applyFill="1" applyBorder="1" applyAlignment="1" applyProtection="1">
      <alignment horizontal="right"/>
    </xf>
    <xf numFmtId="170" fontId="56" fillId="0" borderId="99" xfId="0" applyNumberFormat="1" applyFont="1" applyFill="1" applyBorder="1" applyAlignment="1" applyProtection="1">
      <alignment horizontal="center" vertical="center"/>
    </xf>
    <xf numFmtId="170" fontId="39" fillId="0" borderId="100" xfId="0" applyNumberFormat="1" applyFont="1" applyFill="1" applyBorder="1" applyAlignment="1" applyProtection="1">
      <alignment horizontal="right"/>
    </xf>
    <xf numFmtId="170" fontId="56" fillId="0" borderId="101" xfId="0" applyNumberFormat="1" applyFont="1" applyFill="1" applyBorder="1" applyAlignment="1" applyProtection="1">
      <alignment horizontal="center"/>
    </xf>
    <xf numFmtId="170" fontId="39" fillId="0" borderId="102" xfId="0" applyNumberFormat="1" applyFont="1" applyFill="1" applyBorder="1" applyAlignment="1" applyProtection="1">
      <alignment horizontal="right"/>
    </xf>
    <xf numFmtId="170" fontId="56" fillId="0" borderId="101" xfId="0" applyNumberFormat="1" applyFont="1" applyFill="1" applyBorder="1" applyAlignment="1" applyProtection="1">
      <alignment horizontal="center" vertical="center"/>
    </xf>
    <xf numFmtId="3" fontId="21" fillId="22" borderId="2" xfId="0" applyNumberFormat="1" applyFont="1" applyFill="1" applyBorder="1" applyAlignment="1" applyProtection="1">
      <alignment horizontal="center" vertical="center" wrapText="1"/>
    </xf>
    <xf numFmtId="3" fontId="86" fillId="9" borderId="47" xfId="0" applyNumberFormat="1" applyFont="1" applyFill="1" applyBorder="1" applyAlignment="1" applyProtection="1">
      <protection locked="0"/>
    </xf>
    <xf numFmtId="3" fontId="86" fillId="9" borderId="53" xfId="0" applyNumberFormat="1" applyFont="1" applyFill="1" applyBorder="1" applyAlignment="1" applyProtection="1">
      <protection locked="0"/>
    </xf>
    <xf numFmtId="3" fontId="86" fillId="0" borderId="2" xfId="0" applyNumberFormat="1" applyFont="1" applyFill="1" applyBorder="1" applyAlignment="1" applyProtection="1"/>
    <xf numFmtId="3" fontId="86" fillId="0" borderId="54" xfId="0" applyNumberFormat="1" applyFont="1" applyFill="1" applyBorder="1" applyAlignment="1" applyProtection="1"/>
    <xf numFmtId="3" fontId="14" fillId="9" borderId="103" xfId="1" applyNumberFormat="1" applyFont="1" applyFill="1" applyBorder="1" applyAlignment="1" applyProtection="1">
      <protection locked="0"/>
    </xf>
    <xf numFmtId="3" fontId="14" fillId="9" borderId="104" xfId="1" applyNumberFormat="1" applyFont="1" applyFill="1" applyBorder="1" applyProtection="1">
      <protection locked="0"/>
    </xf>
    <xf numFmtId="3" fontId="14" fillId="9" borderId="103" xfId="1" applyNumberFormat="1" applyFont="1" applyFill="1" applyBorder="1" applyProtection="1">
      <protection locked="0"/>
    </xf>
    <xf numFmtId="3" fontId="113" fillId="0" borderId="105" xfId="0" applyNumberFormat="1" applyFont="1" applyBorder="1" applyProtection="1"/>
    <xf numFmtId="3" fontId="113" fillId="0" borderId="106" xfId="0" applyNumberFormat="1" applyFont="1" applyBorder="1" applyProtection="1"/>
    <xf numFmtId="3" fontId="14" fillId="9" borderId="2" xfId="1" applyNumberFormat="1" applyFont="1" applyFill="1" applyBorder="1" applyAlignment="1" applyProtection="1">
      <protection locked="0"/>
    </xf>
    <xf numFmtId="3" fontId="14" fillId="9" borderId="2" xfId="1" quotePrefix="1" applyNumberFormat="1" applyFont="1" applyFill="1" applyBorder="1" applyProtection="1">
      <protection locked="0"/>
    </xf>
    <xf numFmtId="3" fontId="14" fillId="9" borderId="107" xfId="1" applyNumberFormat="1" applyFont="1" applyFill="1" applyBorder="1" applyAlignment="1" applyProtection="1">
      <protection locked="0"/>
    </xf>
    <xf numFmtId="3" fontId="113" fillId="6" borderId="2" xfId="0" applyNumberFormat="1" applyFont="1" applyFill="1" applyBorder="1" applyAlignment="1" applyProtection="1">
      <alignment horizontal="right" wrapText="1"/>
      <protection locked="0"/>
    </xf>
    <xf numFmtId="3" fontId="113" fillId="0" borderId="2" xfId="0" applyNumberFormat="1" applyFont="1" applyBorder="1" applyAlignment="1" applyProtection="1">
      <alignment horizontal="right" wrapText="1"/>
    </xf>
    <xf numFmtId="3" fontId="113" fillId="0" borderId="46" xfId="0" applyNumberFormat="1" applyFont="1" applyBorder="1" applyAlignment="1" applyProtection="1">
      <alignment horizontal="right" wrapText="1"/>
    </xf>
    <xf numFmtId="3" fontId="114" fillId="9" borderId="84" xfId="0" applyNumberFormat="1" applyFont="1" applyFill="1" applyBorder="1" applyAlignment="1" applyProtection="1">
      <alignment horizontal="centerContinuous"/>
    </xf>
    <xf numFmtId="3" fontId="114" fillId="9" borderId="85" xfId="0" applyNumberFormat="1" applyFont="1" applyFill="1" applyBorder="1" applyAlignment="1" applyProtection="1">
      <alignment horizontal="centerContinuous"/>
    </xf>
    <xf numFmtId="0" fontId="112" fillId="0" borderId="0" xfId="0" applyNumberFormat="1" applyFont="1" applyAlignment="1" applyProtection="1">
      <alignment horizontal="left" vertical="center"/>
    </xf>
    <xf numFmtId="0" fontId="115" fillId="0" borderId="0" xfId="0" applyNumberFormat="1" applyFont="1" applyAlignment="1" applyProtection="1">
      <alignment horizontal="center" vertical="center"/>
    </xf>
    <xf numFmtId="171" fontId="21" fillId="0" borderId="0" xfId="0" applyNumberFormat="1" applyFont="1" applyAlignment="1" applyProtection="1">
      <alignment horizontal="center"/>
    </xf>
    <xf numFmtId="171" fontId="21" fillId="0" borderId="0" xfId="0" applyNumberFormat="1" applyFont="1"/>
    <xf numFmtId="1" fontId="49" fillId="13" borderId="2" xfId="0" applyNumberFormat="1" applyFont="1" applyFill="1" applyBorder="1" applyAlignment="1" applyProtection="1">
      <alignment horizontal="right" vertical="center"/>
      <protection locked="0"/>
    </xf>
    <xf numFmtId="0" fontId="116" fillId="0" borderId="0" xfId="0" applyNumberFormat="1" applyFont="1" applyAlignment="1" applyProtection="1">
      <alignment horizontal="center" vertical="center"/>
    </xf>
    <xf numFmtId="170" fontId="110" fillId="5" borderId="30" xfId="0" applyFont="1" applyFill="1" applyBorder="1" applyAlignment="1">
      <alignment horizontal="justify" vertical="center" wrapText="1"/>
    </xf>
    <xf numFmtId="170" fontId="110" fillId="5" borderId="31" xfId="0" applyFont="1" applyFill="1" applyBorder="1" applyAlignment="1">
      <alignment horizontal="justify" vertical="center" wrapText="1"/>
    </xf>
    <xf numFmtId="170" fontId="98" fillId="5" borderId="29" xfId="0" applyFont="1" applyFill="1" applyBorder="1" applyAlignment="1">
      <alignment horizontal="justify" vertical="center" wrapText="1"/>
    </xf>
    <xf numFmtId="170" fontId="98" fillId="5" borderId="30" xfId="0" applyFont="1" applyFill="1" applyBorder="1" applyAlignment="1">
      <alignment horizontal="justify" vertical="center" wrapText="1"/>
    </xf>
    <xf numFmtId="170" fontId="98" fillId="5" borderId="31" xfId="0" applyFont="1" applyFill="1" applyBorder="1" applyAlignment="1">
      <alignment horizontal="justify" vertical="center" wrapText="1"/>
    </xf>
    <xf numFmtId="170" fontId="107" fillId="23" borderId="2" xfId="0" applyFont="1" applyFill="1" applyBorder="1" applyAlignment="1" applyProtection="1">
      <alignment horizontal="center"/>
    </xf>
    <xf numFmtId="175" fontId="21" fillId="0" borderId="2" xfId="0" applyNumberFormat="1" applyFont="1" applyBorder="1" applyAlignment="1" applyProtection="1">
      <alignment horizontal="center" vertical="center" wrapText="1"/>
    </xf>
    <xf numFmtId="175" fontId="21" fillId="0" borderId="2" xfId="0" applyNumberFormat="1" applyFont="1" applyFill="1" applyBorder="1" applyAlignment="1" applyProtection="1">
      <alignment horizontal="center" vertical="center" wrapText="1"/>
    </xf>
    <xf numFmtId="170" fontId="107" fillId="14" borderId="2" xfId="0" applyFont="1" applyFill="1" applyBorder="1" applyAlignment="1" applyProtection="1">
      <alignment horizontal="center"/>
    </xf>
    <xf numFmtId="168" fontId="107" fillId="5" borderId="2" xfId="0" applyNumberFormat="1" applyFont="1" applyFill="1" applyBorder="1" applyAlignment="1" applyProtection="1">
      <alignment horizontal="right" vertical="center"/>
      <protection locked="0"/>
    </xf>
    <xf numFmtId="168" fontId="2" fillId="5" borderId="2" xfId="0" applyNumberFormat="1" applyFont="1" applyFill="1" applyBorder="1" applyAlignment="1" applyProtection="1">
      <alignment vertical="center"/>
      <protection locked="0"/>
    </xf>
    <xf numFmtId="168" fontId="49" fillId="5" borderId="2" xfId="0" applyNumberFormat="1" applyFont="1" applyFill="1" applyBorder="1" applyAlignment="1" applyProtection="1">
      <alignment vertical="center"/>
      <protection locked="0"/>
    </xf>
    <xf numFmtId="168" fontId="107" fillId="24" borderId="2" xfId="0" applyNumberFormat="1" applyFont="1" applyFill="1" applyBorder="1" applyAlignment="1" applyProtection="1">
      <alignment horizontal="right" vertical="center"/>
      <protection locked="0"/>
    </xf>
    <xf numFmtId="168" fontId="107" fillId="24" borderId="2" xfId="0" applyNumberFormat="1" applyFont="1" applyFill="1" applyBorder="1" applyAlignment="1" applyProtection="1">
      <alignment vertical="center"/>
      <protection locked="0"/>
    </xf>
    <xf numFmtId="168" fontId="49" fillId="24" borderId="2" xfId="0" applyNumberFormat="1" applyFont="1" applyFill="1" applyBorder="1" applyAlignment="1" applyProtection="1">
      <alignment horizontal="right" vertical="center"/>
      <protection locked="0"/>
    </xf>
    <xf numFmtId="168" fontId="49" fillId="24" borderId="2" xfId="0" applyNumberFormat="1" applyFont="1" applyFill="1" applyBorder="1" applyAlignment="1" applyProtection="1">
      <alignment vertical="center"/>
      <protection locked="0"/>
    </xf>
    <xf numFmtId="168" fontId="49" fillId="25" borderId="2" xfId="0" applyNumberFormat="1" applyFont="1" applyFill="1" applyBorder="1" applyAlignment="1" applyProtection="1">
      <alignment vertical="center"/>
      <protection locked="0"/>
    </xf>
    <xf numFmtId="168" fontId="49" fillId="25" borderId="2" xfId="0" applyNumberFormat="1" applyFont="1" applyFill="1" applyBorder="1" applyAlignment="1" applyProtection="1">
      <alignment horizontal="right" vertical="center"/>
      <protection locked="0"/>
    </xf>
    <xf numFmtId="168" fontId="2" fillId="25" borderId="2" xfId="0" applyNumberFormat="1" applyFont="1" applyFill="1" applyBorder="1" applyAlignment="1" applyProtection="1">
      <alignment vertical="center"/>
      <protection locked="0"/>
    </xf>
    <xf numFmtId="168" fontId="49" fillId="25" borderId="2" xfId="1" applyNumberFormat="1" applyFont="1" applyFill="1" applyBorder="1" applyAlignment="1" applyProtection="1">
      <alignment horizontal="right" vertical="center"/>
      <protection locked="0"/>
    </xf>
    <xf numFmtId="168" fontId="2" fillId="25" borderId="2" xfId="0" applyNumberFormat="1" applyFont="1" applyFill="1" applyBorder="1" applyAlignment="1" applyProtection="1">
      <alignment horizontal="right" vertical="center"/>
      <protection locked="0"/>
    </xf>
    <xf numFmtId="168" fontId="107" fillId="7" borderId="2" xfId="0" applyNumberFormat="1" applyFont="1" applyFill="1" applyBorder="1" applyAlignment="1" applyProtection="1">
      <alignment horizontal="right" vertical="center"/>
      <protection locked="0"/>
    </xf>
    <xf numFmtId="168" fontId="107" fillId="7" borderId="2" xfId="0" applyNumberFormat="1" applyFont="1" applyFill="1" applyBorder="1" applyAlignment="1" applyProtection="1">
      <alignment vertical="center"/>
      <protection locked="0"/>
    </xf>
    <xf numFmtId="168" fontId="2" fillId="13" borderId="2" xfId="0" applyNumberFormat="1" applyFont="1" applyFill="1" applyBorder="1" applyAlignment="1" applyProtection="1">
      <alignment vertical="center"/>
      <protection locked="0"/>
    </xf>
    <xf numFmtId="168" fontId="49" fillId="13" borderId="2" xfId="0" applyNumberFormat="1" applyFont="1" applyFill="1" applyBorder="1" applyAlignment="1" applyProtection="1">
      <alignment vertical="center"/>
      <protection locked="0"/>
    </xf>
    <xf numFmtId="168" fontId="107" fillId="13" borderId="2" xfId="0" applyNumberFormat="1" applyFont="1" applyFill="1" applyBorder="1" applyAlignment="1" applyProtection="1">
      <alignment vertical="center"/>
      <protection locked="0"/>
    </xf>
    <xf numFmtId="168" fontId="49" fillId="7" borderId="2" xfId="0" applyNumberFormat="1" applyFont="1" applyFill="1" applyBorder="1" applyAlignment="1" applyProtection="1">
      <alignment horizontal="right" vertical="center"/>
      <protection locked="0"/>
    </xf>
    <xf numFmtId="175" fontId="49" fillId="0" borderId="2" xfId="0" applyNumberFormat="1" applyFont="1" applyFill="1" applyBorder="1" applyAlignment="1" applyProtection="1">
      <alignment vertical="center"/>
    </xf>
    <xf numFmtId="175" fontId="49" fillId="11" borderId="2" xfId="0" applyNumberFormat="1" applyFont="1" applyFill="1" applyBorder="1" applyAlignment="1" applyProtection="1">
      <alignment vertical="center"/>
    </xf>
    <xf numFmtId="175" fontId="49" fillId="0" borderId="80" xfId="0" applyNumberFormat="1" applyFont="1" applyFill="1" applyBorder="1" applyAlignment="1" applyProtection="1">
      <alignment vertical="center"/>
    </xf>
    <xf numFmtId="168" fontId="2" fillId="7" borderId="2" xfId="0" applyNumberFormat="1" applyFont="1" applyFill="1" applyBorder="1" applyAlignment="1" applyProtection="1">
      <alignment vertical="center"/>
      <protection locked="0"/>
    </xf>
    <xf numFmtId="168" fontId="49" fillId="7" borderId="2" xfId="0" applyNumberFormat="1" applyFont="1" applyFill="1" applyBorder="1" applyAlignment="1" applyProtection="1">
      <alignment vertical="center"/>
      <protection locked="0"/>
    </xf>
    <xf numFmtId="170" fontId="107" fillId="15" borderId="2" xfId="0" applyFont="1" applyFill="1" applyBorder="1" applyAlignment="1" applyProtection="1">
      <alignment horizontal="center"/>
    </xf>
    <xf numFmtId="3" fontId="49" fillId="13" borderId="20" xfId="0" applyNumberFormat="1" applyFont="1" applyFill="1" applyBorder="1" applyAlignment="1" applyProtection="1">
      <alignment horizontal="right" vertical="center"/>
      <protection locked="0"/>
    </xf>
    <xf numFmtId="1" fontId="113" fillId="9" borderId="40" xfId="0" applyNumberFormat="1" applyFont="1" applyFill="1" applyBorder="1" applyAlignment="1" applyProtection="1">
      <alignment horizontal="center"/>
      <protection locked="0"/>
    </xf>
    <xf numFmtId="1" fontId="113" fillId="9" borderId="54" xfId="0" applyNumberFormat="1" applyFont="1" applyFill="1" applyBorder="1" applyAlignment="1" applyProtection="1">
      <alignment horizontal="center"/>
      <protection locked="0"/>
    </xf>
    <xf numFmtId="1" fontId="113" fillId="9" borderId="108" xfId="0" applyNumberFormat="1" applyFont="1" applyFill="1" applyBorder="1" applyAlignment="1" applyProtection="1">
      <alignment horizontal="center"/>
      <protection locked="0"/>
    </xf>
    <xf numFmtId="1" fontId="107" fillId="13" borderId="2" xfId="0" applyNumberFormat="1" applyFont="1" applyFill="1" applyBorder="1" applyAlignment="1" applyProtection="1">
      <alignment horizontal="right" vertical="center"/>
      <protection locked="0"/>
    </xf>
    <xf numFmtId="1" fontId="49" fillId="13" borderId="2" xfId="0" applyNumberFormat="1" applyFont="1" applyFill="1" applyBorder="1" applyAlignment="1" applyProtection="1">
      <alignment vertical="center"/>
      <protection locked="0"/>
    </xf>
    <xf numFmtId="165" fontId="8" fillId="0" borderId="0" xfId="0" applyNumberFormat="1" applyFont="1" applyFill="1"/>
    <xf numFmtId="165" fontId="8" fillId="0" borderId="0" xfId="0" applyNumberFormat="1" applyFont="1" applyFill="1" applyProtection="1"/>
    <xf numFmtId="170" fontId="83" fillId="0" borderId="0" xfId="0" applyFont="1" applyFill="1" applyBorder="1" applyAlignment="1" applyProtection="1">
      <alignment horizontal="center" vertical="center"/>
    </xf>
    <xf numFmtId="170" fontId="4" fillId="0" borderId="0" xfId="0" applyFont="1" applyFill="1" applyBorder="1" applyAlignment="1" applyProtection="1">
      <alignment horizontal="centerContinuous"/>
    </xf>
    <xf numFmtId="15" fontId="4" fillId="0" borderId="0" xfId="0" applyNumberFormat="1" applyFont="1" applyFill="1" applyBorder="1" applyAlignment="1" applyProtection="1">
      <alignment horizontal="centerContinuous"/>
    </xf>
    <xf numFmtId="15" fontId="4" fillId="0" borderId="0" xfId="0" applyNumberFormat="1" applyFont="1" applyFill="1" applyBorder="1" applyAlignment="1" applyProtection="1">
      <alignment horizontal="center"/>
    </xf>
    <xf numFmtId="3" fontId="113" fillId="0" borderId="84" xfId="0" applyNumberFormat="1" applyFont="1" applyBorder="1" applyAlignment="1" applyProtection="1">
      <alignment horizontal="right" wrapText="1"/>
    </xf>
    <xf numFmtId="3" fontId="113" fillId="0" borderId="85" xfId="0" applyNumberFormat="1" applyFont="1" applyBorder="1" applyAlignment="1" applyProtection="1">
      <alignment horizontal="right" wrapText="1"/>
    </xf>
    <xf numFmtId="3" fontId="0" fillId="0" borderId="0" xfId="0" applyNumberFormat="1" applyFill="1" applyBorder="1"/>
    <xf numFmtId="170" fontId="113" fillId="0" borderId="161" xfId="0" applyFont="1" applyBorder="1" applyAlignment="1">
      <alignment horizontal="justify" vertical="top" wrapText="1"/>
    </xf>
    <xf numFmtId="170" fontId="113" fillId="0" borderId="149" xfId="0" applyFont="1" applyBorder="1" applyAlignment="1">
      <alignment horizontal="justify" vertical="top" wrapText="1"/>
    </xf>
    <xf numFmtId="15" fontId="80" fillId="0" borderId="0" xfId="0" applyNumberFormat="1" applyFont="1" applyFill="1" applyBorder="1" applyAlignment="1" applyProtection="1">
      <alignment horizontal="center"/>
    </xf>
    <xf numFmtId="170" fontId="117" fillId="0" borderId="0" xfId="0" applyFont="1"/>
    <xf numFmtId="170" fontId="34" fillId="0" borderId="0" xfId="0" applyFont="1" applyAlignment="1">
      <alignment horizontal="center"/>
    </xf>
    <xf numFmtId="170" fontId="34" fillId="0" borderId="0" xfId="0" applyFont="1" applyBorder="1" applyAlignment="1">
      <alignment horizontal="center"/>
    </xf>
    <xf numFmtId="170" fontId="113" fillId="0" borderId="0" xfId="0" applyFont="1" applyBorder="1" applyAlignment="1">
      <alignment horizontal="justify" vertical="top" wrapText="1"/>
    </xf>
    <xf numFmtId="170" fontId="113" fillId="0" borderId="233" xfId="0" applyFont="1" applyBorder="1" applyAlignment="1">
      <alignment horizontal="justify" vertical="top" wrapText="1"/>
    </xf>
    <xf numFmtId="170" fontId="113" fillId="0" borderId="234" xfId="0" applyFont="1" applyBorder="1" applyAlignment="1">
      <alignment horizontal="justify" vertical="top" wrapText="1"/>
    </xf>
    <xf numFmtId="170" fontId="113" fillId="0" borderId="235" xfId="0" applyFont="1" applyBorder="1" applyAlignment="1">
      <alignment horizontal="justify" vertical="top" wrapText="1"/>
    </xf>
    <xf numFmtId="49" fontId="113" fillId="0" borderId="2" xfId="0" applyNumberFormat="1" applyFont="1" applyFill="1" applyBorder="1" applyAlignment="1" applyProtection="1">
      <alignment horizontal="center"/>
      <protection locked="0"/>
    </xf>
    <xf numFmtId="170" fontId="121" fillId="0" borderId="0" xfId="0" applyFont="1" applyFill="1" applyBorder="1" applyAlignment="1" applyProtection="1">
      <alignment horizontal="right"/>
    </xf>
    <xf numFmtId="171" fontId="14" fillId="0" borderId="2" xfId="20" applyNumberFormat="1" applyFont="1" applyFill="1" applyBorder="1" applyAlignment="1" applyProtection="1">
      <alignment horizontal="center"/>
      <protection locked="0"/>
    </xf>
    <xf numFmtId="170" fontId="121" fillId="0" borderId="88" xfId="0" applyFont="1" applyFill="1" applyBorder="1" applyAlignment="1" applyProtection="1">
      <alignment horizontal="right"/>
    </xf>
    <xf numFmtId="3" fontId="14" fillId="9" borderId="47" xfId="0" applyNumberFormat="1" applyFont="1" applyFill="1" applyBorder="1" applyAlignment="1" applyProtection="1">
      <protection locked="0"/>
    </xf>
    <xf numFmtId="3" fontId="14" fillId="0" borderId="2" xfId="0" applyNumberFormat="1" applyFont="1" applyFill="1" applyBorder="1" applyAlignment="1" applyProtection="1"/>
    <xf numFmtId="3" fontId="14" fillId="0" borderId="232" xfId="0" applyNumberFormat="1" applyFont="1" applyFill="1" applyBorder="1" applyAlignment="1" applyProtection="1"/>
    <xf numFmtId="1" fontId="14" fillId="3" borderId="109" xfId="0" applyNumberFormat="1" applyFont="1" applyFill="1" applyBorder="1" applyAlignment="1" applyProtection="1">
      <alignment horizontal="center"/>
    </xf>
    <xf numFmtId="1" fontId="113" fillId="9" borderId="2" xfId="0" applyNumberFormat="1" applyFont="1" applyFill="1" applyBorder="1" applyAlignment="1" applyProtection="1">
      <alignment horizontal="center"/>
      <protection locked="0"/>
    </xf>
    <xf numFmtId="3" fontId="113" fillId="6" borderId="33" xfId="0" applyNumberFormat="1" applyFont="1" applyFill="1" applyBorder="1" applyAlignment="1" applyProtection="1">
      <alignment horizontal="center"/>
      <protection locked="0"/>
    </xf>
    <xf numFmtId="3" fontId="113" fillId="0" borderId="17" xfId="0" applyNumberFormat="1" applyFont="1" applyFill="1" applyBorder="1" applyAlignment="1" applyProtection="1">
      <alignment horizontal="center"/>
    </xf>
    <xf numFmtId="3" fontId="113" fillId="6" borderId="17" xfId="0" applyNumberFormat="1" applyFont="1" applyFill="1" applyBorder="1" applyAlignment="1" applyProtection="1">
      <alignment horizontal="center"/>
      <protection locked="0"/>
    </xf>
    <xf numFmtId="170" fontId="113" fillId="0" borderId="0" xfId="0" applyFont="1" applyBorder="1" applyProtection="1"/>
    <xf numFmtId="1" fontId="113" fillId="6" borderId="2" xfId="0" applyNumberFormat="1" applyFont="1" applyFill="1" applyBorder="1" applyAlignment="1" applyProtection="1">
      <alignment horizontal="center"/>
      <protection locked="0"/>
    </xf>
    <xf numFmtId="1" fontId="113" fillId="0" borderId="109" xfId="0" applyNumberFormat="1" applyFont="1" applyFill="1" applyBorder="1" applyAlignment="1" applyProtection="1">
      <alignment horizontal="center"/>
    </xf>
    <xf numFmtId="1" fontId="113" fillId="6" borderId="33" xfId="0" applyNumberFormat="1" applyFont="1" applyFill="1" applyBorder="1" applyAlignment="1" applyProtection="1">
      <alignment horizontal="center"/>
      <protection locked="0"/>
    </xf>
    <xf numFmtId="3" fontId="113" fillId="3" borderId="17" xfId="0" applyNumberFormat="1" applyFont="1" applyFill="1" applyBorder="1" applyAlignment="1" applyProtection="1">
      <alignment horizontal="center"/>
      <protection locked="0"/>
    </xf>
    <xf numFmtId="3" fontId="113" fillId="0" borderId="2" xfId="0" applyNumberFormat="1" applyFont="1" applyFill="1" applyBorder="1"/>
    <xf numFmtId="3" fontId="113" fillId="0" borderId="46" xfId="0" applyNumberFormat="1" applyFont="1" applyFill="1" applyBorder="1"/>
    <xf numFmtId="164" fontId="10" fillId="16" borderId="0" xfId="4" applyFont="1" applyFill="1" applyBorder="1" applyAlignment="1">
      <alignment horizontal="center" vertical="center"/>
    </xf>
    <xf numFmtId="164" fontId="26" fillId="0" borderId="0" xfId="0" applyNumberFormat="1" applyFont="1" applyAlignment="1">
      <alignment horizontal="center"/>
    </xf>
    <xf numFmtId="170" fontId="0" fillId="0" borderId="0" xfId="0" applyAlignment="1"/>
    <xf numFmtId="170" fontId="105" fillId="0" borderId="0" xfId="0" applyFont="1" applyAlignment="1">
      <alignment horizontal="center"/>
    </xf>
    <xf numFmtId="170" fontId="106" fillId="0" borderId="0" xfId="0" applyFont="1" applyAlignment="1">
      <alignment horizontal="center"/>
    </xf>
    <xf numFmtId="170" fontId="0" fillId="0" borderId="111" xfId="0" applyBorder="1" applyAlignment="1">
      <alignment horizontal="center"/>
    </xf>
    <xf numFmtId="170" fontId="47" fillId="0" borderId="29" xfId="0" applyFont="1" applyBorder="1" applyAlignment="1">
      <alignment horizontal="left" vertical="center" wrapText="1"/>
    </xf>
    <xf numFmtId="170" fontId="47" fillId="0" borderId="30" xfId="0" applyFont="1" applyBorder="1" applyAlignment="1">
      <alignment horizontal="left" vertical="center" wrapText="1"/>
    </xf>
    <xf numFmtId="170" fontId="47" fillId="0" borderId="31" xfId="0" applyFont="1" applyBorder="1" applyAlignment="1">
      <alignment horizontal="left" vertical="center" wrapText="1"/>
    </xf>
    <xf numFmtId="170" fontId="0" fillId="0" borderId="111" xfId="0" applyBorder="1" applyAlignment="1">
      <alignment horizontal="center" wrapText="1"/>
    </xf>
    <xf numFmtId="170" fontId="67" fillId="0" borderId="29" xfId="0" applyFont="1" applyBorder="1" applyAlignment="1">
      <alignment horizontal="justify" vertical="center" wrapText="1"/>
    </xf>
    <xf numFmtId="170" fontId="67" fillId="0" borderId="30" xfId="0" applyFont="1" applyBorder="1" applyAlignment="1">
      <alignment horizontal="justify" vertical="center" wrapText="1"/>
    </xf>
    <xf numFmtId="170" fontId="67" fillId="0" borderId="31" xfId="0" applyFont="1" applyBorder="1" applyAlignment="1">
      <alignment horizontal="justify" vertical="center" wrapText="1"/>
    </xf>
    <xf numFmtId="170" fontId="0" fillId="0" borderId="0" xfId="0" applyBorder="1" applyAlignment="1">
      <alignment horizontal="center"/>
    </xf>
    <xf numFmtId="170" fontId="0" fillId="0" borderId="0" xfId="0" applyBorder="1" applyAlignment="1">
      <alignment horizontal="center" wrapText="1"/>
    </xf>
    <xf numFmtId="164" fontId="10" fillId="17" borderId="0" xfId="12" applyFont="1" applyFill="1" applyAlignment="1" applyProtection="1">
      <alignment horizontal="center" vertical="center"/>
    </xf>
    <xf numFmtId="170" fontId="64" fillId="0" borderId="0" xfId="0" applyFont="1" applyAlignment="1">
      <alignment horizontal="center"/>
    </xf>
    <xf numFmtId="170" fontId="65" fillId="9" borderId="29" xfId="0" applyFont="1" applyFill="1" applyBorder="1" applyAlignment="1">
      <alignment horizontal="center"/>
    </xf>
    <xf numFmtId="170" fontId="65" fillId="9" borderId="30" xfId="0" applyFont="1" applyFill="1" applyBorder="1" applyAlignment="1">
      <alignment horizontal="center"/>
    </xf>
    <xf numFmtId="170" fontId="65" fillId="9" borderId="31" xfId="0" applyFont="1" applyFill="1" applyBorder="1" applyAlignment="1">
      <alignment horizontal="center"/>
    </xf>
    <xf numFmtId="164" fontId="66" fillId="0" borderId="29" xfId="0" applyNumberFormat="1" applyFont="1" applyBorder="1" applyAlignment="1">
      <alignment horizontal="justify" vertical="center" wrapText="1"/>
    </xf>
    <xf numFmtId="170" fontId="66" fillId="0" borderId="30" xfId="0" applyFont="1" applyBorder="1" applyAlignment="1">
      <alignment horizontal="justify" vertical="center"/>
    </xf>
    <xf numFmtId="170" fontId="66" fillId="0" borderId="31" xfId="0" applyFont="1" applyBorder="1" applyAlignment="1">
      <alignment horizontal="justify" vertical="center"/>
    </xf>
    <xf numFmtId="9" fontId="67" fillId="0" borderId="29" xfId="19" applyFont="1" applyBorder="1" applyAlignment="1">
      <alignment horizontal="justify" vertical="center" wrapText="1"/>
    </xf>
    <xf numFmtId="9" fontId="67" fillId="0" borderId="30" xfId="19" applyFont="1" applyBorder="1" applyAlignment="1">
      <alignment horizontal="justify" vertical="center" wrapText="1"/>
    </xf>
    <xf numFmtId="9" fontId="67" fillId="0" borderId="31" xfId="19" applyFont="1" applyBorder="1" applyAlignment="1">
      <alignment horizontal="justify" vertical="center" wrapText="1"/>
    </xf>
    <xf numFmtId="164" fontId="66" fillId="0" borderId="29" xfId="0" applyNumberFormat="1" applyFont="1" applyBorder="1" applyAlignment="1">
      <alignment horizontal="left" vertical="center" wrapText="1"/>
    </xf>
    <xf numFmtId="170" fontId="66" fillId="0" borderId="30" xfId="0" applyFont="1" applyBorder="1" applyAlignment="1">
      <alignment horizontal="left" vertical="center" wrapText="1"/>
    </xf>
    <xf numFmtId="170" fontId="66" fillId="0" borderId="31" xfId="0" applyFont="1" applyBorder="1" applyAlignment="1">
      <alignment horizontal="left" vertical="center" wrapText="1"/>
    </xf>
    <xf numFmtId="170" fontId="66" fillId="0" borderId="30" xfId="0" applyFont="1" applyBorder="1" applyAlignment="1">
      <alignment horizontal="left" vertical="center"/>
    </xf>
    <xf numFmtId="170" fontId="66" fillId="0" borderId="31" xfId="0" applyFont="1" applyBorder="1" applyAlignment="1">
      <alignment horizontal="left" vertical="center"/>
    </xf>
    <xf numFmtId="170" fontId="65" fillId="6" borderId="29" xfId="0" applyFont="1" applyFill="1" applyBorder="1" applyAlignment="1">
      <alignment horizontal="center"/>
    </xf>
    <xf numFmtId="170" fontId="65" fillId="6" borderId="30" xfId="0" applyFont="1" applyFill="1" applyBorder="1" applyAlignment="1">
      <alignment horizontal="center"/>
    </xf>
    <xf numFmtId="170" fontId="65" fillId="6" borderId="31" xfId="0" applyFont="1" applyFill="1" applyBorder="1" applyAlignment="1">
      <alignment horizontal="center"/>
    </xf>
    <xf numFmtId="170" fontId="66" fillId="0" borderId="30" xfId="0" applyFont="1" applyBorder="1" applyAlignment="1">
      <alignment horizontal="justify" vertical="center" wrapText="1"/>
    </xf>
    <xf numFmtId="170" fontId="66" fillId="0" borderId="31" xfId="0" applyFont="1" applyBorder="1" applyAlignment="1">
      <alignment horizontal="justify" vertical="center" wrapText="1"/>
    </xf>
    <xf numFmtId="170" fontId="0" fillId="0" borderId="29" xfId="0" applyBorder="1" applyAlignment="1">
      <alignment horizontal="center" vertical="center" wrapText="1"/>
    </xf>
    <xf numFmtId="170" fontId="0" fillId="0" borderId="30" xfId="0" applyBorder="1" applyAlignment="1">
      <alignment horizontal="center" vertical="center" wrapText="1"/>
    </xf>
    <xf numFmtId="170" fontId="0" fillId="0" borderId="31" xfId="0" applyBorder="1" applyAlignment="1">
      <alignment horizontal="center" vertical="center" wrapText="1"/>
    </xf>
    <xf numFmtId="170" fontId="72" fillId="5" borderId="29" xfId="0" applyFont="1" applyFill="1" applyBorder="1" applyAlignment="1">
      <alignment horizontal="center" vertical="center" wrapText="1"/>
    </xf>
    <xf numFmtId="170" fontId="72" fillId="5" borderId="30" xfId="0" applyFont="1" applyFill="1" applyBorder="1" applyAlignment="1">
      <alignment horizontal="center" vertical="center"/>
    </xf>
    <xf numFmtId="170" fontId="72" fillId="5" borderId="31" xfId="0" applyFont="1" applyFill="1" applyBorder="1" applyAlignment="1">
      <alignment horizontal="center" vertical="center"/>
    </xf>
    <xf numFmtId="170" fontId="71" fillId="5" borderId="29" xfId="0" applyFont="1" applyFill="1" applyBorder="1" applyAlignment="1">
      <alignment horizontal="center" vertical="center"/>
    </xf>
    <xf numFmtId="170" fontId="71" fillId="5" borderId="30" xfId="0" applyFont="1" applyFill="1" applyBorder="1" applyAlignment="1">
      <alignment horizontal="center" vertical="center"/>
    </xf>
    <xf numFmtId="170" fontId="71" fillId="5" borderId="31" xfId="0" applyFont="1" applyFill="1" applyBorder="1" applyAlignment="1">
      <alignment horizontal="center" vertical="center"/>
    </xf>
    <xf numFmtId="170" fontId="71" fillId="5" borderId="29" xfId="0" applyFont="1" applyFill="1" applyBorder="1" applyAlignment="1">
      <alignment horizontal="center"/>
    </xf>
    <xf numFmtId="170" fontId="71" fillId="5" borderId="30" xfId="0" applyFont="1" applyFill="1" applyBorder="1" applyAlignment="1">
      <alignment horizontal="center"/>
    </xf>
    <xf numFmtId="170" fontId="71" fillId="5" borderId="31" xfId="0" applyFont="1" applyFill="1" applyBorder="1" applyAlignment="1">
      <alignment horizontal="center"/>
    </xf>
    <xf numFmtId="170" fontId="98" fillId="22" borderId="29" xfId="0" applyFont="1" applyFill="1" applyBorder="1" applyAlignment="1" applyProtection="1">
      <alignment horizontal="justify" vertical="center" wrapText="1"/>
      <protection locked="0"/>
    </xf>
    <xf numFmtId="170" fontId="98" fillId="22" borderId="30" xfId="0" applyFont="1" applyFill="1" applyBorder="1" applyAlignment="1" applyProtection="1">
      <alignment horizontal="justify" vertical="center" wrapText="1"/>
      <protection locked="0"/>
    </xf>
    <xf numFmtId="170" fontId="98" fillId="22" borderId="31" xfId="0" applyFont="1" applyFill="1" applyBorder="1" applyAlignment="1" applyProtection="1">
      <alignment horizontal="justify" vertical="center" wrapText="1"/>
      <protection locked="0"/>
    </xf>
    <xf numFmtId="170" fontId="47" fillId="0" borderId="112" xfId="0" applyFont="1" applyBorder="1" applyAlignment="1">
      <alignment horizontal="justify" wrapText="1"/>
    </xf>
    <xf numFmtId="170" fontId="47" fillId="0" borderId="111" xfId="0" applyFont="1" applyBorder="1" applyAlignment="1">
      <alignment horizontal="justify" wrapText="1"/>
    </xf>
    <xf numFmtId="170" fontId="47" fillId="0" borderId="113" xfId="0" applyFont="1" applyBorder="1" applyAlignment="1">
      <alignment horizontal="justify" wrapText="1"/>
    </xf>
    <xf numFmtId="170" fontId="47" fillId="0" borderId="29" xfId="0" applyFont="1" applyBorder="1" applyAlignment="1">
      <alignment horizontal="justify" vertical="center" wrapText="1"/>
    </xf>
    <xf numFmtId="170" fontId="98" fillId="0" borderId="114" xfId="0" applyFont="1" applyBorder="1" applyAlignment="1">
      <alignment horizontal="justify" vertical="center" wrapText="1"/>
    </xf>
    <xf numFmtId="170" fontId="98" fillId="0" borderId="75" xfId="0" applyFont="1" applyBorder="1" applyAlignment="1">
      <alignment horizontal="justify" vertical="center" wrapText="1"/>
    </xf>
    <xf numFmtId="170" fontId="98" fillId="0" borderId="77" xfId="0" applyFont="1" applyBorder="1" applyAlignment="1">
      <alignment horizontal="justify" vertical="center" wrapText="1"/>
    </xf>
    <xf numFmtId="170" fontId="98" fillId="0" borderId="29" xfId="0" applyFont="1" applyBorder="1" applyAlignment="1">
      <alignment horizontal="left" vertical="center" wrapText="1"/>
    </xf>
    <xf numFmtId="170" fontId="95" fillId="0" borderId="30" xfId="0" applyFont="1" applyBorder="1" applyAlignment="1">
      <alignment horizontal="left" vertical="center" wrapText="1"/>
    </xf>
    <xf numFmtId="170" fontId="95" fillId="0" borderId="31" xfId="0" applyFont="1" applyBorder="1" applyAlignment="1">
      <alignment horizontal="left" vertical="center" wrapText="1"/>
    </xf>
    <xf numFmtId="170" fontId="98" fillId="0" borderId="29" xfId="0" applyFont="1" applyBorder="1" applyAlignment="1">
      <alignment horizontal="justify" vertical="center" wrapText="1"/>
    </xf>
    <xf numFmtId="170" fontId="98" fillId="0" borderId="30" xfId="0" applyFont="1" applyBorder="1" applyAlignment="1">
      <alignment horizontal="justify" vertical="center" wrapText="1"/>
    </xf>
    <xf numFmtId="170" fontId="98" fillId="0" borderId="31" xfId="0" applyFont="1" applyBorder="1" applyAlignment="1">
      <alignment horizontal="justify" vertical="center" wrapText="1"/>
    </xf>
    <xf numFmtId="170" fontId="110" fillId="5" borderId="29" xfId="0" applyFont="1" applyFill="1" applyBorder="1" applyAlignment="1">
      <alignment horizontal="justify" vertical="center" wrapText="1"/>
    </xf>
    <xf numFmtId="170" fontId="110" fillId="5" borderId="30" xfId="0" applyFont="1" applyFill="1" applyBorder="1" applyAlignment="1">
      <alignment horizontal="justify" vertical="center" wrapText="1"/>
    </xf>
    <xf numFmtId="170" fontId="110" fillId="5" borderId="31" xfId="0" applyFont="1" applyFill="1" applyBorder="1" applyAlignment="1">
      <alignment horizontal="justify" vertical="center" wrapText="1"/>
    </xf>
    <xf numFmtId="170" fontId="110" fillId="0" borderId="29" xfId="0" applyFont="1" applyBorder="1" applyAlignment="1" applyProtection="1">
      <alignment horizontal="justify" vertical="center" wrapText="1"/>
      <protection locked="0"/>
    </xf>
    <xf numFmtId="170" fontId="110" fillId="0" borderId="30" xfId="0" applyFont="1" applyBorder="1" applyAlignment="1" applyProtection="1">
      <alignment horizontal="justify" vertical="center" wrapText="1"/>
      <protection locked="0"/>
    </xf>
    <xf numFmtId="170" fontId="110" fillId="0" borderId="31" xfId="0" applyFont="1" applyBorder="1" applyAlignment="1" applyProtection="1">
      <alignment horizontal="justify" vertical="center" wrapText="1"/>
      <protection locked="0"/>
    </xf>
    <xf numFmtId="170" fontId="110" fillId="22" borderId="30" xfId="0" applyFont="1" applyFill="1" applyBorder="1" applyAlignment="1" applyProtection="1">
      <alignment horizontal="justify" vertical="center" wrapText="1"/>
      <protection locked="0"/>
    </xf>
    <xf numFmtId="170" fontId="110" fillId="22" borderId="31" xfId="0" applyFont="1" applyFill="1" applyBorder="1" applyAlignment="1" applyProtection="1">
      <alignment horizontal="justify" vertical="center" wrapText="1"/>
      <protection locked="0"/>
    </xf>
    <xf numFmtId="164" fontId="66" fillId="0" borderId="112" xfId="0" applyNumberFormat="1" applyFont="1" applyBorder="1" applyAlignment="1">
      <alignment horizontal="left" vertical="center" wrapText="1"/>
    </xf>
    <xf numFmtId="170" fontId="66" fillId="0" borderId="111" xfId="0" applyFont="1" applyBorder="1" applyAlignment="1">
      <alignment horizontal="left" vertical="center" wrapText="1"/>
    </xf>
    <xf numFmtId="170" fontId="66" fillId="0" borderId="113" xfId="0" applyFont="1" applyBorder="1" applyAlignment="1">
      <alignment horizontal="left" vertical="center" wrapText="1"/>
    </xf>
    <xf numFmtId="170" fontId="66" fillId="0" borderId="114" xfId="0" applyFont="1" applyBorder="1" applyAlignment="1">
      <alignment horizontal="left" vertical="center" wrapText="1"/>
    </xf>
    <xf numFmtId="170" fontId="66" fillId="0" borderId="75" xfId="0" applyFont="1" applyBorder="1" applyAlignment="1">
      <alignment horizontal="left" vertical="center" wrapText="1"/>
    </xf>
    <xf numFmtId="170" fontId="66" fillId="0" borderId="77" xfId="0" applyFont="1" applyBorder="1" applyAlignment="1">
      <alignment horizontal="left" vertical="center" wrapText="1"/>
    </xf>
    <xf numFmtId="170" fontId="67" fillId="0" borderId="114" xfId="0" applyFont="1" applyBorder="1" applyAlignment="1">
      <alignment horizontal="justify" vertical="center" wrapText="1"/>
    </xf>
    <xf numFmtId="170" fontId="67" fillId="0" borderId="75" xfId="0" applyFont="1" applyBorder="1" applyAlignment="1">
      <alignment horizontal="justify" vertical="center" wrapText="1"/>
    </xf>
    <xf numFmtId="170" fontId="67" fillId="0" borderId="77" xfId="0" applyFont="1" applyBorder="1" applyAlignment="1">
      <alignment horizontal="justify" vertical="center" wrapText="1"/>
    </xf>
    <xf numFmtId="170" fontId="47" fillId="0" borderId="112" xfId="0" applyFont="1" applyBorder="1" applyAlignment="1">
      <alignment horizontal="left" vertical="center" wrapText="1"/>
    </xf>
    <xf numFmtId="170" fontId="47" fillId="0" borderId="111" xfId="0" applyFont="1" applyBorder="1" applyAlignment="1">
      <alignment horizontal="left" vertical="center" wrapText="1"/>
    </xf>
    <xf numFmtId="170" fontId="47" fillId="0" borderId="113" xfId="0" applyFont="1" applyBorder="1" applyAlignment="1">
      <alignment horizontal="left" vertical="center" wrapText="1"/>
    </xf>
    <xf numFmtId="170" fontId="47" fillId="0" borderId="114" xfId="0" applyFont="1" applyBorder="1" applyAlignment="1">
      <alignment horizontal="left" vertical="center" wrapText="1"/>
    </xf>
    <xf numFmtId="170" fontId="47" fillId="0" borderId="75" xfId="0" applyFont="1" applyBorder="1" applyAlignment="1">
      <alignment horizontal="left" vertical="center" wrapText="1"/>
    </xf>
    <xf numFmtId="170" fontId="47" fillId="0" borderId="77" xfId="0" applyFont="1" applyBorder="1" applyAlignment="1">
      <alignment horizontal="left" vertical="center" wrapText="1"/>
    </xf>
    <xf numFmtId="170" fontId="47" fillId="0" borderId="30" xfId="0" applyFont="1" applyBorder="1" applyAlignment="1">
      <alignment horizontal="justify" vertical="center" wrapText="1"/>
    </xf>
    <xf numFmtId="170" fontId="47" fillId="0" borderId="31" xfId="0" applyFont="1" applyBorder="1" applyAlignment="1">
      <alignment horizontal="justify" vertical="center" wrapText="1"/>
    </xf>
    <xf numFmtId="170" fontId="17" fillId="0" borderId="29" xfId="0" applyFont="1" applyBorder="1" applyAlignment="1">
      <alignment horizontal="center" vertical="center" wrapText="1"/>
    </xf>
    <xf numFmtId="170" fontId="17" fillId="0" borderId="30" xfId="0" applyFont="1" applyBorder="1" applyAlignment="1">
      <alignment horizontal="center" vertical="center" wrapText="1"/>
    </xf>
    <xf numFmtId="170" fontId="17" fillId="0" borderId="31" xfId="0" applyFont="1" applyBorder="1" applyAlignment="1">
      <alignment horizontal="center" vertical="center" wrapText="1"/>
    </xf>
    <xf numFmtId="170" fontId="71" fillId="5" borderId="29" xfId="0" applyFont="1" applyFill="1" applyBorder="1" applyAlignment="1">
      <alignment horizontal="center" wrapText="1"/>
    </xf>
    <xf numFmtId="170" fontId="71" fillId="5" borderId="30" xfId="0" applyFont="1" applyFill="1" applyBorder="1" applyAlignment="1">
      <alignment horizontal="center" wrapText="1"/>
    </xf>
    <xf numFmtId="170" fontId="71" fillId="5" borderId="31" xfId="0" applyFont="1" applyFill="1" applyBorder="1" applyAlignment="1">
      <alignment horizontal="center" wrapText="1"/>
    </xf>
    <xf numFmtId="170" fontId="66" fillId="0" borderId="29" xfId="0" applyFont="1" applyBorder="1" applyAlignment="1" applyProtection="1">
      <alignment vertical="center" wrapText="1"/>
      <protection locked="0"/>
    </xf>
    <xf numFmtId="170" fontId="66" fillId="0" borderId="30" xfId="0" applyFont="1" applyBorder="1" applyAlignment="1" applyProtection="1">
      <alignment vertical="center" wrapText="1"/>
      <protection locked="0"/>
    </xf>
    <xf numFmtId="170" fontId="66" fillId="0" borderId="31" xfId="0" applyFont="1" applyBorder="1" applyAlignment="1" applyProtection="1">
      <alignment vertical="center" wrapText="1"/>
      <protection locked="0"/>
    </xf>
    <xf numFmtId="9" fontId="26" fillId="0" borderId="115" xfId="19" applyFont="1" applyFill="1" applyBorder="1" applyAlignment="1" applyProtection="1">
      <alignment horizontal="center" vertical="center"/>
    </xf>
    <xf numFmtId="9" fontId="26" fillId="0" borderId="116" xfId="19" applyFont="1" applyFill="1" applyBorder="1" applyAlignment="1" applyProtection="1">
      <alignment horizontal="center" vertical="center"/>
    </xf>
    <xf numFmtId="9" fontId="26" fillId="0" borderId="117" xfId="19" applyFont="1" applyFill="1" applyBorder="1" applyAlignment="1" applyProtection="1">
      <alignment horizontal="center" vertical="center"/>
    </xf>
    <xf numFmtId="0" fontId="49" fillId="5" borderId="89" xfId="0" applyNumberFormat="1" applyFont="1" applyFill="1" applyBorder="1" applyAlignment="1" applyProtection="1">
      <alignment horizontal="center" vertical="center" wrapText="1"/>
      <protection locked="0"/>
    </xf>
    <xf numFmtId="0" fontId="49" fillId="5" borderId="76" xfId="0" applyNumberFormat="1" applyFont="1" applyFill="1" applyBorder="1" applyAlignment="1" applyProtection="1">
      <alignment horizontal="center" vertical="center" wrapText="1"/>
      <protection locked="0"/>
    </xf>
    <xf numFmtId="49" fontId="49" fillId="5" borderId="118" xfId="0" applyNumberFormat="1" applyFont="1" applyFill="1" applyBorder="1" applyAlignment="1" applyProtection="1">
      <alignment horizontal="center" vertical="center" wrapText="1"/>
      <protection locked="0"/>
    </xf>
    <xf numFmtId="49" fontId="49" fillId="5" borderId="119" xfId="0" applyNumberFormat="1" applyFont="1" applyFill="1" applyBorder="1" applyAlignment="1" applyProtection="1">
      <alignment horizontal="center" vertical="center" wrapText="1"/>
      <protection locked="0"/>
    </xf>
    <xf numFmtId="49" fontId="49" fillId="24" borderId="118" xfId="0" applyNumberFormat="1" applyFont="1" applyFill="1" applyBorder="1" applyAlignment="1" applyProtection="1">
      <alignment horizontal="center" vertical="center" wrapText="1"/>
      <protection locked="0"/>
    </xf>
    <xf numFmtId="49" fontId="49" fillId="24" borderId="119" xfId="0" applyNumberFormat="1" applyFont="1" applyFill="1" applyBorder="1" applyAlignment="1" applyProtection="1">
      <alignment horizontal="center" vertical="center" wrapText="1"/>
      <protection locked="0"/>
    </xf>
    <xf numFmtId="0" fontId="49" fillId="24" borderId="89" xfId="0" applyNumberFormat="1" applyFont="1" applyFill="1" applyBorder="1" applyAlignment="1" applyProtection="1">
      <alignment horizontal="center" vertical="center" wrapText="1"/>
      <protection locked="0"/>
    </xf>
    <xf numFmtId="0" fontId="107" fillId="24" borderId="76" xfId="0" applyNumberFormat="1" applyFont="1" applyFill="1" applyBorder="1" applyAlignment="1" applyProtection="1">
      <alignment horizontal="center" vertical="center" wrapText="1"/>
      <protection locked="0"/>
    </xf>
    <xf numFmtId="170" fontId="0" fillId="18" borderId="120" xfId="0" applyFill="1" applyBorder="1" applyAlignment="1" applyProtection="1">
      <alignment horizontal="center"/>
    </xf>
    <xf numFmtId="170" fontId="0" fillId="18" borderId="121" xfId="0" applyFill="1" applyBorder="1" applyAlignment="1" applyProtection="1">
      <alignment horizontal="center"/>
    </xf>
    <xf numFmtId="170" fontId="0" fillId="18" borderId="122" xfId="0" applyFill="1" applyBorder="1" applyAlignment="1" applyProtection="1">
      <alignment horizontal="center"/>
    </xf>
    <xf numFmtId="170" fontId="49" fillId="0" borderId="74" xfId="0" applyFont="1" applyFill="1" applyBorder="1" applyAlignment="1" applyProtection="1">
      <alignment horizontal="left" vertical="center" wrapText="1"/>
    </xf>
    <xf numFmtId="170" fontId="49" fillId="0" borderId="75" xfId="0" applyFont="1" applyFill="1" applyBorder="1" applyAlignment="1" applyProtection="1">
      <alignment horizontal="left" vertical="center" wrapText="1"/>
    </xf>
    <xf numFmtId="170" fontId="49" fillId="0" borderId="79" xfId="0" applyFont="1" applyFill="1" applyBorder="1" applyAlignment="1" applyProtection="1">
      <alignment horizontal="left" vertical="center" wrapText="1"/>
    </xf>
    <xf numFmtId="170" fontId="49" fillId="0" borderId="123" xfId="0" applyFont="1" applyFill="1" applyBorder="1" applyAlignment="1" applyProtection="1">
      <alignment horizontal="left" vertical="center" wrapText="1"/>
    </xf>
    <xf numFmtId="170" fontId="49" fillId="0" borderId="124" xfId="0" applyFont="1" applyFill="1" applyBorder="1" applyAlignment="1" applyProtection="1">
      <alignment horizontal="left" vertical="center" wrapText="1"/>
    </xf>
    <xf numFmtId="170" fontId="49" fillId="0" borderId="125" xfId="0" applyFont="1" applyFill="1" applyBorder="1" applyAlignment="1" applyProtection="1">
      <alignment horizontal="left" vertical="center" wrapText="1"/>
    </xf>
    <xf numFmtId="0" fontId="49" fillId="11" borderId="126" xfId="0" applyNumberFormat="1" applyFont="1" applyFill="1" applyBorder="1" applyAlignment="1" applyProtection="1">
      <alignment horizontal="center" vertical="center" wrapText="1"/>
    </xf>
    <xf numFmtId="170" fontId="49" fillId="11" borderId="127" xfId="0" applyFont="1" applyFill="1" applyBorder="1" applyAlignment="1" applyProtection="1">
      <alignment horizontal="left" vertical="center" wrapText="1"/>
    </xf>
    <xf numFmtId="170" fontId="49" fillId="11" borderId="30" xfId="0" applyFont="1" applyFill="1" applyBorder="1" applyAlignment="1" applyProtection="1">
      <alignment horizontal="left" vertical="center" wrapText="1"/>
    </xf>
    <xf numFmtId="170" fontId="49" fillId="11" borderId="128" xfId="0" applyFont="1" applyFill="1" applyBorder="1" applyAlignment="1" applyProtection="1">
      <alignment horizontal="left" vertical="center" wrapText="1"/>
    </xf>
    <xf numFmtId="49" fontId="49" fillId="19" borderId="129" xfId="0" applyNumberFormat="1" applyFont="1" applyFill="1" applyBorder="1" applyAlignment="1" applyProtection="1">
      <alignment horizontal="left" vertical="center" wrapText="1"/>
      <protection locked="0"/>
    </xf>
    <xf numFmtId="49" fontId="107" fillId="19" borderId="2" xfId="0" applyNumberFormat="1" applyFont="1" applyFill="1" applyBorder="1" applyAlignment="1" applyProtection="1">
      <alignment horizontal="left" vertical="center" wrapText="1"/>
      <protection locked="0"/>
    </xf>
    <xf numFmtId="49" fontId="107" fillId="19" borderId="29" xfId="0" applyNumberFormat="1" applyFont="1" applyFill="1" applyBorder="1" applyAlignment="1" applyProtection="1">
      <alignment horizontal="left" vertical="center" wrapText="1"/>
      <protection locked="0"/>
    </xf>
    <xf numFmtId="49" fontId="107" fillId="19" borderId="129" xfId="0" applyNumberFormat="1" applyFont="1" applyFill="1" applyBorder="1" applyAlignment="1" applyProtection="1">
      <alignment horizontal="left" vertical="center" wrapText="1"/>
      <protection locked="0"/>
    </xf>
    <xf numFmtId="49" fontId="49" fillId="7" borderId="129" xfId="0" applyNumberFormat="1" applyFont="1" applyFill="1" applyBorder="1" applyAlignment="1" applyProtection="1">
      <alignment horizontal="left" vertical="center" wrapText="1"/>
      <protection locked="0"/>
    </xf>
    <xf numFmtId="49" fontId="107" fillId="7" borderId="2" xfId="0" applyNumberFormat="1" applyFont="1" applyFill="1" applyBorder="1" applyAlignment="1" applyProtection="1">
      <alignment horizontal="left" vertical="center" wrapText="1"/>
      <protection locked="0"/>
    </xf>
    <xf numFmtId="49" fontId="107" fillId="7" borderId="20" xfId="0" applyNumberFormat="1" applyFont="1" applyFill="1" applyBorder="1" applyAlignment="1" applyProtection="1">
      <alignment horizontal="left" vertical="center" wrapText="1"/>
      <protection locked="0"/>
    </xf>
    <xf numFmtId="49" fontId="107" fillId="7" borderId="129" xfId="0" applyNumberFormat="1" applyFont="1" applyFill="1" applyBorder="1" applyAlignment="1" applyProtection="1">
      <alignment horizontal="left" vertical="center" wrapText="1"/>
      <protection locked="0"/>
    </xf>
    <xf numFmtId="49" fontId="107" fillId="7" borderId="29" xfId="0" applyNumberFormat="1" applyFont="1" applyFill="1" applyBorder="1" applyAlignment="1" applyProtection="1">
      <alignment horizontal="left" vertical="center" wrapText="1"/>
      <protection locked="0"/>
    </xf>
    <xf numFmtId="0" fontId="107" fillId="5" borderId="126" xfId="0" applyNumberFormat="1" applyFont="1" applyFill="1" applyBorder="1" applyAlignment="1" applyProtection="1">
      <alignment horizontal="center" vertical="center" wrapText="1"/>
      <protection locked="0"/>
    </xf>
    <xf numFmtId="0" fontId="107" fillId="7" borderId="126" xfId="0" applyNumberFormat="1" applyFont="1" applyFill="1" applyBorder="1" applyAlignment="1" applyProtection="1">
      <alignment horizontal="center" vertical="center" wrapText="1"/>
      <protection locked="0"/>
    </xf>
    <xf numFmtId="49" fontId="49" fillId="19" borderId="2" xfId="0" applyNumberFormat="1" applyFont="1" applyFill="1" applyBorder="1" applyAlignment="1" applyProtection="1">
      <alignment horizontal="left" vertical="center" wrapText="1"/>
      <protection locked="0"/>
    </xf>
    <xf numFmtId="49" fontId="49" fillId="19" borderId="29" xfId="0" applyNumberFormat="1" applyFont="1" applyFill="1" applyBorder="1" applyAlignment="1" applyProtection="1">
      <alignment horizontal="left" vertical="center" wrapText="1"/>
      <protection locked="0"/>
    </xf>
    <xf numFmtId="170" fontId="49" fillId="0" borderId="130" xfId="0" applyFont="1" applyFill="1" applyBorder="1" applyAlignment="1" applyProtection="1">
      <alignment horizontal="left" vertical="center" wrapText="1"/>
    </xf>
    <xf numFmtId="170" fontId="49" fillId="0" borderId="131" xfId="0" applyFont="1" applyFill="1" applyBorder="1" applyAlignment="1" applyProtection="1">
      <alignment horizontal="left" vertical="center" wrapText="1"/>
    </xf>
    <xf numFmtId="170" fontId="49" fillId="0" borderId="132" xfId="0" applyFont="1" applyFill="1" applyBorder="1" applyAlignment="1" applyProtection="1">
      <alignment horizontal="left" vertical="center" wrapText="1"/>
    </xf>
    <xf numFmtId="170" fontId="49" fillId="0" borderId="127" xfId="0" applyFont="1" applyFill="1" applyBorder="1" applyAlignment="1" applyProtection="1">
      <alignment horizontal="left" vertical="center" wrapText="1"/>
    </xf>
    <xf numFmtId="170" fontId="49" fillId="0" borderId="30" xfId="0" applyFont="1" applyFill="1" applyBorder="1" applyAlignment="1" applyProtection="1">
      <alignment horizontal="left" vertical="center" wrapText="1"/>
    </xf>
    <xf numFmtId="170" fontId="49" fillId="0" borderId="128" xfId="0" applyFont="1" applyFill="1" applyBorder="1" applyAlignment="1" applyProtection="1">
      <alignment horizontal="left" vertical="center" wrapText="1"/>
    </xf>
    <xf numFmtId="170" fontId="49" fillId="5" borderId="126" xfId="0" applyNumberFormat="1" applyFont="1" applyFill="1" applyBorder="1" applyAlignment="1" applyProtection="1">
      <alignment horizontal="center" vertical="center" wrapText="1"/>
      <protection locked="0"/>
    </xf>
    <xf numFmtId="49" fontId="49" fillId="7" borderId="2" xfId="0" applyNumberFormat="1" applyFont="1" applyFill="1" applyBorder="1" applyAlignment="1" applyProtection="1">
      <alignment horizontal="left" vertical="center" wrapText="1"/>
      <protection locked="0"/>
    </xf>
    <xf numFmtId="49" fontId="49" fillId="7" borderId="29" xfId="0" applyNumberFormat="1" applyFont="1" applyFill="1" applyBorder="1" applyAlignment="1" applyProtection="1">
      <alignment horizontal="left" vertical="center" wrapText="1"/>
      <protection locked="0"/>
    </xf>
    <xf numFmtId="49" fontId="49" fillId="7" borderId="150" xfId="0" applyNumberFormat="1" applyFont="1" applyFill="1" applyBorder="1" applyAlignment="1" applyProtection="1">
      <alignment horizontal="left" vertical="center" wrapText="1"/>
      <protection locked="0"/>
    </xf>
    <xf numFmtId="49" fontId="49" fillId="7" borderId="80" xfId="0" applyNumberFormat="1" applyFont="1" applyFill="1" applyBorder="1" applyAlignment="1" applyProtection="1">
      <alignment horizontal="left" vertical="center" wrapText="1"/>
      <protection locked="0"/>
    </xf>
    <xf numFmtId="49" fontId="49" fillId="7" borderId="151" xfId="0" applyNumberFormat="1" applyFont="1" applyFill="1" applyBorder="1" applyAlignment="1" applyProtection="1">
      <alignment horizontal="left" vertical="center" wrapText="1"/>
      <protection locked="0"/>
    </xf>
    <xf numFmtId="170" fontId="49" fillId="7" borderId="126" xfId="0" applyNumberFormat="1" applyFont="1" applyFill="1" applyBorder="1" applyAlignment="1" applyProtection="1">
      <alignment horizontal="center" vertical="center" wrapText="1"/>
      <protection locked="0"/>
    </xf>
    <xf numFmtId="170" fontId="49" fillId="7" borderId="133" xfId="0" applyNumberFormat="1" applyFont="1" applyFill="1" applyBorder="1" applyAlignment="1" applyProtection="1">
      <alignment horizontal="center" vertical="center" wrapText="1"/>
      <protection locked="0"/>
    </xf>
    <xf numFmtId="170" fontId="49" fillId="11" borderId="31" xfId="0" applyFont="1" applyFill="1" applyBorder="1" applyAlignment="1" applyProtection="1">
      <alignment horizontal="center" vertical="center" wrapText="1"/>
    </xf>
    <xf numFmtId="0" fontId="49" fillId="0" borderId="126" xfId="0" applyNumberFormat="1" applyFont="1" applyFill="1" applyBorder="1" applyAlignment="1" applyProtection="1">
      <alignment horizontal="center" vertical="center" wrapText="1"/>
    </xf>
    <xf numFmtId="0" fontId="49" fillId="0" borderId="133" xfId="0" applyNumberFormat="1" applyFont="1" applyFill="1" applyBorder="1" applyAlignment="1" applyProtection="1">
      <alignment horizontal="center" vertical="center" wrapText="1"/>
    </xf>
    <xf numFmtId="170" fontId="49" fillId="0" borderId="31" xfId="0" applyFont="1" applyFill="1" applyBorder="1" applyAlignment="1" applyProtection="1">
      <alignment horizontal="center" vertical="center" wrapText="1"/>
    </xf>
    <xf numFmtId="170" fontId="49" fillId="0" borderId="134" xfId="0" applyFont="1" applyFill="1" applyBorder="1" applyAlignment="1" applyProtection="1">
      <alignment horizontal="center" vertical="center" wrapText="1"/>
    </xf>
    <xf numFmtId="49" fontId="7" fillId="0" borderId="16" xfId="0" applyNumberFormat="1" applyFont="1" applyBorder="1" applyAlignment="1" applyProtection="1">
      <alignment horizontal="center"/>
    </xf>
    <xf numFmtId="49" fontId="7" fillId="0" borderId="33" xfId="0" applyNumberFormat="1" applyFont="1" applyBorder="1" applyAlignment="1" applyProtection="1">
      <alignment horizontal="center"/>
    </xf>
    <xf numFmtId="49" fontId="0" fillId="0" borderId="29" xfId="0" applyNumberFormat="1" applyBorder="1" applyAlignment="1" applyProtection="1">
      <alignment horizontal="center"/>
      <protection locked="0"/>
    </xf>
    <xf numFmtId="49" fontId="0" fillId="0" borderId="31" xfId="0" applyNumberFormat="1" applyBorder="1" applyAlignment="1" applyProtection="1">
      <alignment horizontal="center"/>
      <protection locked="0"/>
    </xf>
    <xf numFmtId="170" fontId="91" fillId="0" borderId="0" xfId="0" applyFont="1" applyAlignment="1" applyProtection="1">
      <alignment horizontal="right"/>
    </xf>
    <xf numFmtId="170" fontId="0" fillId="0" borderId="139" xfId="0" applyBorder="1" applyAlignment="1" applyProtection="1">
      <alignment horizontal="center"/>
    </xf>
    <xf numFmtId="170" fontId="0" fillId="0" borderId="13" xfId="0" applyBorder="1" applyAlignment="1" applyProtection="1">
      <alignment horizontal="center"/>
    </xf>
    <xf numFmtId="170" fontId="62" fillId="0" borderId="140" xfId="0" applyFont="1" applyBorder="1" applyAlignment="1" applyProtection="1">
      <alignment horizontal="right"/>
    </xf>
    <xf numFmtId="170" fontId="99" fillId="0" borderId="140" xfId="0" applyFont="1" applyBorder="1" applyAlignment="1"/>
    <xf numFmtId="164" fontId="7" fillId="0" borderId="141" xfId="0" applyNumberFormat="1" applyFont="1" applyBorder="1" applyAlignment="1" applyProtection="1">
      <alignment horizontal="center"/>
    </xf>
    <xf numFmtId="170" fontId="7" fillId="0" borderId="142" xfId="0" applyFont="1" applyBorder="1" applyAlignment="1" applyProtection="1">
      <alignment horizontal="center"/>
    </xf>
    <xf numFmtId="170" fontId="7" fillId="0" borderId="143" xfId="0" applyFont="1" applyBorder="1" applyAlignment="1" applyProtection="1">
      <alignment horizontal="center"/>
    </xf>
    <xf numFmtId="170" fontId="19" fillId="0" borderId="146" xfId="0" applyFont="1" applyBorder="1" applyAlignment="1" applyProtection="1">
      <alignment horizontal="center" wrapText="1"/>
    </xf>
    <xf numFmtId="170" fontId="19" fillId="0" borderId="147" xfId="0" applyFont="1" applyBorder="1" applyAlignment="1" applyProtection="1">
      <alignment horizontal="center" wrapText="1"/>
    </xf>
    <xf numFmtId="170" fontId="19" fillId="0" borderId="148" xfId="0" applyFont="1" applyBorder="1" applyAlignment="1" applyProtection="1">
      <alignment horizontal="center" wrapText="1"/>
    </xf>
    <xf numFmtId="170" fontId="0" fillId="5" borderId="29" xfId="0" applyFill="1" applyBorder="1" applyAlignment="1" applyProtection="1">
      <alignment horizontal="center"/>
    </xf>
    <xf numFmtId="170" fontId="0" fillId="5" borderId="31" xfId="0" applyFill="1" applyBorder="1" applyAlignment="1" applyProtection="1">
      <alignment horizontal="center"/>
    </xf>
    <xf numFmtId="164" fontId="45" fillId="17" borderId="0" xfId="4" applyFont="1" applyFill="1" applyAlignment="1" applyProtection="1">
      <alignment horizontal="center" vertical="center"/>
    </xf>
    <xf numFmtId="164" fontId="8" fillId="20" borderId="2" xfId="20" applyFont="1" applyFill="1" applyBorder="1" applyAlignment="1" applyProtection="1">
      <alignment horizontal="center"/>
      <protection locked="0"/>
    </xf>
    <xf numFmtId="49" fontId="0" fillId="0" borderId="2" xfId="0" applyNumberFormat="1" applyBorder="1" applyAlignment="1" applyProtection="1">
      <alignment horizontal="center"/>
      <protection locked="0"/>
    </xf>
    <xf numFmtId="170" fontId="91" fillId="0" borderId="88" xfId="0" applyFont="1" applyBorder="1" applyAlignment="1" applyProtection="1">
      <alignment horizontal="right"/>
    </xf>
    <xf numFmtId="170" fontId="91" fillId="0" borderId="138" xfId="0" applyFont="1" applyBorder="1" applyAlignment="1" applyProtection="1">
      <alignment horizontal="right"/>
    </xf>
    <xf numFmtId="170" fontId="56" fillId="0" borderId="130" xfId="0" applyFont="1" applyFill="1" applyBorder="1" applyAlignment="1" applyProtection="1">
      <alignment horizontal="center" vertical="center"/>
    </xf>
    <xf numFmtId="170" fontId="56" fillId="0" borderId="131" xfId="0" applyFont="1" applyFill="1" applyBorder="1" applyAlignment="1" applyProtection="1">
      <alignment horizontal="center" vertical="center"/>
    </xf>
    <xf numFmtId="170" fontId="56" fillId="0" borderId="132" xfId="0" applyFont="1" applyFill="1" applyBorder="1" applyAlignment="1" applyProtection="1">
      <alignment horizontal="center" vertical="center"/>
    </xf>
    <xf numFmtId="170" fontId="0" fillId="0" borderId="135" xfId="0" applyFill="1" applyBorder="1" applyAlignment="1" applyProtection="1">
      <alignment horizontal="center" vertical="center"/>
      <protection locked="0"/>
    </xf>
    <xf numFmtId="170" fontId="0" fillId="0" borderId="136" xfId="0" applyFill="1" applyBorder="1" applyAlignment="1" applyProtection="1">
      <alignment horizontal="center" vertical="center"/>
      <protection locked="0"/>
    </xf>
    <xf numFmtId="170" fontId="0" fillId="0" borderId="137" xfId="0" applyFill="1" applyBorder="1" applyAlignment="1" applyProtection="1">
      <alignment horizontal="center" vertical="center"/>
      <protection locked="0"/>
    </xf>
    <xf numFmtId="49" fontId="49" fillId="7" borderId="118" xfId="0" applyNumberFormat="1" applyFont="1" applyFill="1" applyBorder="1" applyAlignment="1" applyProtection="1">
      <alignment horizontal="center" vertical="center" wrapText="1"/>
      <protection locked="0"/>
    </xf>
    <xf numFmtId="49" fontId="49" fillId="7" borderId="119" xfId="0" applyNumberFormat="1" applyFont="1" applyFill="1" applyBorder="1" applyAlignment="1" applyProtection="1">
      <alignment horizontal="center" vertical="center" wrapText="1"/>
      <protection locked="0"/>
    </xf>
    <xf numFmtId="49" fontId="49" fillId="5" borderId="144" xfId="0" applyNumberFormat="1" applyFont="1" applyFill="1" applyBorder="1" applyAlignment="1" applyProtection="1">
      <alignment horizontal="left" vertical="center" wrapText="1"/>
      <protection locked="0"/>
    </xf>
    <xf numFmtId="49" fontId="49" fillId="5" borderId="111" xfId="0" applyNumberFormat="1" applyFont="1" applyFill="1" applyBorder="1" applyAlignment="1" applyProtection="1">
      <alignment horizontal="left" vertical="center" wrapText="1"/>
      <protection locked="0"/>
    </xf>
    <xf numFmtId="49" fontId="49" fillId="5" borderId="145" xfId="0" applyNumberFormat="1" applyFont="1" applyFill="1" applyBorder="1" applyAlignment="1" applyProtection="1">
      <alignment horizontal="left" vertical="center" wrapText="1"/>
      <protection locked="0"/>
    </xf>
    <xf numFmtId="49" fontId="49" fillId="5" borderId="74" xfId="0" applyNumberFormat="1" applyFont="1" applyFill="1" applyBorder="1" applyAlignment="1" applyProtection="1">
      <alignment horizontal="left" vertical="center" wrapText="1"/>
      <protection locked="0"/>
    </xf>
    <xf numFmtId="49" fontId="49" fillId="5" borderId="75" xfId="0" applyNumberFormat="1" applyFont="1" applyFill="1" applyBorder="1" applyAlignment="1" applyProtection="1">
      <alignment horizontal="left" vertical="center" wrapText="1"/>
      <protection locked="0"/>
    </xf>
    <xf numFmtId="49" fontId="49" fillId="5" borderId="79" xfId="0" applyNumberFormat="1" applyFont="1" applyFill="1" applyBorder="1" applyAlignment="1" applyProtection="1">
      <alignment horizontal="left" vertical="center" wrapText="1"/>
      <protection locked="0"/>
    </xf>
    <xf numFmtId="49" fontId="49" fillId="24" borderId="144" xfId="0" applyNumberFormat="1" applyFont="1" applyFill="1" applyBorder="1" applyAlignment="1" applyProtection="1">
      <alignment horizontal="left" vertical="center" wrapText="1"/>
      <protection locked="0"/>
    </xf>
    <xf numFmtId="49" fontId="49" fillId="24" borderId="111" xfId="0" applyNumberFormat="1" applyFont="1" applyFill="1" applyBorder="1" applyAlignment="1" applyProtection="1">
      <alignment horizontal="left" vertical="center" wrapText="1"/>
      <protection locked="0"/>
    </xf>
    <xf numFmtId="49" fontId="49" fillId="24" borderId="145" xfId="0" applyNumberFormat="1" applyFont="1" applyFill="1" applyBorder="1" applyAlignment="1" applyProtection="1">
      <alignment horizontal="left" vertical="center" wrapText="1"/>
      <protection locked="0"/>
    </xf>
    <xf numFmtId="49" fontId="49" fillId="24" borderId="74" xfId="0" applyNumberFormat="1" applyFont="1" applyFill="1" applyBorder="1" applyAlignment="1" applyProtection="1">
      <alignment horizontal="left" vertical="center" wrapText="1"/>
      <protection locked="0"/>
    </xf>
    <xf numFmtId="49" fontId="49" fillId="24" borderId="75" xfId="0" applyNumberFormat="1" applyFont="1" applyFill="1" applyBorder="1" applyAlignment="1" applyProtection="1">
      <alignment horizontal="left" vertical="center" wrapText="1"/>
      <protection locked="0"/>
    </xf>
    <xf numFmtId="49" fontId="49" fillId="24" borderId="79" xfId="0" applyNumberFormat="1" applyFont="1" applyFill="1" applyBorder="1" applyAlignment="1" applyProtection="1">
      <alignment horizontal="left" vertical="center" wrapText="1"/>
      <protection locked="0"/>
    </xf>
    <xf numFmtId="0" fontId="49" fillId="7" borderId="126" xfId="0" applyNumberFormat="1" applyFont="1" applyFill="1" applyBorder="1" applyAlignment="1" applyProtection="1">
      <alignment horizontal="center" vertical="center" wrapText="1"/>
      <protection locked="0"/>
    </xf>
    <xf numFmtId="170" fontId="49" fillId="5" borderId="31" xfId="0" applyNumberFormat="1" applyFont="1" applyFill="1" applyBorder="1" applyAlignment="1" applyProtection="1">
      <alignment horizontal="center" vertical="center" wrapText="1"/>
      <protection locked="0"/>
    </xf>
    <xf numFmtId="170" fontId="0" fillId="2" borderId="149" xfId="0" applyFill="1" applyBorder="1" applyAlignment="1" applyProtection="1">
      <alignment horizontal="center" vertical="center" textRotation="90"/>
    </xf>
    <xf numFmtId="49" fontId="49" fillId="13" borderId="144" xfId="0" applyNumberFormat="1" applyFont="1" applyFill="1" applyBorder="1" applyAlignment="1" applyProtection="1">
      <alignment horizontal="left" vertical="center" wrapText="1"/>
      <protection locked="0"/>
    </xf>
    <xf numFmtId="49" fontId="107" fillId="13" borderId="111" xfId="0" applyNumberFormat="1" applyFont="1" applyFill="1" applyBorder="1" applyAlignment="1" applyProtection="1">
      <alignment horizontal="left" vertical="center" wrapText="1"/>
      <protection locked="0"/>
    </xf>
    <xf numFmtId="49" fontId="107" fillId="13" borderId="145" xfId="0" applyNumberFormat="1" applyFont="1" applyFill="1" applyBorder="1" applyAlignment="1" applyProtection="1">
      <alignment horizontal="left" vertical="center" wrapText="1"/>
      <protection locked="0"/>
    </xf>
    <xf numFmtId="49" fontId="107" fillId="13" borderId="74" xfId="0" applyNumberFormat="1" applyFont="1" applyFill="1" applyBorder="1" applyAlignment="1" applyProtection="1">
      <alignment horizontal="left" vertical="center" wrapText="1"/>
      <protection locked="0"/>
    </xf>
    <xf numFmtId="49" fontId="107" fillId="13" borderId="75" xfId="0" applyNumberFormat="1" applyFont="1" applyFill="1" applyBorder="1" applyAlignment="1" applyProtection="1">
      <alignment horizontal="left" vertical="center" wrapText="1"/>
      <protection locked="0"/>
    </xf>
    <xf numFmtId="49" fontId="107" fillId="13" borderId="79" xfId="0" applyNumberFormat="1" applyFont="1" applyFill="1" applyBorder="1" applyAlignment="1" applyProtection="1">
      <alignment horizontal="left" vertical="center" wrapText="1"/>
      <protection locked="0"/>
    </xf>
    <xf numFmtId="0" fontId="107" fillId="13" borderId="89" xfId="0" applyNumberFormat="1" applyFont="1" applyFill="1" applyBorder="1" applyAlignment="1" applyProtection="1">
      <alignment horizontal="center" vertical="center" wrapText="1"/>
      <protection locked="0"/>
    </xf>
    <xf numFmtId="0" fontId="107" fillId="13" borderId="76" xfId="0" applyNumberFormat="1" applyFont="1" applyFill="1" applyBorder="1" applyAlignment="1" applyProtection="1">
      <alignment horizontal="center" vertical="center" wrapText="1"/>
      <protection locked="0"/>
    </xf>
    <xf numFmtId="49" fontId="0" fillId="0" borderId="29" xfId="0" applyNumberFormat="1" applyBorder="1" applyAlignment="1" applyProtection="1">
      <alignment horizontal="justify" wrapText="1"/>
      <protection locked="0"/>
    </xf>
    <xf numFmtId="49" fontId="0" fillId="0" borderId="30" xfId="0" applyNumberFormat="1" applyBorder="1" applyAlignment="1" applyProtection="1">
      <alignment horizontal="justify" wrapText="1"/>
      <protection locked="0"/>
    </xf>
    <xf numFmtId="49" fontId="0" fillId="0" borderId="31" xfId="0" applyNumberFormat="1" applyBorder="1" applyAlignment="1" applyProtection="1">
      <alignment horizontal="justify" wrapText="1"/>
      <protection locked="0"/>
    </xf>
    <xf numFmtId="170" fontId="121" fillId="0" borderId="88" xfId="0" applyFont="1" applyFill="1" applyBorder="1" applyAlignment="1" applyProtection="1">
      <alignment horizontal="right" wrapText="1"/>
    </xf>
    <xf numFmtId="170" fontId="121" fillId="0" borderId="138" xfId="0" applyFont="1" applyFill="1" applyBorder="1" applyAlignment="1" applyProtection="1">
      <alignment horizontal="right" wrapText="1"/>
    </xf>
    <xf numFmtId="171" fontId="103" fillId="0" borderId="2" xfId="20" applyNumberFormat="1" applyFont="1" applyFill="1" applyBorder="1" applyAlignment="1" applyProtection="1">
      <alignment horizontal="center"/>
      <protection locked="0"/>
    </xf>
    <xf numFmtId="171" fontId="111" fillId="0" borderId="2" xfId="20" applyNumberFormat="1" applyFill="1" applyBorder="1" applyAlignment="1" applyProtection="1">
      <alignment horizontal="center"/>
      <protection locked="0"/>
    </xf>
    <xf numFmtId="172" fontId="113" fillId="0" borderId="29" xfId="0" applyNumberFormat="1" applyFont="1" applyFill="1" applyBorder="1" applyAlignment="1" applyProtection="1">
      <alignment horizontal="center"/>
      <protection locked="0"/>
    </xf>
    <xf numFmtId="172" fontId="113" fillId="0" borderId="31" xfId="0" applyNumberFormat="1" applyFont="1" applyFill="1" applyBorder="1" applyAlignment="1" applyProtection="1">
      <alignment horizontal="center"/>
      <protection locked="0"/>
    </xf>
    <xf numFmtId="49" fontId="118" fillId="0" borderId="2" xfId="0" applyNumberFormat="1" applyFont="1" applyBorder="1" applyAlignment="1" applyProtection="1">
      <alignment horizontal="center"/>
      <protection locked="0"/>
    </xf>
    <xf numFmtId="49" fontId="0" fillId="0" borderId="30" xfId="0" applyNumberFormat="1" applyBorder="1" applyAlignment="1" applyProtection="1">
      <alignment horizontal="center"/>
      <protection locked="0"/>
    </xf>
    <xf numFmtId="170" fontId="91" fillId="0" borderId="0" xfId="0" applyFont="1" applyBorder="1" applyAlignment="1" applyProtection="1">
      <alignment horizontal="right"/>
    </xf>
    <xf numFmtId="49" fontId="7" fillId="0" borderId="15" xfId="0" applyNumberFormat="1" applyFont="1" applyBorder="1" applyAlignment="1" applyProtection="1">
      <alignment horizontal="center"/>
    </xf>
    <xf numFmtId="49" fontId="7" fillId="0" borderId="2" xfId="0" applyNumberFormat="1" applyFont="1" applyBorder="1" applyAlignment="1" applyProtection="1">
      <alignment horizontal="center"/>
    </xf>
    <xf numFmtId="49" fontId="49" fillId="7" borderId="31" xfId="0" applyNumberFormat="1" applyFont="1" applyFill="1" applyBorder="1" applyAlignment="1" applyProtection="1">
      <alignment horizontal="center" vertical="center" wrapText="1"/>
      <protection locked="0"/>
    </xf>
    <xf numFmtId="49" fontId="49" fillId="7" borderId="134" xfId="0" applyNumberFormat="1" applyFont="1" applyFill="1" applyBorder="1" applyAlignment="1" applyProtection="1">
      <alignment horizontal="center" vertical="center" wrapText="1"/>
      <protection locked="0"/>
    </xf>
    <xf numFmtId="0" fontId="107" fillId="5" borderId="76" xfId="0" applyNumberFormat="1" applyFont="1" applyFill="1" applyBorder="1" applyAlignment="1" applyProtection="1">
      <alignment horizontal="center" vertical="center" wrapText="1"/>
      <protection locked="0"/>
    </xf>
    <xf numFmtId="49" fontId="49" fillId="19" borderId="144" xfId="0" applyNumberFormat="1" applyFont="1" applyFill="1" applyBorder="1" applyAlignment="1" applyProtection="1">
      <alignment horizontal="left" vertical="center" wrapText="1"/>
      <protection locked="0"/>
    </xf>
    <xf numFmtId="49" fontId="107" fillId="19" borderId="111" xfId="0" applyNumberFormat="1" applyFont="1" applyFill="1" applyBorder="1" applyAlignment="1" applyProtection="1">
      <alignment horizontal="left" vertical="center" wrapText="1"/>
      <protection locked="0"/>
    </xf>
    <xf numFmtId="49" fontId="107" fillId="19" borderId="145" xfId="0" applyNumberFormat="1" applyFont="1" applyFill="1" applyBorder="1" applyAlignment="1" applyProtection="1">
      <alignment horizontal="left" vertical="center" wrapText="1"/>
      <protection locked="0"/>
    </xf>
    <xf numFmtId="49" fontId="107" fillId="19" borderId="74" xfId="0" applyNumberFormat="1" applyFont="1" applyFill="1" applyBorder="1" applyAlignment="1" applyProtection="1">
      <alignment horizontal="left" vertical="center" wrapText="1"/>
      <protection locked="0"/>
    </xf>
    <xf numFmtId="49" fontId="107" fillId="19" borderId="75" xfId="0" applyNumberFormat="1" applyFont="1" applyFill="1" applyBorder="1" applyAlignment="1" applyProtection="1">
      <alignment horizontal="left" vertical="center" wrapText="1"/>
      <protection locked="0"/>
    </xf>
    <xf numFmtId="49" fontId="107" fillId="19" borderId="79" xfId="0" applyNumberFormat="1" applyFont="1" applyFill="1" applyBorder="1" applyAlignment="1" applyProtection="1">
      <alignment horizontal="left" vertical="center" wrapText="1"/>
      <protection locked="0"/>
    </xf>
    <xf numFmtId="49" fontId="49" fillId="13" borderId="118" xfId="0" applyNumberFormat="1" applyFont="1" applyFill="1" applyBorder="1" applyAlignment="1" applyProtection="1">
      <alignment horizontal="center" vertical="center" wrapText="1"/>
      <protection locked="0"/>
    </xf>
    <xf numFmtId="49" fontId="49" fillId="13" borderId="119" xfId="0" applyNumberFormat="1" applyFont="1" applyFill="1" applyBorder="1" applyAlignment="1" applyProtection="1">
      <alignment horizontal="center" vertical="center" wrapText="1"/>
      <protection locked="0"/>
    </xf>
    <xf numFmtId="164" fontId="17" fillId="6" borderId="26" xfId="20" applyFont="1" applyFill="1" applyBorder="1" applyAlignment="1" applyProtection="1">
      <alignment horizontal="center"/>
    </xf>
    <xf numFmtId="164" fontId="1" fillId="0" borderId="26" xfId="20" applyFont="1" applyFill="1" applyBorder="1" applyAlignment="1" applyProtection="1">
      <alignment horizontal="right"/>
    </xf>
    <xf numFmtId="164" fontId="93" fillId="16" borderId="26" xfId="20" applyFont="1" applyFill="1" applyBorder="1" applyAlignment="1" applyProtection="1">
      <alignment horizontal="center"/>
    </xf>
    <xf numFmtId="164" fontId="1" fillId="0" borderId="26" xfId="20" applyFont="1" applyFill="1" applyBorder="1" applyAlignment="1" applyProtection="1">
      <alignment horizontal="right" wrapText="1"/>
    </xf>
    <xf numFmtId="171" fontId="17" fillId="6" borderId="26" xfId="20" applyNumberFormat="1" applyFont="1" applyFill="1" applyBorder="1" applyAlignment="1" applyProtection="1">
      <alignment horizontal="center"/>
    </xf>
    <xf numFmtId="171" fontId="0" fillId="0" borderId="26" xfId="0" applyNumberFormat="1" applyBorder="1" applyAlignment="1"/>
    <xf numFmtId="164" fontId="119" fillId="17" borderId="0" xfId="4" applyFont="1" applyFill="1" applyAlignment="1" applyProtection="1">
      <alignment horizontal="center" vertical="center"/>
    </xf>
    <xf numFmtId="164" fontId="26" fillId="6" borderId="0" xfId="15" applyFont="1" applyFill="1" applyAlignment="1" applyProtection="1">
      <alignment horizontal="center" vertical="center" wrapText="1"/>
    </xf>
    <xf numFmtId="173" fontId="17" fillId="6" borderId="26" xfId="20" applyNumberFormat="1" applyFont="1" applyFill="1" applyBorder="1" applyAlignment="1" applyProtection="1">
      <alignment horizontal="center" vertical="center"/>
    </xf>
    <xf numFmtId="164" fontId="1" fillId="0" borderId="26" xfId="20" applyFont="1" applyBorder="1" applyAlignment="1" applyProtection="1">
      <alignment horizontal="right"/>
    </xf>
    <xf numFmtId="164" fontId="13" fillId="0" borderId="0" xfId="15" applyFont="1" applyFill="1" applyAlignment="1" applyProtection="1">
      <alignment horizontal="right" vertical="center"/>
    </xf>
    <xf numFmtId="164" fontId="17" fillId="6" borderId="0" xfId="15" applyFont="1" applyFill="1" applyAlignment="1" applyProtection="1">
      <alignment horizontal="center" vertical="center" wrapText="1"/>
    </xf>
    <xf numFmtId="164" fontId="45" fillId="17" borderId="0" xfId="13" applyFont="1" applyFill="1" applyAlignment="1">
      <alignment horizontal="center" vertical="center"/>
    </xf>
    <xf numFmtId="164" fontId="8" fillId="16" borderId="0" xfId="20" applyFont="1" applyFill="1" applyBorder="1" applyAlignment="1" applyProtection="1">
      <alignment horizontal="center"/>
    </xf>
    <xf numFmtId="170" fontId="88" fillId="0" borderId="0" xfId="0" applyFont="1" applyAlignment="1">
      <alignment horizontal="center"/>
    </xf>
    <xf numFmtId="164" fontId="7" fillId="0" borderId="0" xfId="0" applyNumberFormat="1" applyFont="1" applyAlignment="1">
      <alignment horizontal="center"/>
    </xf>
    <xf numFmtId="164" fontId="21" fillId="0" borderId="0" xfId="0" applyNumberFormat="1" applyFont="1" applyAlignment="1">
      <alignment horizontal="right"/>
    </xf>
    <xf numFmtId="164" fontId="21" fillId="0" borderId="0" xfId="0" applyNumberFormat="1" applyFont="1" applyAlignment="1">
      <alignment horizontal="left"/>
    </xf>
    <xf numFmtId="15" fontId="21" fillId="0" borderId="0" xfId="0" applyNumberFormat="1" applyFont="1" applyAlignment="1">
      <alignment horizontal="right"/>
    </xf>
    <xf numFmtId="164" fontId="28" fillId="0" borderId="0" xfId="0" applyNumberFormat="1" applyFont="1" applyAlignment="1">
      <alignment wrapText="1"/>
    </xf>
    <xf numFmtId="170" fontId="0" fillId="0" borderId="0" xfId="0" applyAlignment="1">
      <alignment wrapText="1"/>
    </xf>
    <xf numFmtId="170" fontId="7" fillId="0" borderId="0" xfId="0" applyFont="1" applyBorder="1" applyAlignment="1">
      <alignment horizontal="center"/>
    </xf>
    <xf numFmtId="164" fontId="28" fillId="0" borderId="0" xfId="0" applyNumberFormat="1" applyFont="1" applyFill="1" applyAlignment="1">
      <alignment wrapText="1"/>
    </xf>
    <xf numFmtId="170" fontId="0" fillId="0" borderId="0" xfId="0" applyFill="1" applyAlignment="1">
      <alignment wrapText="1"/>
    </xf>
    <xf numFmtId="170" fontId="63" fillId="0" borderId="0" xfId="0" applyFont="1" applyAlignment="1">
      <alignment horizontal="left" wrapText="1"/>
    </xf>
    <xf numFmtId="170" fontId="0" fillId="0" borderId="135" xfId="0" applyFill="1" applyBorder="1" applyAlignment="1" applyProtection="1">
      <alignment horizontal="center" vertical="center"/>
    </xf>
    <xf numFmtId="170" fontId="0" fillId="0" borderId="136" xfId="0" applyFill="1" applyBorder="1" applyAlignment="1" applyProtection="1">
      <alignment horizontal="center" vertical="center"/>
    </xf>
    <xf numFmtId="170" fontId="0" fillId="0" borderId="137" xfId="0" applyFill="1" applyBorder="1" applyAlignment="1" applyProtection="1">
      <alignment horizontal="center" vertical="center"/>
    </xf>
    <xf numFmtId="164" fontId="120" fillId="17" borderId="0" xfId="4" applyFont="1" applyFill="1" applyAlignment="1" applyProtection="1">
      <alignment horizontal="center" vertical="center"/>
    </xf>
    <xf numFmtId="164" fontId="7" fillId="0" borderId="0" xfId="0" applyNumberFormat="1" applyFont="1" applyAlignment="1" applyProtection="1">
      <alignment horizontal="center" wrapText="1"/>
    </xf>
    <xf numFmtId="164" fontId="21" fillId="0" borderId="0" xfId="0" applyNumberFormat="1" applyFont="1" applyAlignment="1" applyProtection="1">
      <alignment horizontal="right"/>
    </xf>
    <xf numFmtId="15" fontId="21" fillId="0" borderId="0" xfId="0" applyNumberFormat="1" applyFont="1" applyAlignment="1" applyProtection="1">
      <alignment horizontal="right"/>
    </xf>
    <xf numFmtId="164" fontId="7" fillId="0" borderId="0" xfId="0" applyNumberFormat="1" applyFont="1" applyAlignment="1" applyProtection="1">
      <alignment horizontal="center"/>
    </xf>
    <xf numFmtId="164" fontId="21" fillId="0" borderId="0" xfId="0" applyNumberFormat="1" applyFont="1" applyAlignment="1" applyProtection="1">
      <alignment horizontal="left"/>
    </xf>
    <xf numFmtId="170" fontId="0" fillId="0" borderId="152" xfId="0" applyBorder="1" applyAlignment="1" applyProtection="1">
      <alignment horizontal="center"/>
    </xf>
    <xf numFmtId="170" fontId="0" fillId="0" borderId="44" xfId="0" applyBorder="1" applyAlignment="1" applyProtection="1">
      <alignment horizontal="center"/>
    </xf>
    <xf numFmtId="170" fontId="94" fillId="0" borderId="153" xfId="0" applyFont="1" applyFill="1" applyBorder="1" applyAlignment="1" applyProtection="1">
      <alignment horizontal="left" wrapText="1"/>
    </xf>
    <xf numFmtId="170" fontId="94" fillId="0" borderId="154" xfId="0" applyFont="1" applyFill="1" applyBorder="1" applyAlignment="1" applyProtection="1">
      <alignment horizontal="left" wrapText="1"/>
    </xf>
    <xf numFmtId="164" fontId="30" fillId="0" borderId="0" xfId="0" applyNumberFormat="1" applyFont="1" applyAlignment="1" applyProtection="1">
      <alignment wrapText="1"/>
    </xf>
    <xf numFmtId="170" fontId="88" fillId="0" borderId="0" xfId="0" applyFont="1" applyAlignment="1" applyProtection="1">
      <alignment horizontal="center"/>
    </xf>
    <xf numFmtId="170" fontId="94" fillId="0" borderId="155" xfId="0" applyFont="1" applyFill="1" applyBorder="1" applyAlignment="1" applyProtection="1">
      <alignment horizontal="left" wrapText="1"/>
    </xf>
    <xf numFmtId="170" fontId="94" fillId="0" borderId="70" xfId="0" applyFont="1" applyFill="1" applyBorder="1" applyAlignment="1" applyProtection="1">
      <alignment horizontal="left" wrapText="1"/>
    </xf>
    <xf numFmtId="164" fontId="30" fillId="0" borderId="0" xfId="0" applyNumberFormat="1" applyFont="1" applyBorder="1" applyAlignment="1" applyProtection="1">
      <alignment wrapText="1"/>
    </xf>
    <xf numFmtId="164" fontId="87" fillId="0" borderId="120" xfId="0" applyNumberFormat="1" applyFont="1" applyBorder="1" applyAlignment="1" applyProtection="1">
      <alignment horizontal="center" vertical="center" wrapText="1"/>
    </xf>
    <xf numFmtId="164" fontId="87" fillId="0" borderId="121" xfId="0" applyNumberFormat="1" applyFont="1" applyBorder="1" applyAlignment="1" applyProtection="1">
      <alignment horizontal="center" vertical="center" wrapText="1"/>
    </xf>
    <xf numFmtId="164" fontId="87" fillId="0" borderId="122" xfId="0" applyNumberFormat="1" applyFont="1" applyBorder="1" applyAlignment="1" applyProtection="1">
      <alignment horizontal="center" vertical="center" wrapText="1"/>
    </xf>
    <xf numFmtId="164" fontId="45" fillId="17" borderId="0" xfId="13" applyFont="1" applyFill="1" applyAlignment="1" applyProtection="1">
      <alignment horizontal="center" vertical="center"/>
    </xf>
    <xf numFmtId="174" fontId="27" fillId="0" borderId="111" xfId="0" applyNumberFormat="1" applyFont="1" applyBorder="1" applyAlignment="1" applyProtection="1">
      <alignment horizontal="left" vertical="center" wrapText="1"/>
    </xf>
    <xf numFmtId="164" fontId="88" fillId="0" borderId="0" xfId="0" applyNumberFormat="1" applyFont="1" applyAlignment="1" applyProtection="1">
      <alignment horizontal="center"/>
    </xf>
    <xf numFmtId="164" fontId="26" fillId="0" borderId="0" xfId="0" applyNumberFormat="1" applyFont="1" applyAlignment="1" applyProtection="1">
      <alignment horizontal="center"/>
    </xf>
    <xf numFmtId="164" fontId="8" fillId="16" borderId="0" xfId="21" applyFont="1" applyFill="1" applyBorder="1" applyAlignment="1" applyProtection="1">
      <alignment horizontal="center"/>
    </xf>
    <xf numFmtId="176" fontId="21" fillId="0" borderId="29" xfId="19" applyNumberFormat="1" applyFont="1" applyBorder="1" applyAlignment="1" applyProtection="1">
      <alignment horizontal="center" vertical="center" wrapText="1"/>
    </xf>
    <xf numFmtId="176" fontId="21" fillId="0" borderId="30" xfId="19" applyNumberFormat="1" applyFont="1" applyBorder="1" applyAlignment="1" applyProtection="1">
      <alignment horizontal="center" vertical="center" wrapText="1"/>
    </xf>
    <xf numFmtId="176" fontId="21" fillId="0" borderId="31" xfId="19" applyNumberFormat="1" applyFont="1" applyBorder="1" applyAlignment="1" applyProtection="1">
      <alignment horizontal="center" vertical="center" wrapText="1"/>
    </xf>
    <xf numFmtId="170" fontId="27" fillId="0" borderId="29" xfId="0" applyFont="1" applyBorder="1" applyAlignment="1" applyProtection="1">
      <alignment horizontal="center" vertical="center"/>
    </xf>
    <xf numFmtId="170" fontId="27" fillId="0" borderId="30" xfId="0" applyFont="1" applyBorder="1" applyAlignment="1" applyProtection="1">
      <alignment horizontal="center" vertical="center"/>
    </xf>
    <xf numFmtId="170" fontId="27" fillId="0" borderId="31" xfId="0" applyFont="1" applyBorder="1" applyAlignment="1" applyProtection="1">
      <alignment horizontal="center" vertical="center"/>
    </xf>
    <xf numFmtId="9" fontId="30" fillId="18" borderId="29" xfId="19" applyFont="1" applyFill="1" applyBorder="1" applyAlignment="1" applyProtection="1">
      <alignment horizontal="center" vertical="center" wrapText="1"/>
    </xf>
    <xf numFmtId="9" fontId="30" fillId="18" borderId="31" xfId="19" applyFont="1" applyFill="1" applyBorder="1" applyAlignment="1" applyProtection="1">
      <alignment horizontal="center" vertical="center" wrapText="1"/>
    </xf>
    <xf numFmtId="9" fontId="30" fillId="21" borderId="29" xfId="19" applyFont="1" applyFill="1" applyBorder="1" applyAlignment="1" applyProtection="1">
      <alignment horizontal="center" vertical="center" wrapText="1"/>
    </xf>
    <xf numFmtId="9" fontId="30" fillId="21" borderId="31" xfId="19" applyFont="1" applyFill="1" applyBorder="1" applyAlignment="1" applyProtection="1">
      <alignment horizontal="center" vertical="center" wrapText="1"/>
    </xf>
    <xf numFmtId="170" fontId="26" fillId="0" borderId="75" xfId="0" applyFont="1" applyBorder="1" applyAlignment="1" applyProtection="1">
      <alignment horizontal="center"/>
    </xf>
    <xf numFmtId="170" fontId="27" fillId="0" borderId="2" xfId="0" applyFont="1" applyBorder="1" applyAlignment="1" applyProtection="1">
      <alignment horizontal="center" vertical="center" wrapText="1"/>
    </xf>
    <xf numFmtId="170" fontId="21" fillId="0" borderId="2" xfId="0" applyFont="1" applyBorder="1" applyAlignment="1" applyProtection="1">
      <alignment horizontal="justify" vertical="center" wrapText="1"/>
    </xf>
    <xf numFmtId="170" fontId="27" fillId="3" borderId="0" xfId="0" applyFont="1" applyFill="1" applyAlignment="1" applyProtection="1">
      <alignment horizontal="center" vertical="center" wrapText="1"/>
    </xf>
    <xf numFmtId="170" fontId="27" fillId="3" borderId="0" xfId="0" applyFont="1" applyFill="1" applyAlignment="1" applyProtection="1">
      <alignment horizontal="left"/>
      <protection locked="0"/>
    </xf>
    <xf numFmtId="170" fontId="27" fillId="3" borderId="27" xfId="0" applyFont="1" applyFill="1" applyBorder="1" applyAlignment="1" applyProtection="1">
      <alignment horizontal="left"/>
      <protection locked="0"/>
    </xf>
    <xf numFmtId="170" fontId="27" fillId="3" borderId="156" xfId="0" applyFont="1" applyFill="1" applyBorder="1" applyAlignment="1" applyProtection="1">
      <alignment horizontal="left"/>
      <protection locked="0"/>
    </xf>
    <xf numFmtId="170" fontId="27" fillId="3" borderId="0" xfId="0" applyFont="1" applyFill="1" applyBorder="1" applyAlignment="1" applyProtection="1">
      <alignment horizontal="left"/>
      <protection locked="0"/>
    </xf>
    <xf numFmtId="9" fontId="21" fillId="0" borderId="29" xfId="19" applyFont="1" applyBorder="1" applyAlignment="1" applyProtection="1">
      <alignment horizontal="center" vertical="center" wrapText="1"/>
    </xf>
    <xf numFmtId="9" fontId="21" fillId="0" borderId="30" xfId="19" applyFont="1" applyBorder="1" applyAlignment="1" applyProtection="1">
      <alignment horizontal="center" vertical="center" wrapText="1"/>
    </xf>
    <xf numFmtId="9" fontId="21" fillId="0" borderId="31" xfId="19" applyFont="1" applyBorder="1" applyAlignment="1" applyProtection="1">
      <alignment horizontal="center" vertical="center" wrapText="1"/>
    </xf>
    <xf numFmtId="170" fontId="27" fillId="3" borderId="111" xfId="0" applyFont="1" applyFill="1" applyBorder="1" applyAlignment="1" applyProtection="1">
      <alignment horizontal="left"/>
    </xf>
    <xf numFmtId="170" fontId="27" fillId="3" borderId="111" xfId="0" applyFont="1" applyFill="1" applyBorder="1" applyAlignment="1" applyProtection="1">
      <alignment horizontal="left" vertical="center" wrapText="1"/>
    </xf>
    <xf numFmtId="170" fontId="21" fillId="0" borderId="29" xfId="0" applyFont="1" applyBorder="1" applyAlignment="1" applyProtection="1">
      <alignment horizontal="justify" vertical="center" wrapText="1"/>
    </xf>
    <xf numFmtId="170" fontId="21" fillId="0" borderId="30" xfId="0" applyFont="1" applyBorder="1" applyAlignment="1" applyProtection="1">
      <alignment horizontal="justify" vertical="center" wrapText="1"/>
    </xf>
    <xf numFmtId="170" fontId="21" fillId="0" borderId="31" xfId="0" applyFont="1" applyBorder="1" applyAlignment="1" applyProtection="1">
      <alignment horizontal="justify" vertical="center" wrapText="1"/>
    </xf>
    <xf numFmtId="170" fontId="27" fillId="0" borderId="2" xfId="0" applyFont="1" applyBorder="1" applyAlignment="1" applyProtection="1">
      <alignment vertical="center" wrapText="1"/>
    </xf>
    <xf numFmtId="170" fontId="27" fillId="0" borderId="111" xfId="0" applyFont="1" applyBorder="1" applyAlignment="1" applyProtection="1">
      <alignment horizontal="left" vertical="center" wrapText="1"/>
    </xf>
    <xf numFmtId="164" fontId="21" fillId="0" borderId="0" xfId="0" applyNumberFormat="1" applyFont="1" applyAlignment="1" applyProtection="1">
      <alignment horizontal="right" wrapText="1"/>
    </xf>
    <xf numFmtId="170" fontId="44" fillId="9" borderId="164" xfId="0" applyFont="1" applyFill="1" applyBorder="1" applyAlignment="1" applyProtection="1">
      <alignment horizontal="center" vertical="center"/>
    </xf>
    <xf numFmtId="170" fontId="44" fillId="9" borderId="165" xfId="0" applyFont="1" applyFill="1" applyBorder="1" applyAlignment="1" applyProtection="1">
      <alignment horizontal="center" vertical="center"/>
    </xf>
    <xf numFmtId="170" fontId="44" fillId="9" borderId="166" xfId="0" applyFont="1" applyFill="1" applyBorder="1" applyAlignment="1" applyProtection="1">
      <alignment horizontal="center" vertical="center"/>
    </xf>
    <xf numFmtId="170" fontId="2" fillId="6" borderId="167" xfId="0" applyFont="1" applyFill="1" applyBorder="1" applyAlignment="1" applyProtection="1">
      <alignment horizontal="center" vertical="center" wrapText="1"/>
      <protection locked="0"/>
    </xf>
    <xf numFmtId="170" fontId="2" fillId="6" borderId="168" xfId="0" applyFont="1" applyFill="1" applyBorder="1" applyAlignment="1" applyProtection="1">
      <alignment horizontal="center" vertical="center" wrapText="1"/>
      <protection locked="0"/>
    </xf>
    <xf numFmtId="170" fontId="2" fillId="6" borderId="169" xfId="0" applyFont="1" applyFill="1" applyBorder="1" applyAlignment="1" applyProtection="1">
      <alignment horizontal="center" vertical="center" wrapText="1"/>
      <protection locked="0"/>
    </xf>
    <xf numFmtId="170" fontId="2" fillId="6" borderId="170" xfId="0" applyFont="1" applyFill="1" applyBorder="1" applyAlignment="1" applyProtection="1">
      <alignment horizontal="center" vertical="center" wrapText="1"/>
      <protection locked="0"/>
    </xf>
    <xf numFmtId="170" fontId="2" fillId="6" borderId="171" xfId="0" applyFont="1" applyFill="1" applyBorder="1" applyAlignment="1" applyProtection="1">
      <alignment horizontal="center" vertical="center" wrapText="1"/>
      <protection locked="0"/>
    </xf>
    <xf numFmtId="170" fontId="2" fillId="6" borderId="172" xfId="0" applyFont="1" applyFill="1" applyBorder="1" applyAlignment="1" applyProtection="1">
      <alignment horizontal="center" vertical="center" wrapText="1"/>
      <protection locked="0"/>
    </xf>
    <xf numFmtId="170" fontId="2" fillId="6" borderId="173" xfId="0" applyFont="1" applyFill="1" applyBorder="1" applyAlignment="1" applyProtection="1">
      <alignment horizontal="center" vertical="center" wrapText="1"/>
      <protection locked="0"/>
    </xf>
    <xf numFmtId="170" fontId="2" fillId="6" borderId="174" xfId="0" applyFont="1" applyFill="1" applyBorder="1" applyAlignment="1" applyProtection="1">
      <alignment horizontal="center" vertical="center" wrapText="1"/>
      <protection locked="0"/>
    </xf>
    <xf numFmtId="170" fontId="2" fillId="6" borderId="175" xfId="0" applyFont="1" applyFill="1" applyBorder="1" applyAlignment="1" applyProtection="1">
      <alignment horizontal="center" vertical="center" wrapText="1"/>
      <protection locked="0"/>
    </xf>
    <xf numFmtId="170" fontId="57" fillId="0" borderId="176" xfId="0" applyFont="1" applyFill="1" applyBorder="1" applyAlignment="1" applyProtection="1">
      <alignment horizontal="center"/>
    </xf>
    <xf numFmtId="170" fontId="57" fillId="0" borderId="0" xfId="0" applyFont="1" applyFill="1" applyBorder="1" applyAlignment="1" applyProtection="1">
      <alignment horizontal="center"/>
    </xf>
    <xf numFmtId="49" fontId="2" fillId="9" borderId="180" xfId="0" applyNumberFormat="1" applyFont="1" applyFill="1" applyBorder="1" applyAlignment="1" applyProtection="1">
      <alignment horizontal="center" vertical="center"/>
      <protection locked="0"/>
    </xf>
    <xf numFmtId="49" fontId="2" fillId="9" borderId="181" xfId="0" applyNumberFormat="1" applyFont="1" applyFill="1" applyBorder="1" applyAlignment="1" applyProtection="1">
      <alignment horizontal="center" vertical="center"/>
      <protection locked="0"/>
    </xf>
    <xf numFmtId="49" fontId="2" fillId="9" borderId="182" xfId="0" applyNumberFormat="1" applyFont="1" applyFill="1" applyBorder="1" applyAlignment="1" applyProtection="1">
      <alignment horizontal="center" vertical="center"/>
      <protection locked="0"/>
    </xf>
    <xf numFmtId="170" fontId="101" fillId="6" borderId="184" xfId="0" applyFont="1" applyFill="1" applyBorder="1" applyAlignment="1" applyProtection="1">
      <alignment horizontal="center" vertical="center"/>
    </xf>
    <xf numFmtId="170" fontId="101" fillId="6" borderId="185" xfId="0" applyFont="1" applyFill="1" applyBorder="1" applyAlignment="1" applyProtection="1">
      <alignment horizontal="center" vertical="center"/>
    </xf>
    <xf numFmtId="170" fontId="58" fillId="2" borderId="4" xfId="0" applyFont="1" applyFill="1" applyBorder="1" applyAlignment="1" applyProtection="1">
      <alignment horizontal="center" vertical="center"/>
    </xf>
    <xf numFmtId="170" fontId="88" fillId="0" borderId="0" xfId="0" applyFont="1" applyBorder="1" applyAlignment="1" applyProtection="1">
      <alignment horizontal="center"/>
    </xf>
    <xf numFmtId="49" fontId="2" fillId="9" borderId="189" xfId="0" applyNumberFormat="1" applyFont="1" applyFill="1" applyBorder="1" applyAlignment="1" applyProtection="1">
      <alignment horizontal="center" vertical="center"/>
      <protection locked="0"/>
    </xf>
    <xf numFmtId="49" fontId="2" fillId="9" borderId="6" xfId="0" applyNumberFormat="1" applyFont="1" applyFill="1" applyBorder="1" applyAlignment="1" applyProtection="1">
      <alignment horizontal="center" vertical="center"/>
      <protection locked="0"/>
    </xf>
    <xf numFmtId="49" fontId="2" fillId="9" borderId="190" xfId="0" applyNumberFormat="1" applyFont="1" applyFill="1" applyBorder="1" applyAlignment="1" applyProtection="1">
      <alignment horizontal="center" vertical="center"/>
      <protection locked="0"/>
    </xf>
    <xf numFmtId="170" fontId="101" fillId="6" borderId="186" xfId="0" applyFont="1" applyFill="1" applyBorder="1" applyAlignment="1" applyProtection="1">
      <alignment horizontal="center" vertical="center"/>
    </xf>
    <xf numFmtId="170" fontId="101" fillId="6" borderId="187" xfId="0" applyFont="1" applyFill="1" applyBorder="1" applyAlignment="1" applyProtection="1">
      <alignment horizontal="center" vertical="center"/>
    </xf>
    <xf numFmtId="170" fontId="101" fillId="6" borderId="188" xfId="0" applyFont="1" applyFill="1" applyBorder="1" applyAlignment="1" applyProtection="1">
      <alignment horizontal="center" vertical="center"/>
    </xf>
    <xf numFmtId="9" fontId="2" fillId="0" borderId="193" xfId="19" applyNumberFormat="1" applyFont="1" applyFill="1" applyBorder="1" applyAlignment="1" applyProtection="1">
      <alignment horizontal="justify" vertical="center" wrapText="1"/>
    </xf>
    <xf numFmtId="170" fontId="2" fillId="0" borderId="178" xfId="19" applyNumberFormat="1" applyFont="1" applyFill="1" applyBorder="1" applyAlignment="1" applyProtection="1">
      <alignment horizontal="justify" vertical="center" wrapText="1"/>
    </xf>
    <xf numFmtId="170" fontId="2" fillId="0" borderId="194" xfId="19" applyNumberFormat="1" applyFont="1" applyFill="1" applyBorder="1" applyAlignment="1" applyProtection="1">
      <alignment horizontal="justify" vertical="center" wrapText="1"/>
    </xf>
    <xf numFmtId="170" fontId="44" fillId="5" borderId="195" xfId="0" applyFont="1" applyFill="1" applyBorder="1" applyAlignment="1" applyProtection="1">
      <alignment horizontal="center" vertical="center"/>
    </xf>
    <xf numFmtId="170" fontId="44" fillId="5" borderId="196" xfId="0" applyFont="1" applyFill="1" applyBorder="1" applyAlignment="1" applyProtection="1">
      <alignment horizontal="center" vertical="center"/>
    </xf>
    <xf numFmtId="170" fontId="44" fillId="5" borderId="197" xfId="0" applyFont="1" applyFill="1" applyBorder="1" applyAlignment="1" applyProtection="1">
      <alignment horizontal="center" vertical="center"/>
    </xf>
    <xf numFmtId="170" fontId="2" fillId="5" borderId="159" xfId="0" applyFont="1" applyFill="1" applyBorder="1" applyAlignment="1" applyProtection="1">
      <alignment horizontal="justify" vertical="top" wrapText="1"/>
      <protection locked="0"/>
    </xf>
    <xf numFmtId="170" fontId="2" fillId="5" borderId="236" xfId="0" applyFont="1" applyFill="1" applyBorder="1" applyAlignment="1" applyProtection="1">
      <alignment horizontal="justify" vertical="top" wrapText="1"/>
      <protection locked="0"/>
    </xf>
    <xf numFmtId="170" fontId="76" fillId="4" borderId="110" xfId="0" applyFont="1" applyFill="1" applyBorder="1" applyAlignment="1">
      <alignment horizontal="center" vertical="center" textRotation="90"/>
    </xf>
    <xf numFmtId="170" fontId="0" fillId="4" borderId="68" xfId="0" applyFill="1" applyBorder="1" applyAlignment="1">
      <alignment horizontal="center" vertical="center" textRotation="90"/>
    </xf>
    <xf numFmtId="170" fontId="0" fillId="4" borderId="78" xfId="0" applyFill="1" applyBorder="1" applyAlignment="1">
      <alignment horizontal="center" vertical="center" textRotation="90"/>
    </xf>
    <xf numFmtId="170" fontId="14" fillId="0" borderId="221" xfId="0" applyFont="1" applyFill="1" applyBorder="1" applyAlignment="1" applyProtection="1">
      <alignment horizontal="left"/>
      <protection locked="0"/>
    </xf>
    <xf numFmtId="170" fontId="14" fillId="0" borderId="178" xfId="0" applyFont="1" applyFill="1" applyBorder="1" applyAlignment="1" applyProtection="1">
      <alignment horizontal="left"/>
      <protection locked="0"/>
    </xf>
    <xf numFmtId="170" fontId="14" fillId="0" borderId="210" xfId="0" applyFont="1" applyFill="1" applyBorder="1" applyAlignment="1" applyProtection="1">
      <alignment horizontal="left"/>
      <protection locked="0"/>
    </xf>
    <xf numFmtId="170" fontId="14" fillId="0" borderId="222" xfId="0" applyFont="1" applyFill="1" applyBorder="1" applyAlignment="1" applyProtection="1">
      <alignment horizontal="left"/>
      <protection locked="0"/>
    </xf>
    <xf numFmtId="170" fontId="14" fillId="0" borderId="211" xfId="0" applyFont="1" applyFill="1" applyBorder="1" applyAlignment="1" applyProtection="1">
      <alignment horizontal="left"/>
      <protection locked="0"/>
    </xf>
    <xf numFmtId="170" fontId="14" fillId="0" borderId="212" xfId="0" applyFont="1" applyFill="1" applyBorder="1" applyAlignment="1" applyProtection="1">
      <alignment horizontal="left"/>
      <protection locked="0"/>
    </xf>
    <xf numFmtId="170" fontId="14" fillId="0" borderId="207" xfId="0" applyFont="1" applyBorder="1" applyAlignment="1" applyProtection="1">
      <alignment horizontal="left"/>
      <protection locked="0"/>
    </xf>
    <xf numFmtId="170" fontId="14" fillId="0" borderId="201" xfId="0" applyFont="1" applyBorder="1" applyAlignment="1" applyProtection="1">
      <alignment horizontal="left"/>
      <protection locked="0"/>
    </xf>
    <xf numFmtId="170" fontId="14" fillId="0" borderId="208" xfId="0" applyFont="1" applyBorder="1" applyAlignment="1" applyProtection="1">
      <alignment horizontal="left"/>
      <protection locked="0"/>
    </xf>
    <xf numFmtId="170" fontId="14" fillId="0" borderId="209" xfId="0" applyFont="1" applyBorder="1" applyAlignment="1" applyProtection="1">
      <alignment horizontal="left"/>
      <protection locked="0"/>
    </xf>
    <xf numFmtId="170" fontId="14" fillId="0" borderId="213" xfId="0" applyFont="1" applyFill="1" applyBorder="1" applyAlignment="1" applyProtection="1">
      <alignment horizontal="left" vertical="top" wrapText="1"/>
      <protection locked="0"/>
    </xf>
    <xf numFmtId="170" fontId="14" fillId="0" borderId="214" xfId="0" applyFont="1" applyFill="1" applyBorder="1" applyAlignment="1" applyProtection="1">
      <alignment horizontal="left" vertical="top" wrapText="1"/>
      <protection locked="0"/>
    </xf>
    <xf numFmtId="170" fontId="14" fillId="0" borderId="215" xfId="0" applyFont="1" applyFill="1" applyBorder="1" applyAlignment="1" applyProtection="1">
      <alignment horizontal="left" vertical="top" wrapText="1"/>
      <protection locked="0"/>
    </xf>
    <xf numFmtId="170" fontId="14" fillId="0" borderId="216" xfId="0" applyFont="1" applyFill="1" applyBorder="1" applyAlignment="1" applyProtection="1">
      <alignment horizontal="left" vertical="top" wrapText="1"/>
      <protection locked="0"/>
    </xf>
    <xf numFmtId="170" fontId="14" fillId="0" borderId="181" xfId="0" applyFont="1" applyFill="1" applyBorder="1" applyAlignment="1" applyProtection="1">
      <alignment horizontal="left" vertical="top" wrapText="1"/>
      <protection locked="0"/>
    </xf>
    <xf numFmtId="170" fontId="14" fillId="0" borderId="217" xfId="0" applyFont="1" applyFill="1" applyBorder="1" applyAlignment="1" applyProtection="1">
      <alignment horizontal="left" vertical="top" wrapText="1"/>
      <protection locked="0"/>
    </xf>
    <xf numFmtId="170" fontId="14" fillId="0" borderId="22" xfId="0" applyFont="1" applyBorder="1" applyAlignment="1" applyProtection="1">
      <alignment horizontal="left"/>
      <protection locked="0"/>
    </xf>
    <xf numFmtId="170" fontId="14" fillId="0" borderId="201" xfId="0" applyFont="1" applyFill="1" applyBorder="1" applyAlignment="1" applyProtection="1">
      <alignment horizontal="left"/>
      <protection locked="0"/>
    </xf>
    <xf numFmtId="170" fontId="14" fillId="0" borderId="202" xfId="0" applyFont="1" applyFill="1" applyBorder="1" applyAlignment="1" applyProtection="1">
      <alignment horizontal="left"/>
      <protection locked="0"/>
    </xf>
    <xf numFmtId="170" fontId="14" fillId="0" borderId="223" xfId="0" applyFont="1" applyFill="1" applyBorder="1" applyAlignment="1" applyProtection="1">
      <alignment horizontal="left" vertical="top" wrapText="1"/>
      <protection locked="0"/>
    </xf>
    <xf numFmtId="170" fontId="14" fillId="0" borderId="224" xfId="0" applyFont="1" applyFill="1" applyBorder="1" applyAlignment="1" applyProtection="1">
      <alignment horizontal="left" vertical="top" wrapText="1"/>
      <protection locked="0"/>
    </xf>
    <xf numFmtId="170" fontId="14" fillId="0" borderId="225" xfId="0" applyFont="1" applyFill="1" applyBorder="1" applyAlignment="1" applyProtection="1">
      <alignment horizontal="left" vertical="top" wrapText="1"/>
      <protection locked="0"/>
    </xf>
    <xf numFmtId="170" fontId="14" fillId="0" borderId="226" xfId="0" applyFont="1" applyFill="1" applyBorder="1" applyAlignment="1" applyProtection="1">
      <alignment horizontal="left" vertical="top" wrapText="1"/>
      <protection locked="0"/>
    </xf>
    <xf numFmtId="170" fontId="14" fillId="0" borderId="209" xfId="0" applyFont="1" applyFill="1" applyBorder="1" applyAlignment="1" applyProtection="1">
      <alignment horizontal="left"/>
      <protection locked="0"/>
    </xf>
    <xf numFmtId="170" fontId="14" fillId="0" borderId="219" xfId="0" applyFont="1" applyFill="1" applyBorder="1" applyAlignment="1" applyProtection="1">
      <alignment horizontal="left"/>
      <protection locked="0"/>
    </xf>
    <xf numFmtId="170" fontId="14" fillId="0" borderId="202" xfId="0" applyFont="1" applyBorder="1" applyAlignment="1" applyProtection="1">
      <alignment horizontal="left"/>
      <protection locked="0"/>
    </xf>
    <xf numFmtId="170" fontId="14" fillId="0" borderId="219" xfId="0" applyFont="1" applyBorder="1" applyAlignment="1" applyProtection="1">
      <alignment horizontal="left"/>
      <protection locked="0"/>
    </xf>
    <xf numFmtId="170" fontId="56" fillId="4" borderId="5" xfId="18" applyNumberFormat="1" applyFont="1" applyFill="1" applyBorder="1" applyAlignment="1">
      <alignment horizontal="center" vertical="center" wrapText="1"/>
    </xf>
    <xf numFmtId="170" fontId="56" fillId="4" borderId="230" xfId="18" applyNumberFormat="1" applyFont="1" applyFill="1" applyBorder="1" applyAlignment="1">
      <alignment horizontal="center" vertical="center" wrapText="1"/>
    </xf>
    <xf numFmtId="170" fontId="14" fillId="0" borderId="203" xfId="0" applyFont="1" applyBorder="1" applyAlignment="1" applyProtection="1">
      <alignment horizontal="left"/>
      <protection locked="0"/>
    </xf>
    <xf numFmtId="170" fontId="14" fillId="0" borderId="22" xfId="0" applyFont="1" applyFill="1" applyBorder="1" applyAlignment="1" applyProtection="1">
      <alignment horizontal="left"/>
      <protection locked="0"/>
    </xf>
    <xf numFmtId="170" fontId="14" fillId="0" borderId="227" xfId="0" applyFont="1" applyFill="1" applyBorder="1" applyAlignment="1" applyProtection="1">
      <alignment horizontal="justify" vertical="center" wrapText="1"/>
      <protection locked="0"/>
    </xf>
    <xf numFmtId="170" fontId="14" fillId="0" borderId="224" xfId="0" applyFont="1" applyFill="1" applyBorder="1" applyAlignment="1" applyProtection="1">
      <alignment horizontal="justify" vertical="center" wrapText="1"/>
      <protection locked="0"/>
    </xf>
    <xf numFmtId="170" fontId="14" fillId="0" borderId="228" xfId="0" applyFont="1" applyFill="1" applyBorder="1" applyAlignment="1" applyProtection="1">
      <alignment horizontal="justify" vertical="center" wrapText="1"/>
      <protection locked="0"/>
    </xf>
    <xf numFmtId="170" fontId="14" fillId="0" borderId="229" xfId="0" applyFont="1" applyFill="1" applyBorder="1" applyAlignment="1" applyProtection="1">
      <alignment horizontal="justify" vertical="center" wrapText="1"/>
      <protection locked="0"/>
    </xf>
    <xf numFmtId="170" fontId="14" fillId="0" borderId="181" xfId="0" applyFont="1" applyFill="1" applyBorder="1" applyAlignment="1" applyProtection="1">
      <alignment horizontal="justify" vertical="center" wrapText="1"/>
      <protection locked="0"/>
    </xf>
    <xf numFmtId="170" fontId="14" fillId="0" borderId="217" xfId="0" applyFont="1" applyFill="1" applyBorder="1" applyAlignment="1" applyProtection="1">
      <alignment horizontal="justify" vertical="center" wrapText="1"/>
      <protection locked="0"/>
    </xf>
    <xf numFmtId="170" fontId="14" fillId="0" borderId="178" xfId="0" applyFont="1" applyFill="1" applyBorder="1" applyAlignment="1" applyProtection="1">
      <alignment horizontal="left" vertical="center" wrapText="1"/>
      <protection locked="0"/>
    </xf>
    <xf numFmtId="170" fontId="14" fillId="0" borderId="210" xfId="0" applyFont="1" applyFill="1" applyBorder="1" applyAlignment="1" applyProtection="1">
      <alignment horizontal="left" vertical="center" wrapText="1"/>
      <protection locked="0"/>
    </xf>
    <xf numFmtId="170" fontId="14" fillId="0" borderId="207" xfId="0" applyFont="1" applyFill="1" applyBorder="1" applyAlignment="1" applyProtection="1">
      <alignment horizontal="left"/>
      <protection locked="0"/>
    </xf>
    <xf numFmtId="170" fontId="14" fillId="0" borderId="211" xfId="0" applyFont="1" applyFill="1" applyBorder="1" applyAlignment="1" applyProtection="1">
      <alignment horizontal="left" vertical="center" wrapText="1"/>
      <protection locked="0"/>
    </xf>
    <xf numFmtId="170" fontId="14" fillId="0" borderId="212" xfId="0" applyFont="1" applyFill="1" applyBorder="1" applyAlignment="1" applyProtection="1">
      <alignment horizontal="left" vertical="center" wrapText="1"/>
      <protection locked="0"/>
    </xf>
    <xf numFmtId="170" fontId="14" fillId="0" borderId="218" xfId="0" applyFont="1" applyFill="1" applyBorder="1" applyAlignment="1" applyProtection="1">
      <alignment horizontal="left"/>
      <protection locked="0"/>
    </xf>
    <xf numFmtId="170" fontId="14" fillId="0" borderId="231" xfId="0" applyFont="1" applyFill="1" applyBorder="1" applyAlignment="1" applyProtection="1">
      <alignment horizontal="justify" vertical="center" wrapText="1"/>
      <protection locked="0"/>
    </xf>
    <xf numFmtId="170" fontId="14" fillId="0" borderId="214" xfId="0" applyFont="1" applyFill="1" applyBorder="1" applyAlignment="1" applyProtection="1">
      <alignment horizontal="justify" vertical="center" wrapText="1"/>
      <protection locked="0"/>
    </xf>
    <xf numFmtId="170" fontId="14" fillId="0" borderId="215" xfId="0" applyFont="1" applyFill="1" applyBorder="1" applyAlignment="1" applyProtection="1">
      <alignment horizontal="justify" vertical="center" wrapText="1"/>
      <protection locked="0"/>
    </xf>
    <xf numFmtId="170" fontId="14" fillId="0" borderId="218" xfId="0" applyFont="1" applyBorder="1" applyAlignment="1" applyProtection="1">
      <alignment horizontal="left"/>
      <protection locked="0"/>
    </xf>
    <xf numFmtId="170" fontId="26" fillId="0" borderId="0" xfId="0" applyFont="1" applyAlignment="1">
      <alignment horizontal="center"/>
    </xf>
    <xf numFmtId="170" fontId="56" fillId="4" borderId="204" xfId="18" applyNumberFormat="1" applyFont="1" applyFill="1" applyBorder="1" applyAlignment="1">
      <alignment horizontal="center" vertical="center" wrapText="1"/>
    </xf>
    <xf numFmtId="170" fontId="56" fillId="4" borderId="205" xfId="18" applyNumberFormat="1" applyFont="1" applyFill="1" applyBorder="1" applyAlignment="1">
      <alignment horizontal="center" vertical="center" wrapText="1"/>
    </xf>
    <xf numFmtId="170" fontId="56" fillId="4" borderId="206" xfId="18" applyNumberFormat="1" applyFont="1" applyFill="1" applyBorder="1" applyAlignment="1">
      <alignment horizontal="center" vertical="center" wrapText="1"/>
    </xf>
    <xf numFmtId="170" fontId="14" fillId="0" borderId="208" xfId="0" applyFont="1" applyFill="1" applyBorder="1" applyAlignment="1" applyProtection="1">
      <alignment horizontal="left"/>
      <protection locked="0"/>
    </xf>
    <xf numFmtId="170" fontId="56" fillId="4" borderId="220" xfId="18" applyNumberFormat="1" applyFont="1" applyFill="1" applyBorder="1" applyAlignment="1">
      <alignment horizontal="center" vertical="center" wrapText="1"/>
    </xf>
    <xf numFmtId="164" fontId="8" fillId="16" borderId="0" xfId="22" applyFont="1" applyFill="1" applyBorder="1" applyAlignment="1" applyProtection="1">
      <alignment horizontal="center"/>
      <protection locked="0"/>
    </xf>
    <xf numFmtId="170" fontId="14" fillId="0" borderId="203" xfId="0" applyFont="1" applyFill="1" applyBorder="1" applyAlignment="1" applyProtection="1">
      <alignment horizontal="left"/>
      <protection locked="0"/>
    </xf>
    <xf numFmtId="170" fontId="113" fillId="5" borderId="112" xfId="0" applyFont="1" applyFill="1" applyBorder="1" applyAlignment="1" applyProtection="1">
      <alignment horizontal="justify" vertical="top" wrapText="1"/>
      <protection locked="0"/>
    </xf>
    <xf numFmtId="170" fontId="113" fillId="5" borderId="111" xfId="0" applyFont="1" applyFill="1" applyBorder="1" applyAlignment="1" applyProtection="1">
      <alignment horizontal="justify" vertical="top" wrapText="1"/>
      <protection locked="0"/>
    </xf>
    <xf numFmtId="170" fontId="113" fillId="5" borderId="113" xfId="0" applyFont="1" applyFill="1" applyBorder="1" applyAlignment="1" applyProtection="1">
      <alignment horizontal="justify" vertical="top" wrapText="1"/>
      <protection locked="0"/>
    </xf>
    <xf numFmtId="170" fontId="113" fillId="5" borderId="114" xfId="0" applyFont="1" applyFill="1" applyBorder="1" applyAlignment="1" applyProtection="1">
      <alignment horizontal="justify" vertical="top" wrapText="1"/>
      <protection locked="0"/>
    </xf>
    <xf numFmtId="170" fontId="113" fillId="5" borderId="75" xfId="0" applyFont="1" applyFill="1" applyBorder="1" applyAlignment="1" applyProtection="1">
      <alignment horizontal="justify" vertical="top" wrapText="1"/>
      <protection locked="0"/>
    </xf>
    <xf numFmtId="170" fontId="113" fillId="5" borderId="77" xfId="0" applyFont="1" applyFill="1" applyBorder="1" applyAlignment="1" applyProtection="1">
      <alignment horizontal="justify" vertical="top" wrapText="1"/>
      <protection locked="0"/>
    </xf>
    <xf numFmtId="164" fontId="10" fillId="17" borderId="0" xfId="4" applyFont="1" applyFill="1" applyAlignment="1">
      <alignment horizontal="center" vertical="center"/>
    </xf>
    <xf numFmtId="168" fontId="122" fillId="5" borderId="2" xfId="0" applyNumberFormat="1" applyFont="1" applyFill="1" applyBorder="1" applyAlignment="1" applyProtection="1">
      <alignment vertical="center"/>
      <protection locked="0"/>
    </xf>
    <xf numFmtId="168" fontId="122" fillId="24" borderId="2" xfId="0" applyNumberFormat="1" applyFont="1" applyFill="1" applyBorder="1" applyAlignment="1" applyProtection="1">
      <alignment horizontal="right" vertical="center"/>
      <protection locked="0"/>
    </xf>
    <xf numFmtId="168" fontId="122" fillId="25" borderId="2" xfId="0" applyNumberFormat="1" applyFont="1" applyFill="1" applyBorder="1" applyAlignment="1" applyProtection="1">
      <alignment vertical="center"/>
      <protection locked="0"/>
    </xf>
    <xf numFmtId="168" fontId="122" fillId="7" borderId="2" xfId="0" applyNumberFormat="1" applyFont="1" applyFill="1" applyBorder="1" applyAlignment="1" applyProtection="1">
      <alignment horizontal="right" vertical="center"/>
      <protection locked="0"/>
    </xf>
    <xf numFmtId="1" fontId="122" fillId="13" borderId="2" xfId="0" applyNumberFormat="1" applyFont="1" applyFill="1" applyBorder="1" applyAlignment="1" applyProtection="1">
      <alignment vertical="center"/>
      <protection locked="0"/>
    </xf>
    <xf numFmtId="168" fontId="49" fillId="7" borderId="110" xfId="0" applyNumberFormat="1" applyFont="1" applyFill="1" applyBorder="1" applyAlignment="1" applyProtection="1">
      <alignment horizontal="right" vertical="center"/>
      <protection locked="0"/>
    </xf>
    <xf numFmtId="168" fontId="122" fillId="13" borderId="2" xfId="0" applyNumberFormat="1" applyFont="1" applyFill="1" applyBorder="1" applyAlignment="1" applyProtection="1">
      <alignment horizontal="right" vertical="center"/>
      <protection locked="0"/>
    </xf>
    <xf numFmtId="168" fontId="49" fillId="13" borderId="110" xfId="0" applyNumberFormat="1" applyFont="1" applyFill="1" applyBorder="1" applyAlignment="1" applyProtection="1">
      <alignment horizontal="right" vertical="center"/>
      <protection locked="0"/>
    </xf>
    <xf numFmtId="170" fontId="23" fillId="5" borderId="29" xfId="0" applyFont="1" applyFill="1" applyBorder="1" applyAlignment="1" applyProtection="1">
      <alignment horizontal="justify" vertical="center" wrapText="1"/>
      <protection locked="0"/>
    </xf>
    <xf numFmtId="170" fontId="23" fillId="5" borderId="30" xfId="0" applyFont="1" applyFill="1" applyBorder="1" applyAlignment="1" applyProtection="1">
      <alignment horizontal="justify" vertical="center" wrapText="1"/>
      <protection locked="0"/>
    </xf>
    <xf numFmtId="170" fontId="23" fillId="5" borderId="31" xfId="0" applyFont="1" applyFill="1" applyBorder="1" applyAlignment="1" applyProtection="1">
      <alignment horizontal="justify" vertical="center" wrapText="1"/>
      <protection locked="0"/>
    </xf>
    <xf numFmtId="170" fontId="113" fillId="0" borderId="0" xfId="0" applyFont="1" applyBorder="1" applyAlignment="1">
      <alignment horizontal="left"/>
    </xf>
    <xf numFmtId="170" fontId="113" fillId="0" borderId="30" xfId="0" applyFont="1" applyBorder="1" applyAlignment="1">
      <alignment horizontal="justify" vertical="center" wrapText="1"/>
    </xf>
    <xf numFmtId="170" fontId="113" fillId="0" borderId="31" xfId="0" applyFont="1" applyBorder="1" applyAlignment="1">
      <alignment horizontal="justify" vertical="center" wrapText="1"/>
    </xf>
    <xf numFmtId="170" fontId="113" fillId="0" borderId="30" xfId="0" applyFont="1" applyBorder="1" applyAlignment="1" applyProtection="1">
      <alignment horizontal="justify" vertical="center" wrapText="1"/>
      <protection locked="0"/>
    </xf>
    <xf numFmtId="170" fontId="113" fillId="0" borderId="31" xfId="0" applyFont="1" applyBorder="1" applyAlignment="1" applyProtection="1">
      <alignment horizontal="justify" vertical="center" wrapText="1"/>
      <protection locked="0"/>
    </xf>
    <xf numFmtId="170" fontId="113" fillId="0" borderId="0" xfId="0" applyFont="1"/>
    <xf numFmtId="170" fontId="123" fillId="5" borderId="29" xfId="0" applyFont="1" applyFill="1" applyBorder="1" applyAlignment="1" applyProtection="1">
      <alignment horizontal="justify" vertical="center" wrapText="1"/>
      <protection locked="0"/>
    </xf>
    <xf numFmtId="170" fontId="124" fillId="0" borderId="30" xfId="0" applyFont="1" applyBorder="1" applyAlignment="1" applyProtection="1">
      <alignment horizontal="justify" vertical="center" wrapText="1"/>
      <protection locked="0"/>
    </xf>
    <xf numFmtId="170" fontId="124" fillId="0" borderId="31" xfId="0" applyFont="1" applyBorder="1" applyAlignment="1" applyProtection="1">
      <alignment horizontal="justify" vertical="center" wrapText="1"/>
      <protection locked="0"/>
    </xf>
    <xf numFmtId="170" fontId="113" fillId="0" borderId="0" xfId="0" applyFont="1" applyBorder="1" applyAlignment="1">
      <alignment horizontal="left" wrapText="1"/>
    </xf>
    <xf numFmtId="9" fontId="23" fillId="5" borderId="29" xfId="19" applyFont="1" applyFill="1" applyBorder="1" applyAlignment="1" applyProtection="1">
      <alignment horizontal="justify" vertical="center" wrapText="1"/>
      <protection locked="0"/>
    </xf>
    <xf numFmtId="9" fontId="23" fillId="5" borderId="30" xfId="19" applyFont="1" applyFill="1" applyBorder="1" applyAlignment="1" applyProtection="1">
      <alignment horizontal="justify" vertical="center" wrapText="1"/>
      <protection locked="0"/>
    </xf>
    <xf numFmtId="9" fontId="23" fillId="5" borderId="31" xfId="19" applyFont="1" applyFill="1" applyBorder="1" applyAlignment="1" applyProtection="1">
      <alignment horizontal="justify" vertical="center" wrapText="1"/>
      <protection locked="0"/>
    </xf>
    <xf numFmtId="9" fontId="23" fillId="5" borderId="2" xfId="19" applyFont="1" applyFill="1" applyBorder="1" applyAlignment="1" applyProtection="1">
      <alignment horizontal="justify" vertical="center" wrapText="1"/>
      <protection locked="0"/>
    </xf>
    <xf numFmtId="9" fontId="23" fillId="5" borderId="29" xfId="19" applyFont="1" applyFill="1" applyBorder="1" applyAlignment="1" applyProtection="1">
      <alignment horizontal="left" vertical="center" wrapText="1"/>
      <protection locked="0"/>
    </xf>
    <xf numFmtId="9" fontId="23" fillId="5" borderId="30" xfId="19" applyFont="1" applyFill="1" applyBorder="1" applyAlignment="1" applyProtection="1">
      <alignment horizontal="left" vertical="center" wrapText="1"/>
      <protection locked="0"/>
    </xf>
    <xf numFmtId="9" fontId="23" fillId="5" borderId="31" xfId="19" applyFont="1" applyFill="1" applyBorder="1" applyAlignment="1" applyProtection="1">
      <alignment horizontal="left" vertical="center" wrapText="1"/>
      <protection locked="0"/>
    </xf>
    <xf numFmtId="170" fontId="23" fillId="3" borderId="0" xfId="0" applyFont="1" applyFill="1" applyBorder="1" applyAlignment="1" applyProtection="1">
      <alignment horizontal="left"/>
    </xf>
    <xf numFmtId="170" fontId="23" fillId="5" borderId="29" xfId="0" applyFont="1" applyFill="1" applyBorder="1" applyAlignment="1" applyProtection="1">
      <alignment horizontal="left" vertical="top" wrapText="1"/>
      <protection locked="0"/>
    </xf>
    <xf numFmtId="170" fontId="23" fillId="5" borderId="30" xfId="0" applyFont="1" applyFill="1" applyBorder="1" applyAlignment="1" applyProtection="1">
      <alignment horizontal="left" vertical="top" wrapText="1"/>
      <protection locked="0"/>
    </xf>
    <xf numFmtId="170" fontId="23" fillId="5" borderId="31" xfId="0" applyFont="1" applyFill="1" applyBorder="1" applyAlignment="1" applyProtection="1">
      <alignment horizontal="left" vertical="top" wrapText="1"/>
      <protection locked="0"/>
    </xf>
    <xf numFmtId="170" fontId="23" fillId="5" borderId="0" xfId="0" applyFont="1" applyFill="1" applyBorder="1" applyAlignment="1" applyProtection="1">
      <alignment horizontal="center" vertical="top" wrapText="1"/>
      <protection locked="0"/>
    </xf>
    <xf numFmtId="170" fontId="23" fillId="5" borderId="29" xfId="0" applyFont="1" applyFill="1" applyBorder="1" applyAlignment="1" applyProtection="1">
      <alignment horizontal="justify" vertical="top" wrapText="1"/>
      <protection locked="0"/>
    </xf>
    <xf numFmtId="170" fontId="113" fillId="0" borderId="30" xfId="0" applyFont="1" applyBorder="1" applyAlignment="1">
      <alignment horizontal="justify" vertical="top" wrapText="1"/>
    </xf>
    <xf numFmtId="170" fontId="113" fillId="0" borderId="31" xfId="0" applyFont="1" applyBorder="1" applyAlignment="1">
      <alignment horizontal="justify" vertical="top" wrapText="1"/>
    </xf>
    <xf numFmtId="170" fontId="23" fillId="5" borderId="0" xfId="0" applyFont="1" applyFill="1" applyBorder="1" applyAlignment="1" applyProtection="1">
      <alignment horizontal="left" vertical="top" wrapText="1"/>
      <protection locked="0"/>
    </xf>
    <xf numFmtId="170" fontId="23" fillId="5" borderId="30" xfId="0" applyFont="1" applyFill="1" applyBorder="1" applyAlignment="1" applyProtection="1">
      <alignment horizontal="justify" vertical="top" wrapText="1"/>
      <protection locked="0"/>
    </xf>
    <xf numFmtId="170" fontId="23" fillId="5" borderId="31" xfId="0" applyFont="1" applyFill="1" applyBorder="1" applyAlignment="1" applyProtection="1">
      <alignment horizontal="justify" vertical="top" wrapText="1"/>
      <protection locked="0"/>
    </xf>
    <xf numFmtId="170" fontId="2" fillId="0" borderId="157" xfId="0" applyNumberFormat="1" applyFont="1" applyFill="1" applyBorder="1" applyAlignment="1" applyProtection="1">
      <alignment horizontal="justify" vertical="center" wrapText="1"/>
    </xf>
    <xf numFmtId="170" fontId="2" fillId="0" borderId="158" xfId="0" applyNumberFormat="1" applyFont="1" applyFill="1" applyBorder="1" applyAlignment="1" applyProtection="1">
      <alignment horizontal="justify" vertical="center" wrapText="1"/>
    </xf>
    <xf numFmtId="9" fontId="125" fillId="0" borderId="0" xfId="0" applyNumberFormat="1" applyFont="1" applyFill="1" applyBorder="1" applyAlignment="1" applyProtection="1"/>
    <xf numFmtId="170" fontId="2" fillId="0" borderId="30" xfId="0" applyNumberFormat="1" applyFont="1" applyFill="1" applyBorder="1" applyAlignment="1" applyProtection="1">
      <alignment horizontal="justify" vertical="center" wrapText="1"/>
    </xf>
    <xf numFmtId="170" fontId="2" fillId="0" borderId="179" xfId="0" applyNumberFormat="1" applyFont="1" applyFill="1" applyBorder="1" applyAlignment="1" applyProtection="1">
      <alignment horizontal="justify" vertical="center" wrapText="1"/>
    </xf>
    <xf numFmtId="170" fontId="2" fillId="0" borderId="6" xfId="0" applyNumberFormat="1" applyFont="1" applyFill="1" applyBorder="1" applyAlignment="1" applyProtection="1">
      <alignment horizontal="justify" vertical="center" wrapText="1"/>
    </xf>
    <xf numFmtId="170" fontId="2" fillId="0" borderId="190" xfId="0" applyNumberFormat="1" applyFont="1" applyFill="1" applyBorder="1" applyAlignment="1" applyProtection="1">
      <alignment horizontal="justify" vertical="center" wrapText="1"/>
    </xf>
    <xf numFmtId="170" fontId="98" fillId="0" borderId="0" xfId="0" applyFont="1" applyFill="1" applyBorder="1" applyAlignment="1" applyProtection="1">
      <alignment horizontal="center" vertical="center"/>
    </xf>
    <xf numFmtId="9" fontId="125" fillId="0" borderId="0" xfId="0" applyNumberFormat="1" applyFont="1" applyFill="1" applyBorder="1" applyAlignment="1" applyProtection="1">
      <alignment horizontal="center"/>
    </xf>
    <xf numFmtId="169" fontId="42" fillId="3" borderId="0" xfId="0" applyNumberFormat="1" applyFont="1" applyFill="1" applyBorder="1" applyAlignment="1" applyProtection="1">
      <alignment vertical="center"/>
    </xf>
    <xf numFmtId="170" fontId="98" fillId="3" borderId="0" xfId="0" applyFont="1" applyFill="1" applyBorder="1" applyAlignment="1" applyProtection="1">
      <alignment horizontal="center" vertical="center"/>
    </xf>
    <xf numFmtId="170" fontId="126" fillId="3" borderId="0" xfId="0" applyFont="1" applyFill="1" applyBorder="1" applyAlignment="1" applyProtection="1">
      <alignment horizontal="center" vertical="center"/>
    </xf>
    <xf numFmtId="168" fontId="42" fillId="3" borderId="0" xfId="19" applyNumberFormat="1" applyFont="1" applyFill="1" applyBorder="1" applyAlignment="1" applyProtection="1">
      <alignment horizontal="right"/>
    </xf>
    <xf numFmtId="9" fontId="125" fillId="3" borderId="0" xfId="0" applyNumberFormat="1" applyFont="1" applyFill="1" applyBorder="1" applyProtection="1"/>
    <xf numFmtId="9" fontId="125" fillId="3" borderId="0" xfId="0" applyNumberFormat="1" applyFont="1" applyFill="1" applyBorder="1" applyAlignment="1" applyProtection="1">
      <alignment horizontal="left"/>
    </xf>
    <xf numFmtId="170" fontId="23" fillId="0" borderId="0" xfId="0" applyFont="1" applyBorder="1" applyAlignment="1" applyProtection="1">
      <alignment horizontal="center" vertical="center"/>
    </xf>
    <xf numFmtId="170" fontId="42" fillId="3" borderId="0" xfId="0" applyFont="1" applyFill="1" applyBorder="1" applyAlignment="1" applyProtection="1">
      <alignment horizontal="left" vertical="center"/>
    </xf>
    <xf numFmtId="170" fontId="127" fillId="3" borderId="0" xfId="0" applyFont="1" applyFill="1" applyBorder="1" applyAlignment="1" applyProtection="1">
      <alignment horizontal="left" vertical="center"/>
    </xf>
    <xf numFmtId="170" fontId="128" fillId="0" borderId="176" xfId="0" applyFont="1" applyFill="1" applyBorder="1" applyAlignment="1" applyProtection="1">
      <alignment horizontal="center"/>
    </xf>
    <xf numFmtId="170" fontId="128" fillId="0" borderId="177" xfId="0" applyFont="1" applyFill="1" applyBorder="1" applyAlignment="1" applyProtection="1">
      <alignment horizontal="center"/>
    </xf>
    <xf numFmtId="170" fontId="44" fillId="0" borderId="0" xfId="0" applyFont="1" applyFill="1" applyBorder="1" applyAlignment="1" applyProtection="1">
      <alignment horizontal="right"/>
    </xf>
    <xf numFmtId="170" fontId="113" fillId="0" borderId="185" xfId="0" applyFont="1" applyBorder="1" applyAlignment="1">
      <alignment horizontal="center" vertical="center"/>
    </xf>
    <xf numFmtId="170" fontId="2" fillId="0" borderId="191" xfId="0" applyNumberFormat="1" applyFont="1" applyFill="1" applyBorder="1" applyAlignment="1" applyProtection="1">
      <alignment horizontal="justify" vertical="center" wrapText="1"/>
    </xf>
    <xf numFmtId="170" fontId="2" fillId="0" borderId="192" xfId="0" applyNumberFormat="1" applyFont="1" applyFill="1" applyBorder="1" applyAlignment="1" applyProtection="1">
      <alignment horizontal="justify" vertical="center" wrapText="1"/>
    </xf>
    <xf numFmtId="9" fontId="125" fillId="0" borderId="0" xfId="0" applyNumberFormat="1" applyFont="1" applyFill="1" applyBorder="1" applyProtection="1"/>
    <xf numFmtId="170" fontId="2" fillId="0" borderId="183" xfId="0" applyNumberFormat="1" applyFont="1" applyFill="1" applyBorder="1" applyAlignment="1" applyProtection="1">
      <alignment horizontal="justify" vertical="center" wrapText="1"/>
    </xf>
    <xf numFmtId="170" fontId="2" fillId="0" borderId="162" xfId="0" applyNumberFormat="1" applyFont="1" applyFill="1" applyBorder="1" applyAlignment="1" applyProtection="1">
      <alignment horizontal="justify" vertical="center" wrapText="1"/>
    </xf>
    <xf numFmtId="170" fontId="2" fillId="0" borderId="163" xfId="0" applyNumberFormat="1" applyFont="1" applyFill="1" applyBorder="1" applyAlignment="1" applyProtection="1">
      <alignment horizontal="justify" vertical="center" wrapText="1"/>
    </xf>
    <xf numFmtId="170" fontId="44" fillId="0" borderId="0" xfId="0" applyFont="1" applyFill="1" applyBorder="1" applyProtection="1"/>
    <xf numFmtId="170" fontId="129" fillId="0" borderId="0" xfId="0" applyFont="1" applyFill="1" applyBorder="1" applyProtection="1"/>
    <xf numFmtId="170" fontId="130" fillId="0" borderId="0" xfId="0" applyFont="1" applyFill="1" applyBorder="1" applyAlignment="1" applyProtection="1">
      <alignment horizontal="center" vertical="center"/>
    </xf>
    <xf numFmtId="170" fontId="131" fillId="0" borderId="0" xfId="0" applyFont="1" applyFill="1" applyBorder="1" applyAlignment="1" applyProtection="1">
      <alignment horizontal="center" vertical="center"/>
    </xf>
    <xf numFmtId="170" fontId="131" fillId="0" borderId="0" xfId="0" applyFont="1" applyFill="1" applyBorder="1" applyAlignment="1" applyProtection="1">
      <alignment horizontal="right" vertical="center" indent="1"/>
    </xf>
    <xf numFmtId="170" fontId="132" fillId="0" borderId="0" xfId="0" applyFont="1" applyFill="1" applyBorder="1" applyAlignment="1" applyProtection="1">
      <alignment horizontal="center"/>
    </xf>
    <xf numFmtId="170" fontId="128" fillId="0" borderId="0" xfId="0" applyFont="1" applyFill="1" applyBorder="1" applyAlignment="1" applyProtection="1">
      <alignment horizontal="center"/>
    </xf>
    <xf numFmtId="170" fontId="56" fillId="0" borderId="71" xfId="0" applyNumberFormat="1" applyFont="1" applyFill="1" applyBorder="1" applyAlignment="1" applyProtection="1">
      <alignment horizontal="center" vertical="center"/>
    </xf>
    <xf numFmtId="170" fontId="23" fillId="0" borderId="21" xfId="0" applyNumberFormat="1" applyFont="1" applyFill="1" applyBorder="1" applyAlignment="1" applyProtection="1">
      <alignment vertical="center"/>
    </xf>
    <xf numFmtId="170" fontId="2" fillId="0" borderId="198" xfId="0" applyNumberFormat="1" applyFont="1" applyFill="1" applyBorder="1" applyAlignment="1" applyProtection="1">
      <alignment horizontal="justify" vertical="center" wrapText="1"/>
    </xf>
    <xf numFmtId="170" fontId="2" fillId="0" borderId="199" xfId="0" applyNumberFormat="1" applyFont="1" applyFill="1" applyBorder="1" applyAlignment="1" applyProtection="1">
      <alignment horizontal="justify" vertical="center" wrapText="1"/>
    </xf>
    <xf numFmtId="170" fontId="2" fillId="0" borderId="200" xfId="0" applyNumberFormat="1" applyFont="1" applyFill="1" applyBorder="1" applyAlignment="1" applyProtection="1">
      <alignment horizontal="justify" vertical="center" wrapText="1"/>
    </xf>
    <xf numFmtId="170" fontId="113" fillId="0" borderId="82" xfId="0" applyFont="1" applyBorder="1" applyAlignment="1">
      <alignment horizontal="justify" vertical="top" wrapText="1"/>
    </xf>
    <xf numFmtId="170" fontId="113" fillId="0" borderId="160" xfId="0" applyFont="1" applyBorder="1" applyAlignment="1">
      <alignment horizontal="justify" vertical="top" wrapText="1"/>
    </xf>
    <xf numFmtId="170" fontId="56" fillId="0" borderId="72" xfId="0" applyNumberFormat="1" applyFont="1" applyFill="1" applyBorder="1" applyAlignment="1" applyProtection="1">
      <alignment horizontal="center" vertical="center"/>
    </xf>
    <xf numFmtId="170" fontId="23" fillId="0" borderId="22" xfId="0" applyNumberFormat="1" applyFont="1" applyFill="1" applyBorder="1" applyAlignment="1" applyProtection="1">
      <alignment vertical="center"/>
    </xf>
    <xf numFmtId="170" fontId="2" fillId="0" borderId="193" xfId="19" applyNumberFormat="1" applyFont="1" applyFill="1" applyBorder="1" applyAlignment="1" applyProtection="1">
      <alignment horizontal="justify" vertical="center" wrapText="1"/>
    </xf>
    <xf numFmtId="170" fontId="113" fillId="0" borderId="237" xfId="0" applyFont="1" applyBorder="1" applyAlignment="1">
      <alignment horizontal="justify" vertical="top" wrapText="1"/>
    </xf>
    <xf numFmtId="170" fontId="113" fillId="0" borderId="238" xfId="0" applyFont="1" applyBorder="1" applyAlignment="1">
      <alignment horizontal="justify" vertical="top" wrapText="1"/>
    </xf>
    <xf numFmtId="170" fontId="56" fillId="0" borderId="73" xfId="0" applyNumberFormat="1" applyFont="1" applyFill="1" applyBorder="1" applyAlignment="1" applyProtection="1">
      <alignment horizontal="center" vertical="center"/>
    </xf>
    <xf numFmtId="170" fontId="23" fillId="0" borderId="28" xfId="0" applyNumberFormat="1" applyFont="1" applyFill="1" applyBorder="1" applyAlignment="1" applyProtection="1">
      <alignment vertical="center"/>
    </xf>
  </cellXfs>
  <cellStyles count="24">
    <cellStyle name="Comma" xfId="1" builtinId="3"/>
    <cellStyle name="Euro" xfId="2"/>
    <cellStyle name="Millares 2" xfId="3"/>
    <cellStyle name="Normal" xfId="0" builtinId="0"/>
    <cellStyle name="Normal 2" xfId="4"/>
    <cellStyle name="Normal 2 2" xfId="5"/>
    <cellStyle name="Normal 2 3" xfId="6"/>
    <cellStyle name="Normal 2 4" xfId="7"/>
    <cellStyle name="Normal 2 5" xfId="8"/>
    <cellStyle name="Normal 2 6" xfId="9"/>
    <cellStyle name="Normal 2 7" xfId="10"/>
    <cellStyle name="Normal 2 8" xfId="11"/>
    <cellStyle name="Normal 2_Dashboard ver 2.2 ES" xfId="12"/>
    <cellStyle name="Normal 2_Prototipo" xfId="13"/>
    <cellStyle name="Normal 3" xfId="14"/>
    <cellStyle name="Normal 4" xfId="15"/>
    <cellStyle name="Normal 5" xfId="16"/>
    <cellStyle name="Normal 6" xfId="17"/>
    <cellStyle name="Normal_TZ_R3HIV_Phase_2_21_August_08" xfId="18"/>
    <cellStyle name="Percent" xfId="19" builtinId="5"/>
    <cellStyle name="Título 3 3" xfId="20"/>
    <cellStyle name="Título 3 3_Prototipo" xfId="21"/>
    <cellStyle name="Título 3 3_PrototipoRep1" xfId="22"/>
    <cellStyle name="Título 3 7" xfId="23"/>
  </cellStyles>
  <dxfs count="45">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806E-2"/>
          <c:y val="0.19565355846324767"/>
          <c:w val="0.86864496640476885"/>
          <c:h val="0.42029282929142131"/>
        </c:manualLayout>
      </c:layout>
      <c:barChart>
        <c:barDir val="bar"/>
        <c:grouping val="percentStacked"/>
        <c:varyColors val="0"/>
        <c:ser>
          <c:idx val="0"/>
          <c:order val="0"/>
          <c:tx>
            <c:strRef>
              <c:f>'Introducerea datelor'!$C$78</c:f>
              <c:strCache>
                <c:ptCount val="1"/>
                <c:pt idx="0">
                  <c:v>Planificate</c:v>
                </c:pt>
              </c:strCache>
            </c:strRef>
          </c:tx>
          <c:spPr>
            <a:noFill/>
            <a:ln w="25400">
              <a:noFill/>
            </a:ln>
            <a:effectLst>
              <a:outerShdw dist="35921" dir="2700000" algn="br">
                <a:srgbClr val="000000"/>
              </a:outerShdw>
            </a:effectLst>
          </c:spPr>
          <c:invertIfNegative val="0"/>
          <c:dLbls>
            <c:dLbl>
              <c:idx val="0"/>
              <c:layout>
                <c:manualLayout>
                  <c:x val="0.25756013242089343"/>
                  <c:y val="-0.29611370761718181"/>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'Introducerea datelor'!$C$79</c:f>
              <c:numCache>
                <c:formatCode>#,##0</c:formatCode>
                <c:ptCount val="1"/>
                <c:pt idx="0">
                  <c:v>6</c:v>
                </c:pt>
              </c:numCache>
            </c:numRef>
          </c:val>
        </c:ser>
        <c:dLbls>
          <c:showLegendKey val="0"/>
          <c:showVal val="0"/>
          <c:showCatName val="0"/>
          <c:showSerName val="0"/>
          <c:showPercent val="0"/>
          <c:showBubbleSize val="0"/>
        </c:dLbls>
        <c:gapWidth val="79"/>
        <c:overlap val="100"/>
        <c:axId val="483869488"/>
        <c:axId val="281779608"/>
      </c:barChart>
      <c:barChart>
        <c:barDir val="bar"/>
        <c:grouping val="percentStacked"/>
        <c:varyColors val="0"/>
        <c:ser>
          <c:idx val="1"/>
          <c:order val="1"/>
          <c:tx>
            <c:strRef>
              <c:f>'Introducerea datelor'!$D$78</c:f>
              <c:strCache>
                <c:ptCount val="1"/>
                <c:pt idx="0">
                  <c:v>Completate</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datelor'!$D$79</c:f>
              <c:numCache>
                <c:formatCode>#,##0</c:formatCode>
                <c:ptCount val="1"/>
                <c:pt idx="0">
                  <c:v>6</c:v>
                </c:pt>
              </c:numCache>
            </c:numRef>
          </c:val>
        </c:ser>
        <c:ser>
          <c:idx val="2"/>
          <c:order val="2"/>
          <c:tx>
            <c:strRef>
              <c:f>'Introducerea datelor'!$E$78</c:f>
              <c:strCache>
                <c:ptCount val="1"/>
                <c:pt idx="0">
                  <c:v>Vacante</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datelor'!$E$79</c:f>
              <c:numCache>
                <c:formatCode>#,##0</c:formatCode>
                <c:ptCount val="1"/>
                <c:pt idx="0">
                  <c:v>0</c:v>
                </c:pt>
              </c:numCache>
            </c:numRef>
          </c:val>
        </c:ser>
        <c:dLbls>
          <c:showLegendKey val="0"/>
          <c:showVal val="0"/>
          <c:showCatName val="0"/>
          <c:showSerName val="0"/>
          <c:showPercent val="0"/>
          <c:showBubbleSize val="0"/>
        </c:dLbls>
        <c:gapWidth val="191"/>
        <c:overlap val="100"/>
        <c:axId val="281780000"/>
        <c:axId val="281780392"/>
      </c:barChart>
      <c:catAx>
        <c:axId val="483869488"/>
        <c:scaling>
          <c:orientation val="minMax"/>
        </c:scaling>
        <c:delete val="1"/>
        <c:axPos val="l"/>
        <c:majorTickMark val="out"/>
        <c:minorTickMark val="none"/>
        <c:tickLblPos val="none"/>
        <c:crossAx val="281779608"/>
        <c:crosses val="autoZero"/>
        <c:auto val="1"/>
        <c:lblAlgn val="ctr"/>
        <c:lblOffset val="100"/>
        <c:noMultiLvlLbl val="0"/>
      </c:catAx>
      <c:valAx>
        <c:axId val="28177960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83869488"/>
        <c:crosses val="max"/>
        <c:crossBetween val="between"/>
      </c:valAx>
      <c:catAx>
        <c:axId val="281780000"/>
        <c:scaling>
          <c:orientation val="minMax"/>
        </c:scaling>
        <c:delete val="1"/>
        <c:axPos val="l"/>
        <c:majorTickMark val="out"/>
        <c:minorTickMark val="none"/>
        <c:tickLblPos val="none"/>
        <c:crossAx val="281780392"/>
        <c:crosses val="autoZero"/>
        <c:auto val="0"/>
        <c:lblAlgn val="ctr"/>
        <c:lblOffset val="100"/>
        <c:noMultiLvlLbl val="0"/>
      </c:catAx>
      <c:valAx>
        <c:axId val="281780392"/>
        <c:scaling>
          <c:orientation val="minMax"/>
        </c:scaling>
        <c:delete val="0"/>
        <c:axPos val="b"/>
        <c:numFmt formatCode="0%" sourceLinked="1"/>
        <c:majorTickMark val="none"/>
        <c:minorTickMark val="none"/>
        <c:tickLblPos val="none"/>
        <c:spPr>
          <a:ln w="3175">
            <a:solidFill>
              <a:srgbClr val="000000"/>
            </a:solidFill>
            <a:prstDash val="solid"/>
          </a:ln>
        </c:spPr>
        <c:crossAx val="281780000"/>
        <c:crosses val="autoZero"/>
        <c:crossBetween val="between"/>
      </c:valAx>
    </c:plotArea>
    <c:legend>
      <c:legendPos val="r"/>
      <c:legendEntry>
        <c:idx val="0"/>
        <c:delete val="1"/>
      </c:legendEntry>
      <c:layout>
        <c:manualLayout>
          <c:xMode val="edge"/>
          <c:yMode val="edge"/>
          <c:x val="0.30275211732554053"/>
          <c:y val="0.83656680110108184"/>
          <c:w val="0.19477771464133992"/>
          <c:h val="0.13942769348953335"/>
        </c:manualLayout>
      </c:layout>
      <c:overlay val="0"/>
      <c:spPr>
        <a:noFill/>
        <a:ln w="25400">
          <a:noFill/>
        </a:ln>
      </c:spPr>
      <c:txPr>
        <a:bodyPr/>
        <a:lstStyle/>
        <a:p>
          <a:pPr>
            <a:defRPr sz="6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18251347613808"/>
          <c:y val="8.9552612741589155E-2"/>
          <c:w val="0.83314004319329704"/>
          <c:h val="0.65320736566206339"/>
        </c:manualLayout>
      </c:layout>
      <c:barChart>
        <c:barDir val="col"/>
        <c:grouping val="clustered"/>
        <c:varyColors val="0"/>
        <c:ser>
          <c:idx val="0"/>
          <c:order val="0"/>
          <c:tx>
            <c:strRef>
              <c:f>'Introducerea datelor'!$G$122</c:f>
              <c:strCache>
                <c:ptCount val="1"/>
                <c:pt idx="0">
                  <c:v>Ținta</c:v>
                </c:pt>
              </c:strCache>
            </c:strRef>
          </c:tx>
          <c:spPr>
            <a:solidFill>
              <a:srgbClr val="0066CC"/>
            </a:solidFill>
            <a:ln w="25400">
              <a:noFill/>
            </a:ln>
          </c:spPr>
          <c:invertIfNegative val="0"/>
          <c:val>
            <c:numRef>
              <c:f>'Introducerea datelor'!$H$122:$S$122</c:f>
              <c:numCache>
                <c:formatCode>0.0</c:formatCode>
                <c:ptCount val="12"/>
                <c:pt idx="0">
                  <c:v>24</c:v>
                </c:pt>
                <c:pt idx="1">
                  <c:v>22</c:v>
                </c:pt>
              </c:numCache>
            </c:numRef>
          </c:val>
        </c:ser>
        <c:ser>
          <c:idx val="1"/>
          <c:order val="1"/>
          <c:tx>
            <c:strRef>
              <c:f>'Introducerea datelor'!$G$123</c:f>
              <c:strCache>
                <c:ptCount val="1"/>
                <c:pt idx="0">
                  <c:v>Rezultat</c:v>
                </c:pt>
              </c:strCache>
            </c:strRef>
          </c:tx>
          <c:spPr>
            <a:solidFill>
              <a:srgbClr val="00CCFF"/>
            </a:solidFill>
            <a:ln w="12700">
              <a:solidFill>
                <a:srgbClr val="000000"/>
              </a:solidFill>
              <a:prstDash val="solid"/>
            </a:ln>
          </c:spPr>
          <c:invertIfNegative val="0"/>
          <c:val>
            <c:numRef>
              <c:f>'Introducerea datelor'!$H$123:$S$123</c:f>
              <c:numCache>
                <c:formatCode>0.0</c:formatCode>
                <c:ptCount val="12"/>
                <c:pt idx="0">
                  <c:v>23.7</c:v>
                </c:pt>
                <c:pt idx="1">
                  <c:v>24.8</c:v>
                </c:pt>
              </c:numCache>
            </c:numRef>
          </c:val>
        </c:ser>
        <c:dLbls>
          <c:showLegendKey val="0"/>
          <c:showVal val="0"/>
          <c:showCatName val="0"/>
          <c:showSerName val="0"/>
          <c:showPercent val="0"/>
          <c:showBubbleSize val="0"/>
        </c:dLbls>
        <c:gapWidth val="150"/>
        <c:axId val="466763808"/>
        <c:axId val="466764200"/>
      </c:barChart>
      <c:catAx>
        <c:axId val="466763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466764200"/>
        <c:crosses val="autoZero"/>
        <c:auto val="1"/>
        <c:lblAlgn val="ctr"/>
        <c:lblOffset val="100"/>
        <c:tickLblSkip val="1"/>
        <c:tickMarkSkip val="1"/>
        <c:noMultiLvlLbl val="0"/>
      </c:catAx>
      <c:valAx>
        <c:axId val="466764200"/>
        <c:scaling>
          <c:orientation val="minMax"/>
          <c:min val="20"/>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466763808"/>
        <c:crosses val="autoZero"/>
        <c:crossBetween val="between"/>
      </c:valAx>
      <c:spPr>
        <a:noFill/>
        <a:ln w="25400">
          <a:noFill/>
        </a:ln>
      </c:spPr>
    </c:plotArea>
    <c:legend>
      <c:legendPos val="r"/>
      <c:layout>
        <c:manualLayout>
          <c:xMode val="edge"/>
          <c:yMode val="edge"/>
          <c:x val="0.18466890563410759"/>
          <c:y val="0.91099498926270572"/>
          <c:w val="0.57491302834457536"/>
          <c:h val="7.329873538534958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29704"/>
          <c:h val="0.65320736566206339"/>
        </c:manualLayout>
      </c:layout>
      <c:barChart>
        <c:barDir val="col"/>
        <c:grouping val="clustered"/>
        <c:varyColors val="0"/>
        <c:ser>
          <c:idx val="0"/>
          <c:order val="0"/>
          <c:tx>
            <c:strRef>
              <c:f>'Introducerea datelor'!$G$118</c:f>
              <c:strCache>
                <c:ptCount val="1"/>
                <c:pt idx="0">
                  <c:v>Ținta</c:v>
                </c:pt>
              </c:strCache>
            </c:strRef>
          </c:tx>
          <c:spPr>
            <a:solidFill>
              <a:srgbClr val="0066CC"/>
            </a:solidFill>
            <a:ln w="25400">
              <a:noFill/>
            </a:ln>
          </c:spPr>
          <c:invertIfNegative val="0"/>
          <c:cat>
            <c:strRef>
              <c:f>'Introducerea datelor'!$H$116:$S$116</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datelor'!$H$118:$S$118</c:f>
              <c:numCache>
                <c:formatCode>0.0</c:formatCode>
                <c:ptCount val="12"/>
                <c:pt idx="0">
                  <c:v>12.7</c:v>
                </c:pt>
                <c:pt idx="1">
                  <c:v>11.6</c:v>
                </c:pt>
              </c:numCache>
            </c:numRef>
          </c:val>
        </c:ser>
        <c:ser>
          <c:idx val="1"/>
          <c:order val="1"/>
          <c:tx>
            <c:strRef>
              <c:f>'Introducerea datelor'!$G$119</c:f>
              <c:strCache>
                <c:ptCount val="1"/>
                <c:pt idx="0">
                  <c:v>Rezultat</c:v>
                </c:pt>
              </c:strCache>
            </c:strRef>
          </c:tx>
          <c:spPr>
            <a:solidFill>
              <a:srgbClr val="00CCFF"/>
            </a:solidFill>
            <a:ln w="12700">
              <a:solidFill>
                <a:srgbClr val="000000"/>
              </a:solidFill>
              <a:prstDash val="solid"/>
            </a:ln>
          </c:spPr>
          <c:invertIfNegative val="0"/>
          <c:cat>
            <c:strRef>
              <c:f>'Introducerea datelor'!$H$116:$S$116</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datelor'!$H$119:$S$119</c:f>
              <c:numCache>
                <c:formatCode>0.0</c:formatCode>
                <c:ptCount val="12"/>
                <c:pt idx="0">
                  <c:v>14.4</c:v>
                </c:pt>
                <c:pt idx="1">
                  <c:v>11.14</c:v>
                </c:pt>
              </c:numCache>
            </c:numRef>
          </c:val>
        </c:ser>
        <c:dLbls>
          <c:showLegendKey val="0"/>
          <c:showVal val="0"/>
          <c:showCatName val="0"/>
          <c:showSerName val="0"/>
          <c:showPercent val="0"/>
          <c:showBubbleSize val="0"/>
        </c:dLbls>
        <c:gapWidth val="150"/>
        <c:axId val="466764984"/>
        <c:axId val="466765376"/>
      </c:barChart>
      <c:catAx>
        <c:axId val="466764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466765376"/>
        <c:crosses val="autoZero"/>
        <c:auto val="1"/>
        <c:lblAlgn val="ctr"/>
        <c:lblOffset val="100"/>
        <c:tickLblSkip val="1"/>
        <c:tickMarkSkip val="1"/>
        <c:noMultiLvlLbl val="0"/>
      </c:catAx>
      <c:valAx>
        <c:axId val="46676537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466764984"/>
        <c:crosses val="autoZero"/>
        <c:crossBetween val="between"/>
      </c:valAx>
      <c:spPr>
        <a:noFill/>
        <a:ln w="25400">
          <a:noFill/>
        </a:ln>
      </c:spPr>
    </c:plotArea>
    <c:legend>
      <c:legendPos val="r"/>
      <c:layout>
        <c:manualLayout>
          <c:xMode val="edge"/>
          <c:yMode val="edge"/>
          <c:x val="0.1824568771008887"/>
          <c:y val="0.91237155700365058"/>
          <c:w val="0.57894921029608171"/>
          <c:h val="7.216580686034936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datelor'!$C$33:$M$33</c:f>
              <c:numCache>
                <c:formatCode>#,##0</c:formatCode>
                <c:ptCount val="11"/>
                <c:pt idx="0">
                  <c:v>9172167.4499999993</c:v>
                </c:pt>
                <c:pt idx="1">
                  <c:v>10668150.789999999</c:v>
                </c:pt>
                <c:pt idx="2">
                  <c:v>0</c:v>
                </c:pt>
                <c:pt idx="3">
                  <c:v>0</c:v>
                </c:pt>
                <c:pt idx="4">
                  <c:v>0</c:v>
                </c:pt>
                <c:pt idx="5">
                  <c:v>0</c:v>
                </c:pt>
                <c:pt idx="6">
                  <c:v>0</c:v>
                </c:pt>
                <c:pt idx="7">
                  <c:v>0</c:v>
                </c:pt>
                <c:pt idx="8">
                  <c:v>0</c:v>
                </c:pt>
                <c:pt idx="9">
                  <c:v>0</c:v>
                </c:pt>
                <c:pt idx="10">
                  <c:v>0</c:v>
                </c:pt>
              </c:numCache>
            </c:numRef>
          </c:val>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datelor'!$C$34:$M$34</c:f>
              <c:numCache>
                <c:formatCode>#,##0</c:formatCode>
                <c:ptCount val="11"/>
                <c:pt idx="0">
                  <c:v>9932743.2899999991</c:v>
                </c:pt>
                <c:pt idx="1">
                  <c:v>12370937.68</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dropLines>
          <c:spPr>
            <a:ln w="3175">
              <a:solidFill>
                <a:srgbClr val="000000"/>
              </a:solidFill>
              <a:prstDash val="solid"/>
            </a:ln>
          </c:spPr>
        </c:dropLines>
        <c:axId val="484474840"/>
        <c:axId val="484475232"/>
      </c:areaChart>
      <c:catAx>
        <c:axId val="484474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484475232"/>
        <c:crosses val="autoZero"/>
        <c:auto val="1"/>
        <c:lblAlgn val="ctr"/>
        <c:lblOffset val="100"/>
        <c:tickLblSkip val="8"/>
        <c:tickMarkSkip val="1"/>
        <c:noMultiLvlLbl val="0"/>
      </c:catAx>
      <c:valAx>
        <c:axId val="484475232"/>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484474840"/>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tx>
            <c:strRef>
              <c:f>'Introducerea datelor'!$C$83</c:f>
              <c:strCache>
                <c:ptCount val="1"/>
                <c:pt idx="0">
                  <c:v>Identificați</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datelor'!$C$84</c:f>
              <c:numCache>
                <c:formatCode>#,##0</c:formatCode>
                <c:ptCount val="1"/>
                <c:pt idx="0">
                  <c:v>0</c:v>
                </c:pt>
              </c:numCache>
            </c:numRef>
          </c:val>
        </c:ser>
        <c:ser>
          <c:idx val="1"/>
          <c:order val="1"/>
          <c:tx>
            <c:strRef>
              <c:f>'Introducerea datelor'!$D$83</c:f>
              <c:strCache>
                <c:ptCount val="1"/>
                <c:pt idx="0">
                  <c:v>Evaluați</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datelor'!$D$84</c:f>
              <c:numCache>
                <c:formatCode>#,##0</c:formatCode>
                <c:ptCount val="1"/>
                <c:pt idx="0">
                  <c:v>0</c:v>
                </c:pt>
              </c:numCache>
            </c:numRef>
          </c:val>
        </c:ser>
        <c:ser>
          <c:idx val="2"/>
          <c:order val="2"/>
          <c:tx>
            <c:strRef>
              <c:f>'Introducerea datelor'!$E$83</c:f>
              <c:strCache>
                <c:ptCount val="1"/>
                <c:pt idx="0">
                  <c:v>Aprobați</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datelor'!$E$84</c:f>
              <c:numCache>
                <c:formatCode>#,##0</c:formatCode>
                <c:ptCount val="1"/>
                <c:pt idx="0">
                  <c:v>0</c:v>
                </c:pt>
              </c:numCache>
            </c:numRef>
          </c:val>
        </c:ser>
        <c:ser>
          <c:idx val="3"/>
          <c:order val="3"/>
          <c:tx>
            <c:strRef>
              <c:f>'Introducerea datelor'!$F$83</c:f>
              <c:strCache>
                <c:ptCount val="1"/>
                <c:pt idx="0">
                  <c:v>Contracte semnate</c:v>
                </c:pt>
              </c:strCache>
            </c:strRef>
          </c:tx>
          <c:spPr>
            <a:solidFill>
              <a:srgbClr val="80808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datelor'!$F$84</c:f>
              <c:numCache>
                <c:formatCode>#,##0</c:formatCode>
                <c:ptCount val="1"/>
                <c:pt idx="0">
                  <c:v>0</c:v>
                </c:pt>
              </c:numCache>
            </c:numRef>
          </c:val>
        </c:ser>
        <c:ser>
          <c:idx val="4"/>
          <c:order val="4"/>
          <c:tx>
            <c:strRef>
              <c:f>'Introducerea datelor'!$G$83</c:f>
              <c:strCache>
                <c:ptCount val="1"/>
                <c:pt idx="0">
                  <c:v>Au recepționat surse</c:v>
                </c:pt>
              </c:strCache>
            </c:strRef>
          </c:tx>
          <c:spPr>
            <a:solidFill>
              <a:srgbClr val="333333"/>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datelor'!$G$84</c:f>
              <c:numCache>
                <c:formatCode>#,##0</c:formatCode>
                <c:ptCount val="1"/>
                <c:pt idx="0">
                  <c:v>0</c:v>
                </c:pt>
              </c:numCache>
            </c:numRef>
          </c:val>
        </c:ser>
        <c:dLbls>
          <c:showLegendKey val="0"/>
          <c:showVal val="0"/>
          <c:showCatName val="0"/>
          <c:showSerName val="0"/>
          <c:showPercent val="0"/>
          <c:showBubbleSize val="0"/>
        </c:dLbls>
        <c:gapWidth val="150"/>
        <c:overlap val="-20"/>
        <c:axId val="281781176"/>
        <c:axId val="494024496"/>
      </c:barChart>
      <c:catAx>
        <c:axId val="281781176"/>
        <c:scaling>
          <c:orientation val="minMax"/>
        </c:scaling>
        <c:delete val="0"/>
        <c:axPos val="b"/>
        <c:majorTickMark val="none"/>
        <c:minorTickMark val="none"/>
        <c:tickLblPos val="none"/>
        <c:spPr>
          <a:ln w="3175">
            <a:solidFill>
              <a:srgbClr val="000000"/>
            </a:solidFill>
            <a:prstDash val="solid"/>
          </a:ln>
        </c:spPr>
        <c:crossAx val="494024496"/>
        <c:crosses val="autoZero"/>
        <c:auto val="0"/>
        <c:lblAlgn val="ctr"/>
        <c:lblOffset val="100"/>
        <c:tickMarkSkip val="1"/>
        <c:noMultiLvlLbl val="0"/>
      </c:catAx>
      <c:valAx>
        <c:axId val="494024496"/>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81781176"/>
        <c:crosses val="autoZero"/>
        <c:crossBetween val="between"/>
      </c:valAx>
      <c:spPr>
        <a:noFill/>
        <a:ln w="25400">
          <a:noFill/>
        </a:ln>
      </c:spPr>
    </c:plotArea>
    <c:legend>
      <c:legendPos val="r"/>
      <c:layout>
        <c:manualLayout>
          <c:xMode val="edge"/>
          <c:yMode val="edge"/>
          <c:x val="7.7323741939664972E-2"/>
          <c:y val="0.79538490678355922"/>
          <c:w val="0.85290509056738295"/>
          <c:h val="8.8396244283897502E-2"/>
        </c:manualLayout>
      </c:layout>
      <c:overlay val="0"/>
      <c:spPr>
        <a:noFill/>
        <a:ln w="25400">
          <a:noFill/>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256292906178489"/>
          <c:y val="5.4421768707482956E-2"/>
          <c:w val="0.67505720823798665"/>
          <c:h val="0.55782312925170052"/>
        </c:manualLayout>
      </c:layout>
      <c:barChart>
        <c:barDir val="bar"/>
        <c:grouping val="percentStacked"/>
        <c:varyColors val="0"/>
        <c:ser>
          <c:idx val="0"/>
          <c:order val="0"/>
          <c:tx>
            <c:strRef>
              <c:f>'Introducerea datelor'!$D$71</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datelor'!$B$72:$B$73</c:f>
              <c:strCache>
                <c:ptCount val="2"/>
                <c:pt idx="0">
                  <c:v>Condiții Precedente (CP)</c:v>
                </c:pt>
                <c:pt idx="1">
                  <c:v>Acțiuni Prestabilite în Timp (TBA)</c:v>
                </c:pt>
              </c:strCache>
            </c:strRef>
          </c:cat>
          <c:val>
            <c:numRef>
              <c:f>'Introducerea datelor'!$D$72:$D$73</c:f>
              <c:numCache>
                <c:formatCode>0</c:formatCode>
                <c:ptCount val="2"/>
                <c:pt idx="0">
                  <c:v>4</c:v>
                </c:pt>
              </c:numCache>
            </c:numRef>
          </c:val>
        </c:ser>
        <c:ser>
          <c:idx val="1"/>
          <c:order val="1"/>
          <c:tx>
            <c:strRef>
              <c:f>'Introducerea datelor'!$E$71</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datelor'!$E$72:$E$73</c:f>
              <c:numCache>
                <c:formatCode>0</c:formatCode>
                <c:ptCount val="2"/>
              </c:numCache>
            </c:numRef>
          </c:val>
        </c:ser>
        <c:ser>
          <c:idx val="2"/>
          <c:order val="2"/>
          <c:tx>
            <c:strRef>
              <c:f>'Introducerea datelor'!$F$71</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datelor'!$F$72:$F$73</c:f>
              <c:numCache>
                <c:formatCode>0</c:formatCode>
                <c:ptCount val="2"/>
              </c:numCache>
            </c:numRef>
          </c:val>
        </c:ser>
        <c:dLbls>
          <c:showLegendKey val="0"/>
          <c:showVal val="0"/>
          <c:showCatName val="0"/>
          <c:showSerName val="0"/>
          <c:showPercent val="0"/>
          <c:showBubbleSize val="0"/>
        </c:dLbls>
        <c:gapWidth val="70"/>
        <c:overlap val="100"/>
        <c:axId val="494025280"/>
        <c:axId val="494025672"/>
      </c:barChart>
      <c:catAx>
        <c:axId val="4940252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94025672"/>
        <c:crosses val="autoZero"/>
        <c:auto val="1"/>
        <c:lblAlgn val="ctr"/>
        <c:lblOffset val="100"/>
        <c:tickLblSkip val="1"/>
        <c:tickMarkSkip val="1"/>
        <c:noMultiLvlLbl val="0"/>
      </c:catAx>
      <c:valAx>
        <c:axId val="494025672"/>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94025280"/>
        <c:crosses val="autoZero"/>
        <c:crossBetween val="between"/>
      </c:valAx>
      <c:spPr>
        <a:noFill/>
        <a:ln w="25400">
          <a:noFill/>
        </a:ln>
      </c:spPr>
    </c:plotArea>
    <c:legend>
      <c:legendPos val="r"/>
      <c:layout>
        <c:manualLayout>
          <c:xMode val="edge"/>
          <c:yMode val="edge"/>
          <c:x val="2.7404217493408298E-2"/>
          <c:y val="0.81891549270626884"/>
          <c:w val="0.95229751887421399"/>
          <c:h val="0.16057207134822438"/>
        </c:manualLayout>
      </c:layout>
      <c:overlay val="0"/>
      <c:spPr>
        <a:noFill/>
        <a:ln w="25400">
          <a:noFill/>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8791869184631896"/>
          <c:y val="0.12154728922244371"/>
          <c:w val="0.65390610983753616"/>
          <c:h val="0.5524876782838356"/>
        </c:manualLayout>
      </c:layout>
      <c:barChart>
        <c:barDir val="bar"/>
        <c:grouping val="percentStacked"/>
        <c:varyColors val="0"/>
        <c:ser>
          <c:idx val="1"/>
          <c:order val="0"/>
          <c:tx>
            <c:strRef>
              <c:f>'Introducerea datelor'!$D$88</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datelor'!$B$89:$B$90</c:f>
              <c:strCache>
                <c:ptCount val="2"/>
                <c:pt idx="0">
                  <c:v>SSR către SR</c:v>
                </c:pt>
                <c:pt idx="1">
                  <c:v>SR către RP</c:v>
                </c:pt>
              </c:strCache>
            </c:strRef>
          </c:cat>
          <c:val>
            <c:numRef>
              <c:f>'Introducerea datelor'!$D$89:$D$90</c:f>
              <c:numCache>
                <c:formatCode>0</c:formatCode>
                <c:ptCount val="2"/>
              </c:numCache>
            </c:numRef>
          </c:val>
        </c:ser>
        <c:ser>
          <c:idx val="2"/>
          <c:order val="1"/>
          <c:tx>
            <c:strRef>
              <c:f>'Introducerea datelor'!$E$88</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datelor'!$B$89:$B$90</c:f>
              <c:strCache>
                <c:ptCount val="2"/>
                <c:pt idx="0">
                  <c:v>SSR către SR</c:v>
                </c:pt>
                <c:pt idx="1">
                  <c:v>SR către RP</c:v>
                </c:pt>
              </c:strCache>
            </c:strRef>
          </c:cat>
          <c:val>
            <c:numRef>
              <c:f>'Introducerea datelor'!$E$89:$E$90</c:f>
              <c:numCache>
                <c:formatCode>#,##0</c:formatCode>
                <c:ptCount val="2"/>
                <c:pt idx="0" formatCode="0">
                  <c:v>0</c:v>
                </c:pt>
                <c:pt idx="1">
                  <c:v>0</c:v>
                </c:pt>
              </c:numCache>
            </c:numRef>
          </c:val>
        </c:ser>
        <c:dLbls>
          <c:showLegendKey val="0"/>
          <c:showVal val="0"/>
          <c:showCatName val="0"/>
          <c:showSerName val="0"/>
          <c:showPercent val="0"/>
          <c:showBubbleSize val="0"/>
        </c:dLbls>
        <c:gapWidth val="101"/>
        <c:overlap val="100"/>
        <c:axId val="123227216"/>
        <c:axId val="123227608"/>
      </c:barChart>
      <c:catAx>
        <c:axId val="12322721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23227608"/>
        <c:crosses val="autoZero"/>
        <c:auto val="1"/>
        <c:lblAlgn val="ctr"/>
        <c:lblOffset val="100"/>
        <c:noMultiLvlLbl val="0"/>
      </c:catAx>
      <c:valAx>
        <c:axId val="12322760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23227216"/>
        <c:crosses val="max"/>
        <c:crossBetween val="between"/>
      </c:valAx>
    </c:plotArea>
    <c:legend>
      <c:legendPos val="r"/>
      <c:legendEntry>
        <c:idx val="0"/>
        <c:txPr>
          <a:bodyPr/>
          <a:lstStyle/>
          <a:p>
            <a:pPr>
              <a:defRPr sz="620" b="0" i="0" u="none" strike="noStrike" baseline="0">
                <a:solidFill>
                  <a:srgbClr val="000000"/>
                </a:solidFill>
                <a:latin typeface="Calibri"/>
                <a:ea typeface="Calibri"/>
                <a:cs typeface="Calibri"/>
              </a:defRPr>
            </a:pPr>
            <a:endParaRPr lang="en-US"/>
          </a:p>
        </c:txPr>
      </c:legendEntry>
      <c:legendEntry>
        <c:idx val="1"/>
        <c:txPr>
          <a:bodyPr/>
          <a:lstStyle/>
          <a:p>
            <a:pPr>
              <a:defRPr sz="620" b="0" i="0" u="none" strike="noStrike" baseline="0">
                <a:solidFill>
                  <a:srgbClr val="000000"/>
                </a:solidFill>
                <a:latin typeface="Calibri"/>
                <a:ea typeface="Calibri"/>
                <a:cs typeface="Calibri"/>
              </a:defRPr>
            </a:pPr>
            <a:endParaRPr lang="en-US"/>
          </a:p>
        </c:txPr>
      </c:legendEntry>
      <c:layout>
        <c:manualLayout>
          <c:xMode val="edge"/>
          <c:yMode val="edge"/>
          <c:x val="0.31858431758530192"/>
          <c:y val="0.8001257250251127"/>
          <c:w val="0.35517857142857157"/>
          <c:h val="0.13243446421049224"/>
        </c:manualLayout>
      </c:layout>
      <c:overlay val="0"/>
      <c:spPr>
        <a:noFill/>
        <a:ln w="25400">
          <a:noFill/>
        </a:ln>
      </c:spPr>
      <c:txPr>
        <a:bodyPr/>
        <a:lstStyle/>
        <a:p>
          <a:pPr>
            <a:defRPr sz="6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87"/>
          <c:y val="0.10989010989011004"/>
          <c:w val="0.81094724363350434"/>
          <c:h val="0.54395604395604358"/>
        </c:manualLayout>
      </c:layout>
      <c:lineChart>
        <c:grouping val="standard"/>
        <c:varyColors val="0"/>
        <c:ser>
          <c:idx val="0"/>
          <c:order val="0"/>
          <c:tx>
            <c:strRef>
              <c:f>'Introducerea datelor'!$B$98</c:f>
              <c:strCache>
                <c:ptCount val="1"/>
                <c:pt idx="0">
                  <c:v>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datelor'!$C$98:$N$98</c:f>
              <c:numCache>
                <c:formatCode>#,##0</c:formatCode>
                <c:ptCount val="12"/>
                <c:pt idx="0">
                  <c:v>6155290.9999999991</c:v>
                </c:pt>
                <c:pt idx="1">
                  <c:v>7390231.5099999988</c:v>
                </c:pt>
                <c:pt idx="2">
                  <c:v>7390231.5099999988</c:v>
                </c:pt>
                <c:pt idx="3">
                  <c:v>7390231.5099999988</c:v>
                </c:pt>
                <c:pt idx="4">
                  <c:v>7390231.5099999988</c:v>
                </c:pt>
                <c:pt idx="5">
                  <c:v>7390231.5099999988</c:v>
                </c:pt>
                <c:pt idx="6">
                  <c:v>7390231.5099999988</c:v>
                </c:pt>
                <c:pt idx="7">
                  <c:v>7390231.5099999988</c:v>
                </c:pt>
                <c:pt idx="8">
                  <c:v>7390231.5099999988</c:v>
                </c:pt>
                <c:pt idx="9">
                  <c:v>7390231.5099999988</c:v>
                </c:pt>
                <c:pt idx="10">
                  <c:v>7390231.5099999988</c:v>
                </c:pt>
                <c:pt idx="11">
                  <c:v>7390231.5099999988</c:v>
                </c:pt>
              </c:numCache>
            </c:numRef>
          </c:val>
          <c:smooth val="0"/>
        </c:ser>
        <c:ser>
          <c:idx val="1"/>
          <c:order val="1"/>
          <c:tx>
            <c:strRef>
              <c:f>'Introducerea datelor'!$B$99</c:f>
              <c:strCache>
                <c:ptCount val="1"/>
                <c:pt idx="0">
                  <c:v>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datelor'!$C$99:$N$99</c:f>
              <c:numCache>
                <c:formatCode>#,##0</c:formatCode>
                <c:ptCount val="12"/>
                <c:pt idx="0">
                  <c:v>6226215.8600000003</c:v>
                </c:pt>
                <c:pt idx="1">
                  <c:v>7229224.0600000005</c:v>
                </c:pt>
                <c:pt idx="2">
                  <c:v>7229224.0600000005</c:v>
                </c:pt>
                <c:pt idx="3">
                  <c:v>7229224.0600000005</c:v>
                </c:pt>
                <c:pt idx="4">
                  <c:v>7229224.0600000005</c:v>
                </c:pt>
                <c:pt idx="5">
                  <c:v>7229224.0600000005</c:v>
                </c:pt>
                <c:pt idx="6">
                  <c:v>7229224.0600000005</c:v>
                </c:pt>
                <c:pt idx="7">
                  <c:v>7229224.0600000005</c:v>
                </c:pt>
                <c:pt idx="8">
                  <c:v>7229224.0600000005</c:v>
                </c:pt>
                <c:pt idx="9">
                  <c:v>7229224.0600000005</c:v>
                </c:pt>
                <c:pt idx="10">
                  <c:v>7229224.0600000005</c:v>
                </c:pt>
                <c:pt idx="11">
                  <c:v>7229224.0600000005</c:v>
                </c:pt>
              </c:numCache>
            </c:numRef>
          </c:val>
          <c:smooth val="0"/>
        </c:ser>
        <c:ser>
          <c:idx val="2"/>
          <c:order val="2"/>
          <c:tx>
            <c:strRef>
              <c:f>'Introducerea datelor'!$B$100</c:f>
              <c:strCache>
                <c:ptCount val="1"/>
                <c:pt idx="0">
                  <c:v>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datelor'!$C$100:$N$100</c:f>
              <c:numCache>
                <c:formatCode>#,##0</c:formatCode>
                <c:ptCount val="12"/>
                <c:pt idx="0">
                  <c:v>5932415.0899999999</c:v>
                </c:pt>
                <c:pt idx="1">
                  <c:v>6914404.5999999996</c:v>
                </c:pt>
                <c:pt idx="2">
                  <c:v>6914404.5999999996</c:v>
                </c:pt>
                <c:pt idx="3">
                  <c:v>6914404.5999999996</c:v>
                </c:pt>
                <c:pt idx="4">
                  <c:v>6914404.5999999996</c:v>
                </c:pt>
                <c:pt idx="5">
                  <c:v>6914404.5999999996</c:v>
                </c:pt>
                <c:pt idx="6">
                  <c:v>6914404.5999999996</c:v>
                </c:pt>
                <c:pt idx="7">
                  <c:v>6914404.5999999996</c:v>
                </c:pt>
                <c:pt idx="8">
                  <c:v>6914404.5999999996</c:v>
                </c:pt>
                <c:pt idx="9">
                  <c:v>6914404.5999999996</c:v>
                </c:pt>
                <c:pt idx="10">
                  <c:v>6914404.5999999996</c:v>
                </c:pt>
                <c:pt idx="11">
                  <c:v>6914404.5999999996</c:v>
                </c:pt>
              </c:numCache>
            </c:numRef>
          </c:val>
          <c:smooth val="0"/>
        </c:ser>
        <c:dLbls>
          <c:showLegendKey val="0"/>
          <c:showVal val="0"/>
          <c:showCatName val="0"/>
          <c:showSerName val="0"/>
          <c:showPercent val="0"/>
          <c:showBubbleSize val="0"/>
        </c:dLbls>
        <c:marker val="1"/>
        <c:smooth val="0"/>
        <c:axId val="123228392"/>
        <c:axId val="123228784"/>
      </c:lineChart>
      <c:catAx>
        <c:axId val="123228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123228784"/>
        <c:crosses val="autoZero"/>
        <c:auto val="1"/>
        <c:lblAlgn val="ctr"/>
        <c:lblOffset val="100"/>
        <c:tickLblSkip val="1"/>
        <c:tickMarkSkip val="1"/>
        <c:noMultiLvlLbl val="0"/>
      </c:catAx>
      <c:valAx>
        <c:axId val="12322878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123228392"/>
        <c:crosses val="autoZero"/>
        <c:crossBetween val="between"/>
      </c:valAx>
      <c:spPr>
        <a:solidFill>
          <a:srgbClr val="FFFFFF"/>
        </a:solidFill>
        <a:ln w="12700">
          <a:solidFill>
            <a:srgbClr val="808080"/>
          </a:solidFill>
          <a:prstDash val="solid"/>
        </a:ln>
      </c:spPr>
    </c:plotArea>
    <c:legend>
      <c:legendPos val="r"/>
      <c:layout>
        <c:manualLayout>
          <c:xMode val="edge"/>
          <c:yMode val="edge"/>
          <c:x val="6.7108497293917671E-2"/>
          <c:y val="0.74047715945619164"/>
          <c:w val="0.92212083911347342"/>
          <c:h val="0.17890707481789497"/>
        </c:manualLayout>
      </c:layout>
      <c:overlay val="0"/>
      <c:spPr>
        <a:noFill/>
        <a:ln w="25400">
          <a:noFill/>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416"/>
        </c:manualLayout>
      </c:layout>
      <c:barChart>
        <c:barDir val="col"/>
        <c:grouping val="clustered"/>
        <c:varyColors val="0"/>
        <c:ser>
          <c:idx val="0"/>
          <c:order val="0"/>
          <c:tx>
            <c:strRef>
              <c:f>'Introducerea datelor'!$B$33</c:f>
              <c:strCache>
                <c:ptCount val="1"/>
                <c:pt idx="0">
                  <c:v>Buget Cumulativ</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'Introducerea datelor'!$C$33:$N$33</c:f>
              <c:numCache>
                <c:formatCode>#,##0</c:formatCode>
                <c:ptCount val="12"/>
                <c:pt idx="0">
                  <c:v>9172167.4499999993</c:v>
                </c:pt>
                <c:pt idx="1">
                  <c:v>10668150.789999999</c:v>
                </c:pt>
                <c:pt idx="2">
                  <c:v>0</c:v>
                </c:pt>
                <c:pt idx="3">
                  <c:v>0</c:v>
                </c:pt>
                <c:pt idx="4">
                  <c:v>0</c:v>
                </c:pt>
                <c:pt idx="5">
                  <c:v>0</c:v>
                </c:pt>
                <c:pt idx="6">
                  <c:v>0</c:v>
                </c:pt>
                <c:pt idx="7">
                  <c:v>0</c:v>
                </c:pt>
                <c:pt idx="8">
                  <c:v>0</c:v>
                </c:pt>
                <c:pt idx="9">
                  <c:v>0</c:v>
                </c:pt>
                <c:pt idx="10">
                  <c:v>0</c:v>
                </c:pt>
                <c:pt idx="11">
                  <c:v>0</c:v>
                </c:pt>
              </c:numCache>
            </c:numRef>
          </c:val>
        </c:ser>
        <c:ser>
          <c:idx val="1"/>
          <c:order val="1"/>
          <c:tx>
            <c:strRef>
              <c:f>'Introducerea datelor'!$B$34</c:f>
              <c:strCache>
                <c:ptCount val="1"/>
                <c:pt idx="0">
                  <c:v>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'Introducerea datelor'!$C$34:$N$34</c:f>
              <c:numCache>
                <c:formatCode>#,##0</c:formatCode>
                <c:ptCount val="12"/>
                <c:pt idx="0">
                  <c:v>9932743.2899999991</c:v>
                </c:pt>
                <c:pt idx="1">
                  <c:v>12370937.68</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70"/>
        <c:axId val="481582872"/>
        <c:axId val="481583264"/>
      </c:barChart>
      <c:catAx>
        <c:axId val="481582872"/>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2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481583264"/>
        <c:crosses val="autoZero"/>
        <c:auto val="1"/>
        <c:lblAlgn val="ctr"/>
        <c:lblOffset val="100"/>
        <c:tickLblSkip val="1"/>
        <c:tickMarkSkip val="1"/>
        <c:noMultiLvlLbl val="0"/>
      </c:catAx>
      <c:valAx>
        <c:axId val="48158326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481582872"/>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20" b="0" i="0" u="none" strike="noStrike" baseline="0">
                <a:solidFill>
                  <a:srgbClr val="000000"/>
                </a:solidFill>
                <a:latin typeface="Arial"/>
                <a:ea typeface="Arial"/>
                <a:cs typeface="Arial"/>
              </a:defRPr>
            </a:pPr>
            <a:endParaRPr lang="en-US"/>
          </a:p>
        </c:txPr>
      </c:legendEntry>
      <c:legendEntry>
        <c:idx val="1"/>
        <c:txPr>
          <a:bodyPr/>
          <a:lstStyle/>
          <a:p>
            <a:pPr>
              <a:defRPr sz="620" b="0" i="0" u="none" strike="noStrike" baseline="0">
                <a:solidFill>
                  <a:srgbClr val="000000"/>
                </a:solidFill>
                <a:latin typeface="Arial"/>
                <a:ea typeface="Arial"/>
                <a:cs typeface="Arial"/>
              </a:defRPr>
            </a:pPr>
            <a:endParaRPr lang="en-US"/>
          </a:p>
        </c:txPr>
      </c:legendEntry>
      <c:layout>
        <c:manualLayout>
          <c:xMode val="edge"/>
          <c:yMode val="edge"/>
          <c:x val="0.141649833037886"/>
          <c:y val="0.87772925764192167"/>
          <c:w val="0.84727597531983923"/>
          <c:h val="0.10480349344978168"/>
        </c:manualLayout>
      </c:layout>
      <c:overlay val="0"/>
      <c:spPr>
        <a:solidFill>
          <a:srgbClr val="FFFFFF"/>
        </a:solidFill>
        <a:ln w="3175">
          <a:solidFill>
            <a:srgbClr val="000000"/>
          </a:solidFill>
          <a:prstDash val="solid"/>
        </a:ln>
      </c:spPr>
      <c:txPr>
        <a:bodyPr/>
        <a:lstStyle/>
        <a:p>
          <a:pPr>
            <a:defRPr sz="44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71"/>
          <c:y val="7.5694015811474585E-2"/>
          <c:w val="0.74366824572258583"/>
          <c:h val="0.58032078788797015"/>
        </c:manualLayout>
      </c:layout>
      <c:barChart>
        <c:barDir val="col"/>
        <c:grouping val="stacked"/>
        <c:varyColors val="0"/>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datelor'!$C$52:$C$55</c:f>
              <c:numCache>
                <c:formatCode>#,##0</c:formatCode>
                <c:ptCount val="4"/>
                <c:pt idx="0">
                  <c:v>9932743.2899999991</c:v>
                </c:pt>
                <c:pt idx="1">
                  <c:v>9154855.879999999</c:v>
                </c:pt>
                <c:pt idx="2">
                  <c:v>194116.33000000002</c:v>
                </c:pt>
                <c:pt idx="3">
                  <c:v>194116.33</c:v>
                </c:pt>
              </c:numCache>
            </c:numRef>
          </c:val>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datelor'!$D$52:$D$55</c:f>
              <c:numCache>
                <c:formatCode>#,##0</c:formatCode>
                <c:ptCount val="4"/>
                <c:pt idx="0">
                  <c:v>2438194.39</c:v>
                </c:pt>
                <c:pt idx="1">
                  <c:v>1236652.45</c:v>
                </c:pt>
                <c:pt idx="2">
                  <c:v>0</c:v>
                </c:pt>
                <c:pt idx="3">
                  <c:v>0</c:v>
                </c:pt>
              </c:numCache>
            </c:numRef>
          </c:val>
        </c:ser>
        <c:dLbls>
          <c:showLegendKey val="0"/>
          <c:showVal val="0"/>
          <c:showCatName val="0"/>
          <c:showSerName val="0"/>
          <c:showPercent val="0"/>
          <c:showBubbleSize val="0"/>
        </c:dLbls>
        <c:gapWidth val="150"/>
        <c:overlap val="100"/>
        <c:axId val="481584048"/>
        <c:axId val="486438640"/>
      </c:barChart>
      <c:catAx>
        <c:axId val="48158404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6438640"/>
        <c:crossesAt val="0"/>
        <c:auto val="1"/>
        <c:lblAlgn val="ctr"/>
        <c:lblOffset val="100"/>
        <c:noMultiLvlLbl val="0"/>
      </c:catAx>
      <c:valAx>
        <c:axId val="486438640"/>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481584048"/>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75"/>
          <c:y val="5.4825991939292121E-2"/>
          <c:w val="0.84029484029484192"/>
          <c:h val="0.57374537387847457"/>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'Introducerea datelor'!$B$39:$B$43</c:f>
              <c:strCache>
                <c:ptCount val="5"/>
                <c:pt idx="0">
                  <c:v>Fortificarea realizării DOTS în scopul ameliorării detecţiei tuberculozei şi a managementului cazului de TB</c:v>
                </c:pt>
                <c:pt idx="1">
                  <c:v>Asigurarea accesului universal la diagnosticul şi tratamentul cazurilor de TB drog-rezistentă</c:v>
                </c:pt>
                <c:pt idx="2">
                  <c:v>Fortificarea sistemului de monitorizare şi evaluare, a managementului şi coordonării sistemului de sănătate pentru pacienţii cu TB </c:v>
                </c:pt>
                <c:pt idx="3">
                  <c:v>Creşterea informării publice despre TB şi reducerea stigmatizării </c:v>
                </c:pt>
                <c:pt idx="4">
                  <c:v>Fortificarea managementului Proiectului</c:v>
                </c:pt>
              </c:strCache>
            </c:strRef>
          </c:cat>
          <c:val>
            <c:numRef>
              <c:f>'Introducerea datelor'!$C$39:$C$43</c:f>
              <c:numCache>
                <c:formatCode>#,##0</c:formatCode>
                <c:ptCount val="5"/>
                <c:pt idx="0">
                  <c:v>690075.49999999988</c:v>
                </c:pt>
                <c:pt idx="1">
                  <c:v>8648720.6400000006</c:v>
                </c:pt>
                <c:pt idx="2">
                  <c:v>424100</c:v>
                </c:pt>
                <c:pt idx="3">
                  <c:v>104794</c:v>
                </c:pt>
                <c:pt idx="4">
                  <c:v>800460.65</c:v>
                </c:pt>
              </c:numCache>
            </c:numRef>
          </c:val>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'Introducerea datelor'!$B$39:$B$43</c:f>
              <c:strCache>
                <c:ptCount val="5"/>
                <c:pt idx="0">
                  <c:v>Fortificarea realizării DOTS în scopul ameliorării detecţiei tuberculozei şi a managementului cazului de TB</c:v>
                </c:pt>
                <c:pt idx="1">
                  <c:v>Asigurarea accesului universal la diagnosticul şi tratamentul cazurilor de TB drog-rezistentă</c:v>
                </c:pt>
                <c:pt idx="2">
                  <c:v>Fortificarea sistemului de monitorizare şi evaluare, a managementului şi coordonării sistemului de sănătate pentru pacienţii cu TB </c:v>
                </c:pt>
                <c:pt idx="3">
                  <c:v>Creşterea informării publice despre TB şi reducerea stigmatizării </c:v>
                </c:pt>
                <c:pt idx="4">
                  <c:v>Fortificarea managementului Proiectului</c:v>
                </c:pt>
              </c:strCache>
            </c:strRef>
          </c:cat>
          <c:val>
            <c:numRef>
              <c:f>'Introducerea datelor'!$D$39:$D$43</c:f>
              <c:numCache>
                <c:formatCode>#,##0</c:formatCode>
                <c:ptCount val="5"/>
                <c:pt idx="0">
                  <c:v>829150.90999999992</c:v>
                </c:pt>
                <c:pt idx="1">
                  <c:v>8330045.9499999993</c:v>
                </c:pt>
                <c:pt idx="2">
                  <c:v>256477.4</c:v>
                </c:pt>
                <c:pt idx="3">
                  <c:v>92909.55</c:v>
                </c:pt>
                <c:pt idx="4">
                  <c:v>817888.79</c:v>
                </c:pt>
              </c:numCache>
            </c:numRef>
          </c:val>
        </c:ser>
        <c:dLbls>
          <c:showLegendKey val="0"/>
          <c:showVal val="0"/>
          <c:showCatName val="0"/>
          <c:showSerName val="0"/>
          <c:showPercent val="0"/>
          <c:showBubbleSize val="0"/>
        </c:dLbls>
        <c:gapWidth val="150"/>
        <c:axId val="486439816"/>
        <c:axId val="486440208"/>
      </c:barChart>
      <c:catAx>
        <c:axId val="486439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486440208"/>
        <c:crosses val="autoZero"/>
        <c:auto val="1"/>
        <c:lblAlgn val="ctr"/>
        <c:lblOffset val="100"/>
        <c:tickMarkSkip val="1"/>
        <c:noMultiLvlLbl val="0"/>
      </c:catAx>
      <c:valAx>
        <c:axId val="4864402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486439816"/>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77135069654741E-2"/>
          <c:y val="8.9552577813665157E-2"/>
          <c:w val="0.83314004319329704"/>
          <c:h val="0.65320736566206339"/>
        </c:manualLayout>
      </c:layout>
      <c:barChart>
        <c:barDir val="col"/>
        <c:grouping val="clustered"/>
        <c:varyColors val="0"/>
        <c:ser>
          <c:idx val="0"/>
          <c:order val="0"/>
          <c:tx>
            <c:strRef>
              <c:f>'Introducerea datelor'!$G$120</c:f>
              <c:strCache>
                <c:ptCount val="1"/>
                <c:pt idx="0">
                  <c:v>Ținta</c:v>
                </c:pt>
              </c:strCache>
            </c:strRef>
          </c:tx>
          <c:spPr>
            <a:solidFill>
              <a:srgbClr val="0066CC"/>
            </a:solidFill>
            <a:ln w="25400">
              <a:noFill/>
            </a:ln>
          </c:spPr>
          <c:invertIfNegative val="0"/>
          <c:cat>
            <c:strRef>
              <c:f>'Introducerea datelor'!$H$116:$S$116</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datelor'!$H$120:$S$120</c:f>
              <c:numCache>
                <c:formatCode>0.0</c:formatCode>
                <c:ptCount val="12"/>
                <c:pt idx="0">
                  <c:v>55.4</c:v>
                </c:pt>
                <c:pt idx="1">
                  <c:v>60</c:v>
                </c:pt>
              </c:numCache>
            </c:numRef>
          </c:val>
        </c:ser>
        <c:ser>
          <c:idx val="1"/>
          <c:order val="1"/>
          <c:tx>
            <c:strRef>
              <c:f>'Introducerea datelor'!$G$121</c:f>
              <c:strCache>
                <c:ptCount val="1"/>
                <c:pt idx="0">
                  <c:v>Rezultat</c:v>
                </c:pt>
              </c:strCache>
            </c:strRef>
          </c:tx>
          <c:spPr>
            <a:solidFill>
              <a:srgbClr val="00CCFF"/>
            </a:solidFill>
            <a:ln w="12700">
              <a:solidFill>
                <a:srgbClr val="000000"/>
              </a:solidFill>
              <a:prstDash val="solid"/>
            </a:ln>
          </c:spPr>
          <c:invertIfNegative val="0"/>
          <c:cat>
            <c:strRef>
              <c:f>'Introducerea datelor'!$H$116:$S$116</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datelor'!$H$121:$S$121</c:f>
              <c:numCache>
                <c:formatCode>0.0</c:formatCode>
                <c:ptCount val="12"/>
                <c:pt idx="0">
                  <c:v>51.53</c:v>
                </c:pt>
                <c:pt idx="1">
                  <c:v>49.3</c:v>
                </c:pt>
              </c:numCache>
            </c:numRef>
          </c:val>
        </c:ser>
        <c:dLbls>
          <c:showLegendKey val="0"/>
          <c:showVal val="0"/>
          <c:showCatName val="0"/>
          <c:showSerName val="0"/>
          <c:showPercent val="0"/>
          <c:showBubbleSize val="0"/>
        </c:dLbls>
        <c:gapWidth val="150"/>
        <c:axId val="494041208"/>
        <c:axId val="494041600"/>
      </c:barChart>
      <c:catAx>
        <c:axId val="494041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494041600"/>
        <c:crosses val="autoZero"/>
        <c:auto val="1"/>
        <c:lblAlgn val="ctr"/>
        <c:lblOffset val="100"/>
        <c:tickLblSkip val="1"/>
        <c:tickMarkSkip val="1"/>
        <c:noMultiLvlLbl val="0"/>
      </c:catAx>
      <c:valAx>
        <c:axId val="49404160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494041208"/>
        <c:crosses val="autoZero"/>
        <c:crossBetween val="between"/>
      </c:valAx>
      <c:spPr>
        <a:noFill/>
        <a:ln w="25400">
          <a:noFill/>
        </a:ln>
      </c:spPr>
    </c:plotArea>
    <c:legend>
      <c:legendPos val="r"/>
      <c:layout>
        <c:manualLayout>
          <c:xMode val="edge"/>
          <c:yMode val="edge"/>
          <c:x val="0.17957720988847514"/>
          <c:y val="0.91191949072664258"/>
          <c:w val="0.58098600490823116"/>
          <c:h val="7.253897130262033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Menu!A1"/><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hyperlink" Target="#Menu!A1"/><Relationship Id="rId1" Type="http://schemas.openxmlformats.org/officeDocument/2006/relationships/chart" Target="../charts/chart6.xml"/><Relationship Id="rId6" Type="http://schemas.openxmlformats.org/officeDocument/2006/relationships/image" Target="../media/image7.png"/><Relationship Id="rId5" Type="http://schemas.openxmlformats.org/officeDocument/2006/relationships/chart" Target="../charts/chart8.xml"/><Relationship Id="rId4"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2800246"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38100" y="1381125"/>
          <a:ext cx="7648575"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2800247" name="Picture 82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2800248"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2800249" name="Group 25">
          <a:hlinkClick xmlns:r="http://schemas.openxmlformats.org/officeDocument/2006/relationships" r:id="rId3"/>
        </xdr:cNvPr>
        <xdr:cNvGrpSpPr>
          <a:grpSpLocks/>
        </xdr:cNvGrpSpPr>
      </xdr:nvGrpSpPr>
      <xdr:grpSpPr bwMode="auto">
        <a:xfrm>
          <a:off x="3413125" y="2436813"/>
          <a:ext cx="1009650" cy="371475"/>
          <a:chOff x="1200" y="1912"/>
          <a:chExt cx="3456" cy="774"/>
        </a:xfrm>
      </xdr:grpSpPr>
      <xdr:sp macro="" textlink="">
        <xdr:nvSpPr>
          <xdr:cNvPr id="2800293"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2800250" name="Group 25">
          <a:hlinkClick xmlns:r="http://schemas.openxmlformats.org/officeDocument/2006/relationships" r:id="rId4"/>
        </xdr:cNvPr>
        <xdr:cNvGrpSpPr>
          <a:grpSpLocks/>
        </xdr:cNvGrpSpPr>
      </xdr:nvGrpSpPr>
      <xdr:grpSpPr bwMode="auto">
        <a:xfrm>
          <a:off x="3451225" y="3513138"/>
          <a:ext cx="1066800" cy="371475"/>
          <a:chOff x="1200" y="1912"/>
          <a:chExt cx="3456" cy="774"/>
        </a:xfrm>
      </xdr:grpSpPr>
      <xdr:sp macro="" textlink="">
        <xdr:nvSpPr>
          <xdr:cNvPr id="2800290"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2800251" name="Group 25">
          <a:hlinkClick xmlns:r="http://schemas.openxmlformats.org/officeDocument/2006/relationships" r:id="rId5"/>
        </xdr:cNvPr>
        <xdr:cNvGrpSpPr>
          <a:grpSpLocks/>
        </xdr:cNvGrpSpPr>
      </xdr:nvGrpSpPr>
      <xdr:grpSpPr bwMode="auto">
        <a:xfrm>
          <a:off x="3413125" y="2970213"/>
          <a:ext cx="1066800" cy="371475"/>
          <a:chOff x="1200" y="1912"/>
          <a:chExt cx="3456" cy="774"/>
        </a:xfrm>
      </xdr:grpSpPr>
      <xdr:sp macro="" textlink="">
        <xdr:nvSpPr>
          <xdr:cNvPr id="2800287"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2800253" name="Group 832">
          <a:hlinkClick xmlns:r="http://schemas.openxmlformats.org/officeDocument/2006/relationships" r:id="rId6"/>
        </xdr:cNvPr>
        <xdr:cNvGrpSpPr>
          <a:grpSpLocks/>
        </xdr:cNvGrpSpPr>
      </xdr:nvGrpSpPr>
      <xdr:grpSpPr bwMode="auto">
        <a:xfrm>
          <a:off x="5708650" y="2579688"/>
          <a:ext cx="1501775" cy="409575"/>
          <a:chOff x="599" y="262"/>
          <a:chExt cx="158" cy="43"/>
        </a:xfrm>
      </xdr:grpSpPr>
      <xdr:sp macro="" textlink="">
        <xdr:nvSpPr>
          <xdr:cNvPr id="2800283"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84"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2800286" name="Freeform 32"/>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2800254" name="Group 830"/>
        <xdr:cNvGrpSpPr>
          <a:grpSpLocks/>
        </xdr:cNvGrpSpPr>
      </xdr:nvGrpSpPr>
      <xdr:grpSpPr bwMode="auto">
        <a:xfrm>
          <a:off x="327025" y="1903413"/>
          <a:ext cx="2143125" cy="2124075"/>
          <a:chOff x="32" y="188"/>
          <a:chExt cx="225" cy="225"/>
        </a:xfrm>
      </xdr:grpSpPr>
      <xdr:sp macro="" textlink="">
        <xdr:nvSpPr>
          <xdr:cNvPr id="2800281"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2800255" name="Group 826"/>
        <xdr:cNvGrpSpPr>
          <a:grpSpLocks/>
        </xdr:cNvGrpSpPr>
      </xdr:nvGrpSpPr>
      <xdr:grpSpPr bwMode="auto">
        <a:xfrm>
          <a:off x="5699125" y="3208338"/>
          <a:ext cx="1501775" cy="409575"/>
          <a:chOff x="578" y="328"/>
          <a:chExt cx="158" cy="43"/>
        </a:xfrm>
      </xdr:grpSpPr>
      <xdr:sp macro="" textlink="">
        <xdr:nvSpPr>
          <xdr:cNvPr id="2800277"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8"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2800280"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2800256" name="Group 831">
          <a:hlinkClick xmlns:r="http://schemas.openxmlformats.org/officeDocument/2006/relationships" r:id="rId8"/>
        </xdr:cNvPr>
        <xdr:cNvGrpSpPr>
          <a:grpSpLocks/>
        </xdr:cNvGrpSpPr>
      </xdr:nvGrpSpPr>
      <xdr:grpSpPr bwMode="auto">
        <a:xfrm>
          <a:off x="593725" y="3475038"/>
          <a:ext cx="1504950" cy="342900"/>
          <a:chOff x="56" y="259"/>
          <a:chExt cx="158" cy="40"/>
        </a:xfrm>
      </xdr:grpSpPr>
      <xdr:sp macro="" textlink="">
        <xdr:nvSpPr>
          <xdr:cNvPr id="2800273"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4"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2800257" name="37 Grupo">
          <a:hlinkClick xmlns:r="http://schemas.openxmlformats.org/officeDocument/2006/relationships" r:id="rId9"/>
        </xdr:cNvPr>
        <xdr:cNvGrpSpPr>
          <a:grpSpLocks/>
        </xdr:cNvGrpSpPr>
      </xdr:nvGrpSpPr>
      <xdr:grpSpPr bwMode="auto">
        <a:xfrm>
          <a:off x="593725" y="2417763"/>
          <a:ext cx="1504950" cy="371475"/>
          <a:chOff x="1343025" y="2428876"/>
          <a:chExt cx="3240982" cy="617274"/>
        </a:xfrm>
      </xdr:grpSpPr>
      <xdr:sp macro="" textlink="">
        <xdr:nvSpPr>
          <xdr:cNvPr id="2800269"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0"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2800258" name="37 Grupo">
          <a:hlinkClick xmlns:r="http://schemas.openxmlformats.org/officeDocument/2006/relationships" r:id="rId10"/>
        </xdr:cNvPr>
        <xdr:cNvGrpSpPr>
          <a:grpSpLocks/>
        </xdr:cNvGrpSpPr>
      </xdr:nvGrpSpPr>
      <xdr:grpSpPr bwMode="auto">
        <a:xfrm>
          <a:off x="593725" y="2951163"/>
          <a:ext cx="1504950" cy="371475"/>
          <a:chOff x="1343025" y="2428876"/>
          <a:chExt cx="3240982" cy="617274"/>
        </a:xfrm>
      </xdr:grpSpPr>
      <xdr:sp macro="" textlink="">
        <xdr:nvSpPr>
          <xdr:cNvPr id="2800265"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66"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2800259" name="Picture 2012"/>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2800261" name="Picture 2016"/>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2800263" name="Picture 2018"/>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27887"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3</xdr:col>
      <xdr:colOff>736600</xdr:colOff>
      <xdr:row>34</xdr:row>
      <xdr:rowOff>0</xdr:rowOff>
    </xdr:from>
    <xdr:to>
      <xdr:col>6</xdr:col>
      <xdr:colOff>701675</xdr:colOff>
      <xdr:row>46</xdr:row>
      <xdr:rowOff>6350</xdr:rowOff>
    </xdr:to>
    <xdr:cxnSp macro="">
      <xdr:nvCxnSpPr>
        <xdr:cNvPr id="2305189" name="AutoShape 100"/>
        <xdr:cNvCxnSpPr>
          <a:cxnSpLocks noChangeShapeType="1"/>
        </xdr:cNvCxnSpPr>
      </xdr:nvCxnSpPr>
      <xdr:spPr bwMode="auto">
        <a:xfrm>
          <a:off x="5651500" y="5803900"/>
          <a:ext cx="3508375" cy="379095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1244600</xdr:colOff>
      <xdr:row>46</xdr:row>
      <xdr:rowOff>88900</xdr:rowOff>
    </xdr:from>
    <xdr:to>
      <xdr:col>5</xdr:col>
      <xdr:colOff>25400</xdr:colOff>
      <xdr:row>46</xdr:row>
      <xdr:rowOff>101600</xdr:rowOff>
    </xdr:to>
    <xdr:cxnSp macro="">
      <xdr:nvCxnSpPr>
        <xdr:cNvPr id="2305190" name="AutoShape 101"/>
        <xdr:cNvCxnSpPr>
          <a:cxnSpLocks noChangeShapeType="1"/>
        </xdr:cNvCxnSpPr>
      </xdr:nvCxnSpPr>
      <xdr:spPr bwMode="auto">
        <a:xfrm flipH="1">
          <a:off x="6159500" y="9677400"/>
          <a:ext cx="1155700" cy="1270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533400</xdr:colOff>
      <xdr:row>8</xdr:row>
      <xdr:rowOff>95250</xdr:rowOff>
    </xdr:from>
    <xdr:to>
      <xdr:col>11</xdr:col>
      <xdr:colOff>885825</xdr:colOff>
      <xdr:row>14</xdr:row>
      <xdr:rowOff>190500</xdr:rowOff>
    </xdr:to>
    <xdr:graphicFrame macro="">
      <xdr:nvGraphicFramePr>
        <xdr:cNvPr id="2125205"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190500</xdr:colOff>
      <xdr:row>16</xdr:row>
      <xdr:rowOff>47625</xdr:rowOff>
    </xdr:from>
    <xdr:to>
      <xdr:col>5</xdr:col>
      <xdr:colOff>885825</xdr:colOff>
      <xdr:row>25</xdr:row>
      <xdr:rowOff>180975</xdr:rowOff>
    </xdr:to>
    <xdr:graphicFrame macro="">
      <xdr:nvGraphicFramePr>
        <xdr:cNvPr id="2125206"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161925</xdr:colOff>
      <xdr:row>8</xdr:row>
      <xdr:rowOff>142875</xdr:rowOff>
    </xdr:from>
    <xdr:to>
      <xdr:col>6</xdr:col>
      <xdr:colOff>28575</xdr:colOff>
      <xdr:row>14</xdr:row>
      <xdr:rowOff>76200</xdr:rowOff>
    </xdr:to>
    <xdr:graphicFrame macro="">
      <xdr:nvGraphicFramePr>
        <xdr:cNvPr id="2125207"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16</xdr:row>
      <xdr:rowOff>57150</xdr:rowOff>
    </xdr:from>
    <xdr:to>
      <xdr:col>11</xdr:col>
      <xdr:colOff>914400</xdr:colOff>
      <xdr:row>24</xdr:row>
      <xdr:rowOff>76200</xdr:rowOff>
    </xdr:to>
    <xdr:graphicFrame macro="">
      <xdr:nvGraphicFramePr>
        <xdr:cNvPr id="2125208"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161925</xdr:colOff>
      <xdr:row>27</xdr:row>
      <xdr:rowOff>142875</xdr:rowOff>
    </xdr:from>
    <xdr:to>
      <xdr:col>5</xdr:col>
      <xdr:colOff>838200</xdr:colOff>
      <xdr:row>33</xdr:row>
      <xdr:rowOff>114300</xdr:rowOff>
    </xdr:to>
    <xdr:graphicFrame macro="">
      <xdr:nvGraphicFramePr>
        <xdr:cNvPr id="2125209"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159115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219075</xdr:colOff>
      <xdr:row>9</xdr:row>
      <xdr:rowOff>85725</xdr:rowOff>
    </xdr:from>
    <xdr:to>
      <xdr:col>10</xdr:col>
      <xdr:colOff>714375</xdr:colOff>
      <xdr:row>20</xdr:row>
      <xdr:rowOff>38100</xdr:rowOff>
    </xdr:to>
    <xdr:grpSp>
      <xdr:nvGrpSpPr>
        <xdr:cNvPr id="1591155" name="Group 489"/>
        <xdr:cNvGrpSpPr>
          <a:grpSpLocks/>
        </xdr:cNvGrpSpPr>
      </xdr:nvGrpSpPr>
      <xdr:grpSpPr bwMode="auto">
        <a:xfrm>
          <a:off x="4095336" y="3241399"/>
          <a:ext cx="3228561" cy="2047875"/>
          <a:chOff x="414" y="213"/>
          <a:chExt cx="366" cy="250"/>
        </a:xfrm>
      </xdr:grpSpPr>
      <xdr:graphicFrame macro="">
        <xdr:nvGraphicFramePr>
          <xdr:cNvPr id="1591159" name="Chart 31"/>
          <xdr:cNvGraphicFramePr>
            <a:graphicFrameLocks/>
          </xdr:cNvGraphicFramePr>
        </xdr:nvGraphicFramePr>
        <xdr:xfrm>
          <a:off x="414" y="213"/>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1591160" name="Picture 477" descr="one"/>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6" y="441"/>
            <a:ext cx="297"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85725</xdr:rowOff>
    </xdr:from>
    <xdr:to>
      <xdr:col>6</xdr:col>
      <xdr:colOff>85725</xdr:colOff>
      <xdr:row>32</xdr:row>
      <xdr:rowOff>66675</xdr:rowOff>
    </xdr:to>
    <xdr:grpSp>
      <xdr:nvGrpSpPr>
        <xdr:cNvPr id="1591156" name="Group 490"/>
        <xdr:cNvGrpSpPr>
          <a:grpSpLocks/>
        </xdr:cNvGrpSpPr>
      </xdr:nvGrpSpPr>
      <xdr:grpSpPr bwMode="auto">
        <a:xfrm>
          <a:off x="0" y="7598051"/>
          <a:ext cx="3961986" cy="2374624"/>
          <a:chOff x="0" y="505"/>
          <a:chExt cx="407" cy="255"/>
        </a:xfrm>
      </xdr:grpSpPr>
      <xdr:graphicFrame macro="">
        <xdr:nvGraphicFramePr>
          <xdr:cNvPr id="1591157"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1591158" name="Picture 487" descr="ok"/>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6" y="738"/>
            <a:ext cx="259"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209550</xdr:colOff>
      <xdr:row>9</xdr:row>
      <xdr:rowOff>47625</xdr:rowOff>
    </xdr:from>
    <xdr:to>
      <xdr:col>10</xdr:col>
      <xdr:colOff>600075</xdr:colOff>
      <xdr:row>16</xdr:row>
      <xdr:rowOff>104775</xdr:rowOff>
    </xdr:to>
    <xdr:graphicFrame macro="">
      <xdr:nvGraphicFramePr>
        <xdr:cNvPr id="21433"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619125</xdr:colOff>
      <xdr:row>9</xdr:row>
      <xdr:rowOff>85725</xdr:rowOff>
    </xdr:from>
    <xdr:to>
      <xdr:col>16</xdr:col>
      <xdr:colOff>752475</xdr:colOff>
      <xdr:row>16</xdr:row>
      <xdr:rowOff>95250</xdr:rowOff>
    </xdr:to>
    <xdr:graphicFrame macro="">
      <xdr:nvGraphicFramePr>
        <xdr:cNvPr id="21435"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542925</xdr:colOff>
      <xdr:row>9</xdr:row>
      <xdr:rowOff>19050</xdr:rowOff>
    </xdr:from>
    <xdr:to>
      <xdr:col>4</xdr:col>
      <xdr:colOff>276225</xdr:colOff>
      <xdr:row>16</xdr:row>
      <xdr:rowOff>9525</xdr:rowOff>
    </xdr:to>
    <xdr:graphicFrame macro="">
      <xdr:nvGraphicFramePr>
        <xdr:cNvPr id="21436"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2514391" name="Group 41"/>
        <xdr:cNvGrpSpPr>
          <a:grpSpLocks/>
        </xdr:cNvGrpSpPr>
      </xdr:nvGrpSpPr>
      <xdr:grpSpPr bwMode="auto">
        <a:xfrm>
          <a:off x="7226300" y="7556500"/>
          <a:ext cx="85725" cy="0"/>
          <a:chOff x="595" y="540"/>
          <a:chExt cx="9" cy="9"/>
        </a:xfrm>
      </xdr:grpSpPr>
      <xdr:sp macro="" textlink="">
        <xdr:nvSpPr>
          <xdr:cNvPr id="2514402"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3"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8</xdr:col>
      <xdr:colOff>981075</xdr:colOff>
      <xdr:row>20</xdr:row>
      <xdr:rowOff>0</xdr:rowOff>
    </xdr:from>
    <xdr:to>
      <xdr:col>9</xdr:col>
      <xdr:colOff>9525</xdr:colOff>
      <xdr:row>20</xdr:row>
      <xdr:rowOff>0</xdr:rowOff>
    </xdr:to>
    <xdr:grpSp>
      <xdr:nvGrpSpPr>
        <xdr:cNvPr id="2514392" name="Group 44"/>
        <xdr:cNvGrpSpPr>
          <a:grpSpLocks/>
        </xdr:cNvGrpSpPr>
      </xdr:nvGrpSpPr>
      <xdr:grpSpPr bwMode="auto">
        <a:xfrm>
          <a:off x="8207375" y="7556500"/>
          <a:ext cx="82550" cy="0"/>
          <a:chOff x="698" y="540"/>
          <a:chExt cx="9" cy="9"/>
        </a:xfrm>
      </xdr:grpSpPr>
      <xdr:sp macro="" textlink="">
        <xdr:nvSpPr>
          <xdr:cNvPr id="2514400"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1"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781050</xdr:colOff>
      <xdr:row>20</xdr:row>
      <xdr:rowOff>0</xdr:rowOff>
    </xdr:from>
    <xdr:to>
      <xdr:col>7</xdr:col>
      <xdr:colOff>0</xdr:colOff>
      <xdr:row>20</xdr:row>
      <xdr:rowOff>0</xdr:rowOff>
    </xdr:to>
    <xdr:grpSp>
      <xdr:nvGrpSpPr>
        <xdr:cNvPr id="2514393" name="Group 47"/>
        <xdr:cNvGrpSpPr>
          <a:grpSpLocks/>
        </xdr:cNvGrpSpPr>
      </xdr:nvGrpSpPr>
      <xdr:grpSpPr bwMode="auto">
        <a:xfrm>
          <a:off x="5175250" y="7556500"/>
          <a:ext cx="1758950" cy="0"/>
          <a:chOff x="698" y="540"/>
          <a:chExt cx="9" cy="9"/>
        </a:xfrm>
      </xdr:grpSpPr>
      <xdr:sp macro="" textlink="">
        <xdr:nvSpPr>
          <xdr:cNvPr id="2514398"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9"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0</xdr:colOff>
      <xdr:row>20</xdr:row>
      <xdr:rowOff>0</xdr:rowOff>
    </xdr:from>
    <xdr:to>
      <xdr:col>3</xdr:col>
      <xdr:colOff>85725</xdr:colOff>
      <xdr:row>20</xdr:row>
      <xdr:rowOff>0</xdr:rowOff>
    </xdr:to>
    <xdr:grpSp>
      <xdr:nvGrpSpPr>
        <xdr:cNvPr id="2514394" name="Group 50"/>
        <xdr:cNvGrpSpPr>
          <a:grpSpLocks/>
        </xdr:cNvGrpSpPr>
      </xdr:nvGrpSpPr>
      <xdr:grpSpPr bwMode="auto">
        <a:xfrm>
          <a:off x="1435100" y="7556500"/>
          <a:ext cx="85725" cy="0"/>
          <a:chOff x="595" y="540"/>
          <a:chExt cx="9" cy="9"/>
        </a:xfrm>
      </xdr:grpSpPr>
      <xdr:sp macro="" textlink="">
        <xdr:nvSpPr>
          <xdr:cNvPr id="2514396"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7"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2607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62" r="H124" connectionId="0">
    <xmlCellPr id="1" uniqueName="1">
      <xmlPr mapId="43" xpath="/ns1:Root/ns1:Prog/ns1:Target_P1_5" xmlDataType="double"/>
    </xmlCellPr>
  </singleXmlCell>
  <singleXmlCell id="663" r="I124" connectionId="0">
    <xmlCellPr id="1" uniqueName="1">
      <xmlPr mapId="43" xpath="/ns1:Root/ns1:Prog/ns1:Target_P2_5" xmlDataType="double"/>
    </xmlCellPr>
  </singleXmlCell>
  <singleXmlCell id="664" r="J124" connectionId="0">
    <xmlCellPr id="1" uniqueName="1">
      <xmlPr mapId="43" xpath="/ns1:Root/ns1:Prog/ns1:Target_P3_5" xmlDataType="double"/>
    </xmlCellPr>
  </singleXmlCell>
  <singleXmlCell id="665" r="K124" connectionId="0">
    <xmlCellPr id="1" uniqueName="1">
      <xmlPr mapId="43" xpath="/ns1:Root/ns1:Prog/ns1:Target_P4_5" xmlDataType="double"/>
    </xmlCellPr>
  </singleXmlCell>
  <singleXmlCell id="666" r="L124" connectionId="0">
    <xmlCellPr id="1" uniqueName="1">
      <xmlPr mapId="43" xpath="/ns1:Root/ns1:Prog/ns1:Target_P5_5" xmlDataType="double"/>
    </xmlCellPr>
  </singleXmlCell>
  <singleXmlCell id="667" r="M124" connectionId="0">
    <xmlCellPr id="1" uniqueName="1">
      <xmlPr mapId="43" xpath="/ns1:Root/ns1:Prog/ns1:Target_P6_5" xmlDataType="double"/>
    </xmlCellPr>
  </singleXmlCell>
  <singleXmlCell id="668" r="N124" connectionId="0">
    <xmlCellPr id="1" uniqueName="1">
      <xmlPr mapId="43" xpath="/ns1:Root/ns1:Prog/ns1:Target_P7_5" xmlDataType="double"/>
    </xmlCellPr>
  </singleXmlCell>
  <singleXmlCell id="669" r="O124" connectionId="0">
    <xmlCellPr id="1" uniqueName="1">
      <xmlPr mapId="43" xpath="/ns1:Root/ns1:Prog/ns1:Target_P8_5" xmlDataType="double"/>
    </xmlCellPr>
  </singleXmlCell>
  <singleXmlCell id="670" r="P124" connectionId="0">
    <xmlCellPr id="1" uniqueName="1">
      <xmlPr mapId="43" xpath="/ns1:Root/ns1:Prog/ns1:Target_P9_5" xmlDataType="double"/>
    </xmlCellPr>
  </singleXmlCell>
  <singleXmlCell id="671" r="Q124" connectionId="0">
    <xmlCellPr id="1" uniqueName="1">
      <xmlPr mapId="43" xpath="/ns1:Root/ns1:Prog/ns1:Target_P10_5" xmlDataType="double"/>
    </xmlCellPr>
  </singleXmlCell>
  <singleXmlCell id="672" r="R124" connectionId="0">
    <xmlCellPr id="1" uniqueName="1">
      <xmlPr mapId="43" xpath="/ns1:Root/ns1:Prog/ns1:Target_P11_5" xmlDataType="double"/>
    </xmlCellPr>
  </singleXmlCell>
  <singleXmlCell id="673" r="S124" connectionId="0">
    <xmlCellPr id="1" uniqueName="1">
      <xmlPr mapId="43" xpath="/ns1:Root/ns1:Prog/ns1:Target_P12_5" xmlDataType="double"/>
    </xmlCellPr>
  </singleXmlCell>
  <singleXmlCell id="674" r="H125" connectionId="0">
    <xmlCellPr id="1" uniqueName="1">
      <xmlPr mapId="43" xpath="/ns1:Root/ns1:Prog/ns1:Achieved__P1_5" xmlDataType="double"/>
    </xmlCellPr>
  </singleXmlCell>
  <singleXmlCell id="675" r="I125" connectionId="0">
    <xmlCellPr id="1" uniqueName="1">
      <xmlPr mapId="43" xpath="/ns1:Root/ns1:Prog/ns1:Achieved__P2_5" xmlDataType="double"/>
    </xmlCellPr>
  </singleXmlCell>
  <singleXmlCell id="676" r="J125" connectionId="0">
    <xmlCellPr id="1" uniqueName="1">
      <xmlPr mapId="43" xpath="/ns1:Root/ns1:Prog/ns1:Achieved__P3_5" xmlDataType="double"/>
    </xmlCellPr>
  </singleXmlCell>
  <singleXmlCell id="677" r="K125" connectionId="0">
    <xmlCellPr id="1" uniqueName="1">
      <xmlPr mapId="43" xpath="/ns1:Root/ns1:Prog/ns1:Achieved__P4_5" xmlDataType="double"/>
    </xmlCellPr>
  </singleXmlCell>
  <singleXmlCell id="678" r="L125" connectionId="0">
    <xmlCellPr id="1" uniqueName="1">
      <xmlPr mapId="43" xpath="/ns1:Root/ns1:Prog/ns1:Achieved__P5_5" xmlDataType="string"/>
    </xmlCellPr>
  </singleXmlCell>
  <singleXmlCell id="679" r="M125" connectionId="0">
    <xmlCellPr id="1" uniqueName="1">
      <xmlPr mapId="43" xpath="/ns1:Root/ns1:Prog/ns1:Achieved__P6_5" xmlDataType="string"/>
    </xmlCellPr>
  </singleXmlCell>
  <singleXmlCell id="680" r="N125" connectionId="0">
    <xmlCellPr id="1" uniqueName="1">
      <xmlPr mapId="43" xpath="/ns1:Root/ns1:Prog/ns1:Achieved__P7_5" xmlDataType="string"/>
    </xmlCellPr>
  </singleXmlCell>
  <singleXmlCell id="681" r="O125" connectionId="0">
    <xmlCellPr id="1" uniqueName="1">
      <xmlPr mapId="43" xpath="/ns1:Root/ns1:Prog/ns1:Achieved__P8_5" xmlDataType="string"/>
    </xmlCellPr>
  </singleXmlCell>
  <singleXmlCell id="682" r="P125" connectionId="0">
    <xmlCellPr id="1" uniqueName="1">
      <xmlPr mapId="43" xpath="/ns1:Root/ns1:Prog/ns1:Achieved__P9_5" xmlDataType="string"/>
    </xmlCellPr>
  </singleXmlCell>
  <singleXmlCell id="683" r="Q125" connectionId="0">
    <xmlCellPr id="1" uniqueName="1">
      <xmlPr mapId="43" xpath="/ns1:Root/ns1:Prog/ns1:Achieved__P10_5" xmlDataType="string"/>
    </xmlCellPr>
  </singleXmlCell>
  <singleXmlCell id="684" r="R125" connectionId="0">
    <xmlCellPr id="1" uniqueName="1">
      <xmlPr mapId="43" xpath="/ns1:Root/ns1:Prog/ns1:Achieved__P11_5" xmlDataType="string"/>
    </xmlCellPr>
  </singleXmlCell>
  <singleXmlCell id="685" r="S125" connectionId="0">
    <xmlCellPr id="1" uniqueName="1">
      <xmlPr mapId="43" xpath="/ns1:Root/ns1:Prog/ns1:Achieved__P12_5" xmlDataType="string"/>
    </xmlCellPr>
  </singleXmlCell>
  <singleXmlCell id="686" r="H126" connectionId="0">
    <xmlCellPr id="1" uniqueName="1">
      <xmlPr mapId="43" xpath="/ns1:Root/ns1:Prog/ns1:Target_P1_6" xmlDataType="double"/>
    </xmlCellPr>
  </singleXmlCell>
  <singleXmlCell id="687" r="I126" connectionId="0">
    <xmlCellPr id="1" uniqueName="1">
      <xmlPr mapId="43" xpath="/ns1:Root/ns1:Prog/ns1:Target_P2_6" xmlDataType="double"/>
    </xmlCellPr>
  </singleXmlCell>
  <singleXmlCell id="688" r="J126" connectionId="0">
    <xmlCellPr id="1" uniqueName="1">
      <xmlPr mapId="43" xpath="/ns1:Root/ns1:Prog/ns1:Target_P3_6" xmlDataType="double"/>
    </xmlCellPr>
  </singleXmlCell>
  <singleXmlCell id="689" r="K126" connectionId="0">
    <xmlCellPr id="1" uniqueName="1">
      <xmlPr mapId="43" xpath="/ns1:Root/ns1:Prog/ns1:Target_P4_6" xmlDataType="double"/>
    </xmlCellPr>
  </singleXmlCell>
  <singleXmlCell id="690" r="L126" connectionId="0">
    <xmlCellPr id="1" uniqueName="1">
      <xmlPr mapId="43" xpath="/ns1:Root/ns1:Prog/ns1:Target_P5_6" xmlDataType="double"/>
    </xmlCellPr>
  </singleXmlCell>
  <singleXmlCell id="691" r="M126" connectionId="0">
    <xmlCellPr id="1" uniqueName="1">
      <xmlPr mapId="43" xpath="/ns1:Root/ns1:Prog/ns1:Target_P6_6" xmlDataType="double"/>
    </xmlCellPr>
  </singleXmlCell>
  <singleXmlCell id="692" r="N126" connectionId="0">
    <xmlCellPr id="1" uniqueName="1">
      <xmlPr mapId="43" xpath="/ns1:Root/ns1:Prog/ns1:Target_P7_6" xmlDataType="double"/>
    </xmlCellPr>
  </singleXmlCell>
  <singleXmlCell id="693" r="O126" connectionId="0">
    <xmlCellPr id="1" uniqueName="1">
      <xmlPr mapId="43" xpath="/ns1:Root/ns1:Prog/ns1:Target_P8_6" xmlDataType="double"/>
    </xmlCellPr>
  </singleXmlCell>
  <singleXmlCell id="694" r="P126" connectionId="0">
    <xmlCellPr id="1" uniqueName="1">
      <xmlPr mapId="43" xpath="/ns1:Root/ns1:Prog/ns1:Target_P9_6" xmlDataType="double"/>
    </xmlCellPr>
  </singleXmlCell>
  <singleXmlCell id="695" r="Q126" connectionId="0">
    <xmlCellPr id="1" uniqueName="1">
      <xmlPr mapId="43" xpath="/ns1:Root/ns1:Prog/ns1:Target_P10_6" xmlDataType="double"/>
    </xmlCellPr>
  </singleXmlCell>
  <singleXmlCell id="696" r="R126" connectionId="0">
    <xmlCellPr id="1" uniqueName="1">
      <xmlPr mapId="43" xpath="/ns1:Root/ns1:Prog/ns1:Target_P11_6" xmlDataType="double"/>
    </xmlCellPr>
  </singleXmlCell>
  <singleXmlCell id="697" r="S126" connectionId="0">
    <xmlCellPr id="1" uniqueName="1">
      <xmlPr mapId="43" xpath="/ns1:Root/ns1:Prog/ns1:Target_P12_6" xmlDataType="double"/>
    </xmlCellPr>
  </singleXmlCell>
  <singleXmlCell id="698" r="H127" connectionId="0">
    <xmlCellPr id="1" uniqueName="1">
      <xmlPr mapId="43" xpath="/ns1:Root/ns1:Prog/ns1:Achieved__P1_6" xmlDataType="double"/>
    </xmlCellPr>
  </singleXmlCell>
  <singleXmlCell id="699" r="I127" connectionId="0">
    <xmlCellPr id="1" uniqueName="1">
      <xmlPr mapId="43" xpath="/ns1:Root/ns1:Prog/ns1:Achieved__P2_6" xmlDataType="double"/>
    </xmlCellPr>
  </singleXmlCell>
  <singleXmlCell id="700" r="J127" connectionId="0">
    <xmlCellPr id="1" uniqueName="1">
      <xmlPr mapId="43" xpath="/ns1:Root/ns1:Prog/ns1:Achieved__P3_6" xmlDataType="double"/>
    </xmlCellPr>
  </singleXmlCell>
  <singleXmlCell id="701" r="K127" connectionId="0">
    <xmlCellPr id="1" uniqueName="1">
      <xmlPr mapId="43" xpath="/ns1:Root/ns1:Prog/ns1:Achieved__P4_6" xmlDataType="double"/>
    </xmlCellPr>
  </singleXmlCell>
  <singleXmlCell id="702" r="L127" connectionId="0">
    <xmlCellPr id="1" uniqueName="1">
      <xmlPr mapId="43" xpath="/ns1:Root/ns1:Prog/ns1:Achieved__P5_6" xmlDataType="string"/>
    </xmlCellPr>
  </singleXmlCell>
  <singleXmlCell id="703" r="M127" connectionId="0">
    <xmlCellPr id="1" uniqueName="1">
      <xmlPr mapId="43" xpath="/ns1:Root/ns1:Prog/ns1:Achieved__P6_6" xmlDataType="string"/>
    </xmlCellPr>
  </singleXmlCell>
  <singleXmlCell id="704" r="N127" connectionId="0">
    <xmlCellPr id="1" uniqueName="1">
      <xmlPr mapId="43" xpath="/ns1:Root/ns1:Prog/ns1:Achieved__P7_6" xmlDataType="string"/>
    </xmlCellPr>
  </singleXmlCell>
  <singleXmlCell id="705" r="O127" connectionId="0">
    <xmlCellPr id="1" uniqueName="1">
      <xmlPr mapId="43" xpath="/ns1:Root/ns1:Prog/ns1:Achieved__P8_6" xmlDataType="string"/>
    </xmlCellPr>
  </singleXmlCell>
  <singleXmlCell id="706" r="P127" connectionId="0">
    <xmlCellPr id="1" uniqueName="1">
      <xmlPr mapId="43" xpath="/ns1:Root/ns1:Prog/ns1:Achieved__P9_6" xmlDataType="string"/>
    </xmlCellPr>
  </singleXmlCell>
  <singleXmlCell id="707" r="Q127" connectionId="0">
    <xmlCellPr id="1" uniqueName="1">
      <xmlPr mapId="43" xpath="/ns1:Root/ns1:Prog/ns1:Achieved__P10_6" xmlDataType="string"/>
    </xmlCellPr>
  </singleXmlCell>
  <singleXmlCell id="708" r="R127" connectionId="0">
    <xmlCellPr id="1" uniqueName="1">
      <xmlPr mapId="43" xpath="/ns1:Root/ns1:Prog/ns1:Achieved__P11_6" xmlDataType="string"/>
    </xmlCellPr>
  </singleXmlCell>
  <singleXmlCell id="709" r="S127" connectionId="0">
    <xmlCellPr id="1" uniqueName="1">
      <xmlPr mapId="43" xpath="/ns1:Root/ns1:Prog/ns1:Achieved__P12_6" xmlDataType="string"/>
    </xmlCellPr>
  </singleXmlCell>
  <singleXmlCell id="710" r="H128" connectionId="0">
    <xmlCellPr id="1" uniqueName="1">
      <xmlPr mapId="43" xpath="/ns1:Root/ns1:Prog/ns1:Target_P1_7" xmlDataType="double"/>
    </xmlCellPr>
  </singleXmlCell>
  <singleXmlCell id="711" r="I128" connectionId="0">
    <xmlCellPr id="1" uniqueName="1">
      <xmlPr mapId="43" xpath="/ns1:Root/ns1:Prog/ns1:Target_P2_7" xmlDataType="double"/>
    </xmlCellPr>
  </singleXmlCell>
  <singleXmlCell id="712" r="J128" connectionId="0">
    <xmlCellPr id="1" uniqueName="1">
      <xmlPr mapId="43" xpath="/ns1:Root/ns1:Prog/ns1:Target_P3_7" xmlDataType="double"/>
    </xmlCellPr>
  </singleXmlCell>
  <singleXmlCell id="713" r="K128" connectionId="0">
    <xmlCellPr id="1" uniqueName="1">
      <xmlPr mapId="43" xpath="/ns1:Root/ns1:Prog/ns1:Target_P4_7" xmlDataType="double"/>
    </xmlCellPr>
  </singleXmlCell>
  <singleXmlCell id="714" r="L128" connectionId="0">
    <xmlCellPr id="1" uniqueName="1">
      <xmlPr mapId="43" xpath="/ns1:Root/ns1:Prog/ns1:Target_P5_7" xmlDataType="double"/>
    </xmlCellPr>
  </singleXmlCell>
  <singleXmlCell id="715" r="M128" connectionId="0">
    <xmlCellPr id="1" uniqueName="1">
      <xmlPr mapId="43" xpath="/ns1:Root/ns1:Prog/ns1:Target_P6_7" xmlDataType="double"/>
    </xmlCellPr>
  </singleXmlCell>
  <singleXmlCell id="716" r="N128" connectionId="0">
    <xmlCellPr id="1" uniqueName="1">
      <xmlPr mapId="43" xpath="/ns1:Root/ns1:Prog/ns1:Target_P7_7" xmlDataType="double"/>
    </xmlCellPr>
  </singleXmlCell>
  <singleXmlCell id="717" r="O128" connectionId="0">
    <xmlCellPr id="1" uniqueName="1">
      <xmlPr mapId="43" xpath="/ns1:Root/ns1:Prog/ns1:Target_P8_7" xmlDataType="double"/>
    </xmlCellPr>
  </singleXmlCell>
  <singleXmlCell id="718" r="P128" connectionId="0">
    <xmlCellPr id="1" uniqueName="1">
      <xmlPr mapId="43" xpath="/ns1:Root/ns1:Prog/ns1:Target_P9_7" xmlDataType="double"/>
    </xmlCellPr>
  </singleXmlCell>
  <singleXmlCell id="719" r="Q128" connectionId="0">
    <xmlCellPr id="1" uniqueName="1">
      <xmlPr mapId="43" xpath="/ns1:Root/ns1:Prog/ns1:Target_P10_7" xmlDataType="double"/>
    </xmlCellPr>
  </singleXmlCell>
  <singleXmlCell id="720" r="R128" connectionId="0">
    <xmlCellPr id="1" uniqueName="1">
      <xmlPr mapId="43" xpath="/ns1:Root/ns1:Prog/ns1:Target_P11_7" xmlDataType="double"/>
    </xmlCellPr>
  </singleXmlCell>
  <singleXmlCell id="721" r="S128" connectionId="0">
    <xmlCellPr id="1" uniqueName="1">
      <xmlPr mapId="43" xpath="/ns1:Root/ns1:Prog/ns1:Target_P12_7" xmlDataType="double"/>
    </xmlCellPr>
  </singleXmlCell>
  <singleXmlCell id="722" r="H129" connectionId="0">
    <xmlCellPr id="1" uniqueName="1">
      <xmlPr mapId="43" xpath="/ns1:Root/ns1:Prog/ns1:Achieved__P1_7" xmlDataType="double"/>
    </xmlCellPr>
  </singleXmlCell>
  <singleXmlCell id="723" r="I129" connectionId="0">
    <xmlCellPr id="1" uniqueName="1">
      <xmlPr mapId="43" xpath="/ns1:Root/ns1:Prog/ns1:Achieved__P2_7" xmlDataType="double"/>
    </xmlCellPr>
  </singleXmlCell>
  <singleXmlCell id="724" r="J129" connectionId="0">
    <xmlCellPr id="1" uniqueName="1">
      <xmlPr mapId="43" xpath="/ns1:Root/ns1:Prog/ns1:Achieved__P3_7" xmlDataType="double"/>
    </xmlCellPr>
  </singleXmlCell>
  <singleXmlCell id="725" r="K129" connectionId="0">
    <xmlCellPr id="1" uniqueName="1">
      <xmlPr mapId="43" xpath="/ns1:Root/ns1:Prog/ns1:Achieved__P4_7" xmlDataType="double"/>
    </xmlCellPr>
  </singleXmlCell>
  <singleXmlCell id="726" r="L129" connectionId="0">
    <xmlCellPr id="1" uniqueName="1">
      <xmlPr mapId="43" xpath="/ns1:Root/ns1:Prog/ns1:Achieved__P5_7" xmlDataType="string"/>
    </xmlCellPr>
  </singleXmlCell>
  <singleXmlCell id="727" r="M129" connectionId="0">
    <xmlCellPr id="1" uniqueName="1">
      <xmlPr mapId="43" xpath="/ns1:Root/ns1:Prog/ns1:Achieved__P6_7" xmlDataType="string"/>
    </xmlCellPr>
  </singleXmlCell>
  <singleXmlCell id="728" r="N129" connectionId="0">
    <xmlCellPr id="1" uniqueName="1">
      <xmlPr mapId="43" xpath="/ns1:Root/ns1:Prog/ns1:Achieved__P7_7" xmlDataType="string"/>
    </xmlCellPr>
  </singleXmlCell>
  <singleXmlCell id="729" r="O129" connectionId="0">
    <xmlCellPr id="1" uniqueName="1">
      <xmlPr mapId="43" xpath="/ns1:Root/ns1:Prog/ns1:Achieved__P8_7" xmlDataType="string"/>
    </xmlCellPr>
  </singleXmlCell>
  <singleXmlCell id="730" r="P129" connectionId="0">
    <xmlCellPr id="1" uniqueName="1">
      <xmlPr mapId="43" xpath="/ns1:Root/ns1:Prog/ns1:Achieved__P9_7" xmlDataType="string"/>
    </xmlCellPr>
  </singleXmlCell>
  <singleXmlCell id="731" r="Q129" connectionId="0">
    <xmlCellPr id="1" uniqueName="1">
      <xmlPr mapId="43" xpath="/ns1:Root/ns1:Prog/ns1:Achieved__P10_7" xmlDataType="string"/>
    </xmlCellPr>
  </singleXmlCell>
  <singleXmlCell id="732" r="R129" connectionId="0">
    <xmlCellPr id="1" uniqueName="1">
      <xmlPr mapId="43" xpath="/ns1:Root/ns1:Prog/ns1:Achieved__P11_7" xmlDataType="string"/>
    </xmlCellPr>
  </singleXmlCell>
  <singleXmlCell id="733" r="S129"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9" r="B124" connectionId="0">
    <xmlCellPr id="1" uniqueName="1">
      <xmlPr mapId="43" xpath="/ns1:Root/ns1:P5" xmlDataType="string"/>
    </xmlCellPr>
  </singleXmlCell>
  <singleXmlCell id="820" r="E124" connectionId="0">
    <xmlCellPr id="1" uniqueName="1">
      <xmlPr mapId="43" xpath="/ns1:Root/ns1:P5_Code" xmlDataType="double"/>
    </xmlCellPr>
  </singleXmlCell>
  <singleXmlCell id="821" r="F124" connectionId="0">
    <xmlCellPr id="1" uniqueName="1">
      <xmlPr mapId="43" xpath="/ns1:Root/ns1:P5_Tied" xmlDataType="string"/>
    </xmlCellPr>
  </singleXmlCell>
  <singleXmlCell id="822" r="B126" connectionId="0">
    <xmlCellPr id="1" uniqueName="1">
      <xmlPr mapId="43" xpath="/ns1:Root/ns1:P6" xmlDataType="string"/>
    </xmlCellPr>
  </singleXmlCell>
  <singleXmlCell id="823" r="E126" connectionId="0">
    <xmlCellPr id="1" uniqueName="1">
      <xmlPr mapId="43" xpath="/ns1:Root/ns1:P6_Code" xmlDataType="double"/>
    </xmlCellPr>
  </singleXmlCell>
  <singleXmlCell id="824" r="F126" connectionId="0">
    <xmlCellPr id="1" uniqueName="1">
      <xmlPr mapId="43" xpath="/ns1:Root/ns1:P6_Tied" xmlDataType="string"/>
    </xmlCellPr>
  </singleXmlCell>
  <singleXmlCell id="825" r="B128" connectionId="0">
    <xmlCellPr id="1" uniqueName="1">
      <xmlPr mapId="43" xpath="/ns1:Root/ns1:P7" xmlDataType="string"/>
    </xmlCellPr>
  </singleXmlCell>
  <singleXmlCell id="826" r="E128" connectionId="0">
    <xmlCellPr id="1" uniqueName="1">
      <xmlPr mapId="43" xpath="/ns1:Root/ns1:P7_Code" xmlDataType="double"/>
    </xmlCellPr>
  </singleXmlCell>
  <singleXmlCell id="827" r="F128"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topLeftCell="A4" zoomScale="120" zoomScaleNormal="100" workbookViewId="0">
      <selection activeCell="B2" sqref="B2:L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29" t="str">
        <f>+'Detail despre Grant'!B3:J3</f>
        <v>Tabel Programatic de Evaluare:  Moldova - TB</v>
      </c>
      <c r="C2" s="529"/>
      <c r="D2" s="529"/>
      <c r="E2" s="529"/>
      <c r="F2" s="529"/>
      <c r="G2" s="529"/>
      <c r="H2" s="529"/>
      <c r="I2" s="529"/>
      <c r="J2" s="529"/>
      <c r="K2" s="529"/>
      <c r="L2" s="529"/>
      <c r="M2" s="1"/>
      <c r="N2" s="1"/>
      <c r="O2" s="1"/>
    </row>
    <row r="4" spans="2:15" ht="21">
      <c r="B4" s="530" t="str">
        <f>+IF('Introducerea datelor'!G6="Please Select", "",'Introducerea datelor'!G6) &amp;"  "&amp;+IF('Introducerea datelor'!G8="Please Select", "", 'Introducerea datelor'!G8&amp;",  ")&amp;+IF('Introducerea datelor'!I8="Please Select","",'Introducerea datelor'!I8)</f>
        <v>TB  Faza 2</v>
      </c>
      <c r="C4" s="530"/>
      <c r="D4" s="530"/>
      <c r="E4" s="531"/>
      <c r="F4" s="196"/>
      <c r="G4" s="196"/>
      <c r="H4" s="292" t="str">
        <f>+'Introducerea datelor'!B6&amp;" "&amp;+'Introducerea datelor'!C6</f>
        <v xml:space="preserve">No. Grantului : MOL-T-PCIMU </v>
      </c>
      <c r="I4" s="292"/>
      <c r="J4" s="195"/>
      <c r="K4" s="196"/>
      <c r="L4" s="196"/>
    </row>
    <row r="22" spans="2:12" ht="26.25">
      <c r="B22" s="532" t="s">
        <v>276</v>
      </c>
      <c r="C22" s="533"/>
      <c r="D22" s="533"/>
      <c r="E22" s="533"/>
      <c r="F22" s="533"/>
      <c r="G22" s="533"/>
      <c r="H22" s="533"/>
      <c r="I22" s="533"/>
      <c r="J22" s="533"/>
      <c r="K22" s="533"/>
      <c r="L22" s="533"/>
    </row>
  </sheetData>
  <mergeCells count="3">
    <mergeCell ref="B2:L2"/>
    <mergeCell ref="B4:E4"/>
    <mergeCell ref="B22:L22"/>
  </mergeCells>
  <phoneticPr fontId="23"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940" t="str">
        <f>'Detail despre Grant'!B3:J3</f>
        <v>Tabel Programatic de Evaluare:  Moldova - TB</v>
      </c>
      <c r="C3" s="940"/>
      <c r="D3" s="940"/>
      <c r="E3" s="940"/>
      <c r="F3" s="940"/>
      <c r="G3" s="940"/>
      <c r="H3" s="940"/>
      <c r="I3" s="1"/>
    </row>
    <row r="6" spans="2:15" ht="18.75">
      <c r="B6" s="926" t="s">
        <v>247</v>
      </c>
      <c r="C6" s="926"/>
      <c r="D6" s="926"/>
      <c r="E6" s="926"/>
      <c r="F6" s="926"/>
      <c r="G6" s="926"/>
      <c r="H6" s="926"/>
    </row>
    <row r="8" spans="2:15" ht="18.75">
      <c r="B8" s="61" t="s">
        <v>13</v>
      </c>
      <c r="C8" s="61" t="s">
        <v>16</v>
      </c>
      <c r="D8" s="61" t="s">
        <v>17</v>
      </c>
      <c r="E8" s="61" t="s">
        <v>22</v>
      </c>
      <c r="F8" s="61" t="s">
        <v>231</v>
      </c>
      <c r="G8" s="61" t="s">
        <v>215</v>
      </c>
      <c r="H8" s="61" t="s">
        <v>234</v>
      </c>
      <c r="I8" s="62" t="s">
        <v>54</v>
      </c>
      <c r="J8" s="62" t="s">
        <v>80</v>
      </c>
      <c r="M8" s="19"/>
      <c r="N8" s="19"/>
      <c r="O8" s="19"/>
    </row>
    <row r="9" spans="2:15">
      <c r="B9" s="85" t="s">
        <v>270</v>
      </c>
      <c r="C9" s="85" t="s">
        <v>270</v>
      </c>
      <c r="D9" s="85" t="s">
        <v>270</v>
      </c>
      <c r="E9" s="85" t="s">
        <v>270</v>
      </c>
      <c r="F9" s="85" t="s">
        <v>270</v>
      </c>
      <c r="G9" s="85" t="s">
        <v>270</v>
      </c>
      <c r="H9" s="85" t="s">
        <v>270</v>
      </c>
      <c r="I9" s="345" t="s">
        <v>270</v>
      </c>
      <c r="J9" s="85" t="s">
        <v>270</v>
      </c>
      <c r="M9" s="19"/>
      <c r="N9" s="19"/>
      <c r="O9" s="19"/>
    </row>
    <row r="10" spans="2:15">
      <c r="B10" s="56" t="s">
        <v>12</v>
      </c>
      <c r="C10" s="56" t="s">
        <v>7</v>
      </c>
      <c r="D10" s="56" t="s">
        <v>5</v>
      </c>
      <c r="E10" s="56" t="s">
        <v>6</v>
      </c>
      <c r="F10" s="56" t="s">
        <v>62</v>
      </c>
      <c r="G10" s="351" t="s">
        <v>24</v>
      </c>
      <c r="H10" s="59" t="s">
        <v>29</v>
      </c>
      <c r="I10" s="26" t="s">
        <v>237</v>
      </c>
      <c r="J10" s="85" t="s">
        <v>81</v>
      </c>
      <c r="M10" s="19"/>
      <c r="N10" s="19"/>
      <c r="O10" s="19"/>
    </row>
    <row r="11" spans="2:15">
      <c r="B11" s="56" t="s">
        <v>14</v>
      </c>
      <c r="C11" s="56" t="s">
        <v>2</v>
      </c>
      <c r="D11" s="56" t="s">
        <v>8</v>
      </c>
      <c r="E11" s="56" t="s">
        <v>4</v>
      </c>
      <c r="F11" s="56" t="s">
        <v>63</v>
      </c>
      <c r="G11" s="351" t="s">
        <v>25</v>
      </c>
      <c r="H11" s="59" t="s">
        <v>30</v>
      </c>
      <c r="I11" s="26" t="s">
        <v>238</v>
      </c>
      <c r="J11" s="85" t="s">
        <v>82</v>
      </c>
      <c r="M11" s="19"/>
      <c r="N11" s="19"/>
      <c r="O11" s="19"/>
    </row>
    <row r="12" spans="2:15">
      <c r="B12" s="56" t="s">
        <v>15</v>
      </c>
      <c r="D12" s="56" t="s">
        <v>9</v>
      </c>
      <c r="E12" s="56" t="s">
        <v>10</v>
      </c>
      <c r="F12" s="56" t="s">
        <v>64</v>
      </c>
      <c r="G12" s="351" t="s">
        <v>26</v>
      </c>
      <c r="H12" s="59" t="s">
        <v>31</v>
      </c>
      <c r="I12" s="26" t="s">
        <v>239</v>
      </c>
      <c r="J12" s="85" t="s">
        <v>83</v>
      </c>
      <c r="M12" s="164"/>
      <c r="N12" s="19"/>
      <c r="O12" s="19"/>
    </row>
    <row r="13" spans="2:15">
      <c r="B13" s="56" t="s">
        <v>50</v>
      </c>
      <c r="D13" s="56" t="s">
        <v>11</v>
      </c>
      <c r="E13" s="57"/>
      <c r="F13" s="56" t="s">
        <v>65</v>
      </c>
      <c r="G13" s="351" t="s">
        <v>27</v>
      </c>
      <c r="H13" s="59" t="s">
        <v>32</v>
      </c>
      <c r="I13" s="26" t="s">
        <v>240</v>
      </c>
      <c r="J13" s="85" t="s">
        <v>84</v>
      </c>
      <c r="M13" s="164"/>
      <c r="N13" s="19"/>
      <c r="O13" s="19"/>
    </row>
    <row r="14" spans="2:15">
      <c r="B14" s="56" t="s">
        <v>51</v>
      </c>
      <c r="D14" s="56" t="s">
        <v>18</v>
      </c>
      <c r="F14" s="56" t="s">
        <v>72</v>
      </c>
      <c r="G14" s="351" t="s">
        <v>28</v>
      </c>
      <c r="H14" s="59" t="s">
        <v>33</v>
      </c>
      <c r="I14" s="26" t="s">
        <v>216</v>
      </c>
      <c r="J14" s="85" t="s">
        <v>85</v>
      </c>
      <c r="M14" s="164"/>
      <c r="N14" s="19"/>
      <c r="O14" s="19"/>
    </row>
    <row r="15" spans="2:15">
      <c r="D15" s="56" t="s">
        <v>19</v>
      </c>
      <c r="F15" s="56" t="s">
        <v>73</v>
      </c>
      <c r="H15" s="59" t="s">
        <v>34</v>
      </c>
      <c r="I15" s="26" t="s">
        <v>40</v>
      </c>
      <c r="J15" s="85" t="s">
        <v>86</v>
      </c>
      <c r="M15" s="164"/>
      <c r="N15" s="19"/>
      <c r="O15" s="19"/>
    </row>
    <row r="16" spans="2:15">
      <c r="D16" s="56" t="s">
        <v>20</v>
      </c>
      <c r="F16" s="56" t="s">
        <v>74</v>
      </c>
      <c r="H16" s="59" t="s">
        <v>35</v>
      </c>
      <c r="I16" s="26" t="s">
        <v>41</v>
      </c>
      <c r="J16" s="85" t="s">
        <v>87</v>
      </c>
      <c r="M16" s="164"/>
      <c r="N16" s="19"/>
      <c r="O16" s="19"/>
    </row>
    <row r="17" spans="4:15">
      <c r="D17" s="56" t="s">
        <v>21</v>
      </c>
      <c r="F17" s="56" t="s">
        <v>75</v>
      </c>
      <c r="H17" s="59" t="s">
        <v>36</v>
      </c>
      <c r="I17" s="26" t="s">
        <v>42</v>
      </c>
      <c r="J17" s="85" t="s">
        <v>88</v>
      </c>
      <c r="M17" s="164"/>
      <c r="N17" s="19"/>
      <c r="O17" s="19"/>
    </row>
    <row r="18" spans="4:15">
      <c r="D18" s="56" t="s">
        <v>3</v>
      </c>
      <c r="F18" s="56" t="s">
        <v>76</v>
      </c>
      <c r="H18" s="59" t="s">
        <v>37</v>
      </c>
      <c r="I18" s="26" t="s">
        <v>43</v>
      </c>
      <c r="J18" s="85" t="s">
        <v>89</v>
      </c>
      <c r="M18" s="164"/>
      <c r="N18" s="19"/>
      <c r="O18" s="19"/>
    </row>
    <row r="19" spans="4:15">
      <c r="D19" s="350" t="s">
        <v>269</v>
      </c>
      <c r="F19" s="56" t="s">
        <v>77</v>
      </c>
      <c r="H19" s="59" t="s">
        <v>38</v>
      </c>
      <c r="I19" s="26" t="s">
        <v>44</v>
      </c>
      <c r="J19" s="85" t="s">
        <v>90</v>
      </c>
      <c r="M19" s="164"/>
      <c r="N19" s="19"/>
      <c r="O19" s="19"/>
    </row>
    <row r="20" spans="4:15">
      <c r="D20" s="58"/>
      <c r="F20" s="56" t="s">
        <v>78</v>
      </c>
      <c r="H20" s="59" t="s">
        <v>213</v>
      </c>
      <c r="I20" s="26" t="s">
        <v>45</v>
      </c>
      <c r="J20" s="85" t="s">
        <v>91</v>
      </c>
      <c r="M20" s="19"/>
      <c r="N20" s="19"/>
      <c r="O20" s="19"/>
    </row>
    <row r="21" spans="4:15">
      <c r="D21" s="60"/>
      <c r="F21" s="56" t="s">
        <v>232</v>
      </c>
      <c r="H21" s="60"/>
      <c r="I21" s="26" t="s">
        <v>47</v>
      </c>
      <c r="J21" s="85" t="s">
        <v>92</v>
      </c>
      <c r="M21" s="19"/>
      <c r="N21" s="19"/>
      <c r="O21" s="19"/>
    </row>
    <row r="22" spans="4:15">
      <c r="H22" s="60"/>
      <c r="I22" s="26" t="s">
        <v>48</v>
      </c>
      <c r="J22" s="85" t="s">
        <v>93</v>
      </c>
      <c r="M22" s="19"/>
      <c r="N22" s="19"/>
      <c r="O22" s="19"/>
    </row>
    <row r="23" spans="4:15">
      <c r="I23" s="26" t="s">
        <v>46</v>
      </c>
      <c r="J23" s="85" t="s">
        <v>94</v>
      </c>
      <c r="M23" s="19"/>
      <c r="N23" s="19"/>
      <c r="O23" s="19"/>
    </row>
    <row r="24" spans="4:15">
      <c r="I24" s="26" t="s">
        <v>242</v>
      </c>
      <c r="J24" s="85" t="s">
        <v>95</v>
      </c>
      <c r="M24" s="19"/>
      <c r="N24" s="19"/>
      <c r="O24" s="19"/>
    </row>
    <row r="25" spans="4:15">
      <c r="I25" s="44"/>
      <c r="J25" s="85" t="s">
        <v>96</v>
      </c>
    </row>
    <row r="26" spans="4:15">
      <c r="I26" s="26" t="s">
        <v>243</v>
      </c>
      <c r="J26" s="85" t="s">
        <v>97</v>
      </c>
    </row>
    <row r="27" spans="4:15">
      <c r="I27" s="26" t="s">
        <v>241</v>
      </c>
      <c r="J27" s="85" t="s">
        <v>98</v>
      </c>
    </row>
    <row r="28" spans="4:15">
      <c r="I28" s="44"/>
      <c r="J28" s="85" t="s">
        <v>99</v>
      </c>
    </row>
    <row r="29" spans="4:15">
      <c r="I29" s="44"/>
      <c r="J29" s="85" t="s">
        <v>100</v>
      </c>
    </row>
    <row r="30" spans="4:15">
      <c r="I30" s="44"/>
      <c r="J30" s="85" t="s">
        <v>101</v>
      </c>
    </row>
    <row r="31" spans="4:15">
      <c r="J31" s="85" t="s">
        <v>102</v>
      </c>
    </row>
    <row r="32" spans="4:15">
      <c r="J32" s="85" t="s">
        <v>103</v>
      </c>
    </row>
    <row r="33" spans="10:10">
      <c r="J33" s="85" t="s">
        <v>104</v>
      </c>
    </row>
    <row r="34" spans="10:10">
      <c r="J34" s="85" t="s">
        <v>105</v>
      </c>
    </row>
    <row r="35" spans="10:10">
      <c r="J35" s="85" t="s">
        <v>106</v>
      </c>
    </row>
    <row r="36" spans="10:10">
      <c r="J36" s="85" t="s">
        <v>106</v>
      </c>
    </row>
    <row r="37" spans="10:10">
      <c r="J37" s="85" t="s">
        <v>107</v>
      </c>
    </row>
    <row r="38" spans="10:10">
      <c r="J38" s="85" t="s">
        <v>108</v>
      </c>
    </row>
    <row r="39" spans="10:10">
      <c r="J39" s="85" t="s">
        <v>109</v>
      </c>
    </row>
    <row r="40" spans="10:10">
      <c r="J40" s="85" t="s">
        <v>110</v>
      </c>
    </row>
    <row r="41" spans="10:10">
      <c r="J41" s="85" t="s">
        <v>111</v>
      </c>
    </row>
    <row r="42" spans="10:10">
      <c r="J42" s="85" t="s">
        <v>112</v>
      </c>
    </row>
    <row r="43" spans="10:10">
      <c r="J43" s="85" t="s">
        <v>113</v>
      </c>
    </row>
    <row r="44" spans="10:10">
      <c r="J44" s="85" t="s">
        <v>114</v>
      </c>
    </row>
    <row r="45" spans="10:10">
      <c r="J45" s="85" t="s">
        <v>115</v>
      </c>
    </row>
    <row r="46" spans="10:10">
      <c r="J46" s="85" t="s">
        <v>116</v>
      </c>
    </row>
    <row r="47" spans="10:10">
      <c r="J47" s="85" t="s">
        <v>117</v>
      </c>
    </row>
    <row r="48" spans="10:10">
      <c r="J48" s="85" t="s">
        <v>118</v>
      </c>
    </row>
    <row r="49" spans="10:10">
      <c r="J49" s="85" t="s">
        <v>119</v>
      </c>
    </row>
    <row r="50" spans="10:10">
      <c r="J50" s="85" t="s">
        <v>120</v>
      </c>
    </row>
    <row r="51" spans="10:10">
      <c r="J51" s="85" t="s">
        <v>121</v>
      </c>
    </row>
    <row r="52" spans="10:10">
      <c r="J52" s="85" t="s">
        <v>122</v>
      </c>
    </row>
    <row r="53" spans="10:10">
      <c r="J53" s="85" t="s">
        <v>123</v>
      </c>
    </row>
    <row r="54" spans="10:10">
      <c r="J54" s="85" t="s">
        <v>124</v>
      </c>
    </row>
    <row r="55" spans="10:10">
      <c r="J55" s="85" t="s">
        <v>125</v>
      </c>
    </row>
    <row r="56" spans="10:10">
      <c r="J56" s="85" t="s">
        <v>126</v>
      </c>
    </row>
    <row r="57" spans="10:10">
      <c r="J57" s="85" t="s">
        <v>127</v>
      </c>
    </row>
    <row r="58" spans="10:10">
      <c r="J58" s="85" t="s">
        <v>128</v>
      </c>
    </row>
    <row r="59" spans="10:10">
      <c r="J59" s="85" t="s">
        <v>129</v>
      </c>
    </row>
    <row r="60" spans="10:10">
      <c r="J60" s="85" t="s">
        <v>130</v>
      </c>
    </row>
    <row r="61" spans="10:10">
      <c r="J61" s="85" t="s">
        <v>131</v>
      </c>
    </row>
    <row r="62" spans="10:10">
      <c r="J62" s="85" t="s">
        <v>132</v>
      </c>
    </row>
    <row r="63" spans="10:10">
      <c r="J63" s="85" t="s">
        <v>133</v>
      </c>
    </row>
    <row r="64" spans="10:10">
      <c r="J64" s="85" t="s">
        <v>134</v>
      </c>
    </row>
    <row r="65" spans="10:10">
      <c r="J65" s="85" t="s">
        <v>135</v>
      </c>
    </row>
    <row r="66" spans="10:10">
      <c r="J66" s="85" t="s">
        <v>136</v>
      </c>
    </row>
    <row r="67" spans="10:10">
      <c r="J67" s="85" t="s">
        <v>137</v>
      </c>
    </row>
    <row r="68" spans="10:10">
      <c r="J68" s="85" t="s">
        <v>138</v>
      </c>
    </row>
    <row r="69" spans="10:10">
      <c r="J69" s="85" t="s">
        <v>139</v>
      </c>
    </row>
    <row r="70" spans="10:10">
      <c r="J70" s="85" t="s">
        <v>140</v>
      </c>
    </row>
    <row r="71" spans="10:10">
      <c r="J71" s="85" t="s">
        <v>141</v>
      </c>
    </row>
    <row r="72" spans="10:10">
      <c r="J72" s="85" t="s">
        <v>142</v>
      </c>
    </row>
    <row r="73" spans="10:10">
      <c r="J73" s="85" t="s">
        <v>143</v>
      </c>
    </row>
    <row r="74" spans="10:10">
      <c r="J74" s="85" t="s">
        <v>144</v>
      </c>
    </row>
    <row r="75" spans="10:10">
      <c r="J75" s="85" t="s">
        <v>145</v>
      </c>
    </row>
    <row r="76" spans="10:10">
      <c r="J76" s="85" t="s">
        <v>146</v>
      </c>
    </row>
    <row r="77" spans="10:10">
      <c r="J77" s="85" t="s">
        <v>147</v>
      </c>
    </row>
    <row r="78" spans="10:10">
      <c r="J78" s="85" t="s">
        <v>148</v>
      </c>
    </row>
    <row r="79" spans="10:10">
      <c r="J79" s="85" t="s">
        <v>149</v>
      </c>
    </row>
    <row r="80" spans="10:10">
      <c r="J80" s="85" t="s">
        <v>150</v>
      </c>
    </row>
    <row r="81" spans="10:10">
      <c r="J81" s="85" t="s">
        <v>151</v>
      </c>
    </row>
    <row r="82" spans="10:10">
      <c r="J82" s="85" t="s">
        <v>152</v>
      </c>
    </row>
    <row r="83" spans="10:10">
      <c r="J83" s="85" t="s">
        <v>153</v>
      </c>
    </row>
    <row r="84" spans="10:10">
      <c r="J84" s="85" t="s">
        <v>154</v>
      </c>
    </row>
    <row r="85" spans="10:10">
      <c r="J85" s="85" t="s">
        <v>155</v>
      </c>
    </row>
    <row r="86" spans="10:10">
      <c r="J86" s="85" t="s">
        <v>156</v>
      </c>
    </row>
    <row r="87" spans="10:10">
      <c r="J87" s="85" t="s">
        <v>157</v>
      </c>
    </row>
    <row r="88" spans="10:10">
      <c r="J88" s="85" t="s">
        <v>158</v>
      </c>
    </row>
    <row r="89" spans="10:10">
      <c r="J89" s="85" t="s">
        <v>159</v>
      </c>
    </row>
    <row r="90" spans="10:10">
      <c r="J90" s="85" t="s">
        <v>160</v>
      </c>
    </row>
    <row r="91" spans="10:10">
      <c r="J91" s="85" t="s">
        <v>161</v>
      </c>
    </row>
    <row r="92" spans="10:10">
      <c r="J92" s="85" t="s">
        <v>162</v>
      </c>
    </row>
    <row r="93" spans="10:10">
      <c r="J93" s="85" t="s">
        <v>163</v>
      </c>
    </row>
    <row r="94" spans="10:10">
      <c r="J94" s="85" t="s">
        <v>164</v>
      </c>
    </row>
    <row r="95" spans="10:10">
      <c r="J95" s="85" t="s">
        <v>165</v>
      </c>
    </row>
    <row r="96" spans="10:10">
      <c r="J96" s="85" t="s">
        <v>166</v>
      </c>
    </row>
    <row r="97" spans="10:10">
      <c r="J97" s="85" t="s">
        <v>167</v>
      </c>
    </row>
    <row r="98" spans="10:10">
      <c r="J98" s="85" t="s">
        <v>168</v>
      </c>
    </row>
    <row r="99" spans="10:10">
      <c r="J99" s="85" t="s">
        <v>169</v>
      </c>
    </row>
    <row r="100" spans="10:10">
      <c r="J100" s="85" t="s">
        <v>170</v>
      </c>
    </row>
    <row r="101" spans="10:10">
      <c r="J101" s="85" t="s">
        <v>171</v>
      </c>
    </row>
    <row r="102" spans="10:10">
      <c r="J102" s="85" t="s">
        <v>172</v>
      </c>
    </row>
    <row r="103" spans="10:10">
      <c r="J103" s="85" t="s">
        <v>173</v>
      </c>
    </row>
    <row r="104" spans="10:10">
      <c r="J104" s="85" t="s">
        <v>174</v>
      </c>
    </row>
    <row r="105" spans="10:10">
      <c r="J105" s="85" t="s">
        <v>175</v>
      </c>
    </row>
    <row r="106" spans="10:10">
      <c r="J106" s="85" t="s">
        <v>176</v>
      </c>
    </row>
    <row r="107" spans="10:10">
      <c r="J107" s="85" t="s">
        <v>177</v>
      </c>
    </row>
    <row r="108" spans="10:10">
      <c r="J108" s="85" t="s">
        <v>178</v>
      </c>
    </row>
    <row r="109" spans="10:10">
      <c r="J109" s="85" t="s">
        <v>179</v>
      </c>
    </row>
    <row r="110" spans="10:10">
      <c r="J110" s="85" t="s">
        <v>180</v>
      </c>
    </row>
    <row r="111" spans="10:10">
      <c r="J111" s="85" t="s">
        <v>49</v>
      </c>
    </row>
    <row r="112" spans="10:10">
      <c r="J112" s="85" t="s">
        <v>181</v>
      </c>
    </row>
    <row r="113" spans="10:10">
      <c r="J113" s="85" t="s">
        <v>182</v>
      </c>
    </row>
    <row r="114" spans="10:10">
      <c r="J114" s="85" t="s">
        <v>183</v>
      </c>
    </row>
    <row r="115" spans="10:10">
      <c r="J115" s="85" t="s">
        <v>184</v>
      </c>
    </row>
    <row r="116" spans="10:10">
      <c r="J116" s="85" t="s">
        <v>185</v>
      </c>
    </row>
    <row r="117" spans="10:10">
      <c r="J117" s="85" t="s">
        <v>186</v>
      </c>
    </row>
    <row r="118" spans="10:10">
      <c r="J118" s="85" t="s">
        <v>187</v>
      </c>
    </row>
    <row r="119" spans="10:10">
      <c r="J119" s="85" t="s">
        <v>188</v>
      </c>
    </row>
    <row r="120" spans="10:10">
      <c r="J120" s="85" t="s">
        <v>189</v>
      </c>
    </row>
    <row r="121" spans="10:10">
      <c r="J121" s="85" t="s">
        <v>190</v>
      </c>
    </row>
    <row r="122" spans="10:10">
      <c r="J122" s="85" t="s">
        <v>191</v>
      </c>
    </row>
    <row r="123" spans="10:10">
      <c r="J123" s="85" t="s">
        <v>192</v>
      </c>
    </row>
    <row r="124" spans="10:10">
      <c r="J124" s="85" t="s">
        <v>193</v>
      </c>
    </row>
    <row r="125" spans="10:10">
      <c r="J125" s="85" t="s">
        <v>194</v>
      </c>
    </row>
    <row r="126" spans="10:10">
      <c r="J126" s="85" t="s">
        <v>195</v>
      </c>
    </row>
    <row r="127" spans="10:10">
      <c r="J127" s="85" t="s">
        <v>196</v>
      </c>
    </row>
    <row r="128" spans="10:10">
      <c r="J128" s="85" t="s">
        <v>197</v>
      </c>
    </row>
    <row r="129" spans="10:10">
      <c r="J129" s="85" t="s">
        <v>198</v>
      </c>
    </row>
    <row r="130" spans="10:10">
      <c r="J130" s="85" t="s">
        <v>199</v>
      </c>
    </row>
    <row r="131" spans="10:10">
      <c r="J131" s="85" t="s">
        <v>200</v>
      </c>
    </row>
    <row r="132" spans="10:10">
      <c r="J132" s="85" t="s">
        <v>201</v>
      </c>
    </row>
    <row r="133" spans="10:10">
      <c r="J133" s="85" t="s">
        <v>202</v>
      </c>
    </row>
    <row r="134" spans="10:10">
      <c r="J134" s="85" t="s">
        <v>203</v>
      </c>
    </row>
    <row r="135" spans="10:10">
      <c r="J135" s="85" t="s">
        <v>204</v>
      </c>
    </row>
    <row r="136" spans="10:10">
      <c r="J136" s="85" t="s">
        <v>205</v>
      </c>
    </row>
    <row r="137" spans="10:10">
      <c r="J137" s="85" t="s">
        <v>206</v>
      </c>
    </row>
    <row r="138" spans="10:10">
      <c r="J138" s="85" t="s">
        <v>207</v>
      </c>
    </row>
    <row r="139" spans="10:10">
      <c r="J139" s="85" t="s">
        <v>208</v>
      </c>
    </row>
    <row r="140" spans="10:10">
      <c r="J140" s="85" t="s">
        <v>209</v>
      </c>
    </row>
    <row r="141" spans="10:10">
      <c r="J141" s="85" t="s">
        <v>210</v>
      </c>
    </row>
    <row r="142" spans="10:10">
      <c r="J142" s="85" t="s">
        <v>211</v>
      </c>
    </row>
    <row r="143" spans="10:10">
      <c r="J143" s="85" t="s">
        <v>212</v>
      </c>
    </row>
    <row r="144" spans="10:10">
      <c r="J144" s="343"/>
    </row>
  </sheetData>
  <mergeCells count="2">
    <mergeCell ref="B3:H3"/>
    <mergeCell ref="B6:H6"/>
  </mergeCells>
  <phoneticPr fontId="23"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sqref="A1:A10"/>
    </sheetView>
  </sheetViews>
  <sheetFormatPr defaultRowHeight="15"/>
  <sheetData>
    <row r="1" spans="1:1">
      <c r="A1" s="403" t="s">
        <v>280</v>
      </c>
    </row>
    <row r="2" spans="1:1" ht="15" customHeight="1">
      <c r="A2" s="404" t="s">
        <v>376</v>
      </c>
    </row>
    <row r="3" spans="1:1">
      <c r="A3" s="403">
        <v>1.1000000000000001</v>
      </c>
    </row>
    <row r="4" spans="1:1">
      <c r="A4" s="404">
        <v>1.2</v>
      </c>
    </row>
    <row r="5" spans="1:1">
      <c r="A5" s="404">
        <v>1.3</v>
      </c>
    </row>
    <row r="6" spans="1:1">
      <c r="A6" s="403">
        <v>1.4</v>
      </c>
    </row>
    <row r="7" spans="1:1" ht="15.75" thickBot="1">
      <c r="A7" s="404">
        <v>1.5</v>
      </c>
    </row>
    <row r="8" spans="1:1">
      <c r="A8" s="405">
        <v>1.7</v>
      </c>
    </row>
    <row r="9" spans="1:1">
      <c r="A9" s="403">
        <v>2.1</v>
      </c>
    </row>
    <row r="10" spans="1:1">
      <c r="A10" s="404">
        <v>2.2999999999999998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0"/>
  <sheetViews>
    <sheetView showGridLines="0" view="pageBreakPreview" zoomScale="60" zoomScaleNormal="70" workbookViewId="0">
      <pane ySplit="2" topLeftCell="A39" activePane="bottomLeft" state="frozen"/>
      <selection activeCell="E22" sqref="E22"/>
      <selection pane="bottomLeft" activeCell="B33" sqref="B33:D33"/>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30" customWidth="1"/>
    <col min="10" max="10" width="14.140625" customWidth="1"/>
    <col min="11" max="11" width="12.85546875" customWidth="1"/>
    <col min="12" max="12" width="10.28515625" customWidth="1"/>
    <col min="13" max="13" width="36.7109375" customWidth="1"/>
    <col min="14" max="14" width="2.5703125" style="35" hidden="1" customWidth="1"/>
    <col min="15" max="15" width="3" style="35"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44" t="str">
        <f>+"Tabel Programatic de Evaluare: "&amp;" "&amp;+IF('Introducerea datelor'!C4="Please Select","",'Introducerea datelor'!C4&amp;" - ")&amp;+IF('Introducerea datelor'!G6="Please Select","",'Introducerea datelor'!G6)</f>
        <v>Tabel Programatic de Evaluare:  Moldova - TB</v>
      </c>
      <c r="C2" s="544"/>
      <c r="D2" s="544"/>
      <c r="E2" s="544"/>
      <c r="F2" s="544"/>
      <c r="G2" s="544"/>
      <c r="H2" s="544"/>
      <c r="I2" s="544"/>
      <c r="J2" s="544"/>
      <c r="K2" s="544"/>
      <c r="L2" s="544"/>
      <c r="M2" s="544"/>
    </row>
    <row r="3" spans="1:15" ht="15.75" customHeight="1">
      <c r="A3" s="3"/>
      <c r="B3" s="187"/>
      <c r="C3" s="187"/>
      <c r="D3" s="187"/>
      <c r="E3" s="187"/>
      <c r="F3" s="187"/>
      <c r="G3" s="187"/>
      <c r="H3" s="187"/>
      <c r="I3" s="187"/>
      <c r="J3" s="187"/>
      <c r="K3" s="188"/>
      <c r="L3" s="188"/>
      <c r="M3" s="3"/>
    </row>
    <row r="5" spans="1:15" ht="23.25">
      <c r="B5" s="545" t="s">
        <v>228</v>
      </c>
      <c r="C5" s="545"/>
      <c r="D5" s="545"/>
      <c r="E5" s="545"/>
      <c r="F5" s="545"/>
      <c r="G5" s="545"/>
      <c r="H5" s="545"/>
      <c r="I5" s="545"/>
      <c r="J5" s="545"/>
      <c r="K5" s="545"/>
      <c r="L5" s="545"/>
      <c r="M5" s="545"/>
      <c r="N5" s="545"/>
      <c r="O5" s="545"/>
    </row>
    <row r="7" spans="1:15" ht="21">
      <c r="B7" s="546" t="s">
        <v>217</v>
      </c>
      <c r="C7" s="547"/>
      <c r="D7" s="548"/>
      <c r="E7" s="546" t="s">
        <v>218</v>
      </c>
      <c r="F7" s="547"/>
      <c r="G7" s="547"/>
      <c r="H7" s="547"/>
      <c r="I7" s="548"/>
      <c r="J7" s="546" t="s">
        <v>219</v>
      </c>
      <c r="K7" s="547"/>
      <c r="L7" s="548"/>
      <c r="M7" s="546" t="s">
        <v>253</v>
      </c>
      <c r="N7" s="547"/>
      <c r="O7" s="548"/>
    </row>
    <row r="8" spans="1:15" ht="92.25" customHeight="1">
      <c r="B8" s="549" t="str">
        <f>+'Introducerea datelor'!B27</f>
        <v>F1: Bugetul și debursările de către Fondul Global</v>
      </c>
      <c r="C8" s="550"/>
      <c r="D8" s="551"/>
      <c r="E8" s="552" t="s">
        <v>272</v>
      </c>
      <c r="F8" s="553"/>
      <c r="G8" s="553"/>
      <c r="H8" s="553"/>
      <c r="I8" s="554"/>
      <c r="J8" s="535" t="s">
        <v>254</v>
      </c>
      <c r="K8" s="536"/>
      <c r="L8" s="537"/>
      <c r="M8" s="535" t="s">
        <v>273</v>
      </c>
      <c r="N8" s="536"/>
      <c r="O8" s="537"/>
    </row>
    <row r="9" spans="1:15" ht="110.25" customHeight="1">
      <c r="B9" s="549" t="str">
        <f>+'Introducerea datelor'!B36</f>
        <v>F2: Bugetul și cheltuielile actuale după Obiectivele Grantului</v>
      </c>
      <c r="C9" s="550"/>
      <c r="D9" s="551"/>
      <c r="E9" s="539" t="s">
        <v>262</v>
      </c>
      <c r="F9" s="540"/>
      <c r="G9" s="540"/>
      <c r="H9" s="540"/>
      <c r="I9" s="541"/>
      <c r="J9" s="535" t="s">
        <v>256</v>
      </c>
      <c r="K9" s="536"/>
      <c r="L9" s="537"/>
      <c r="M9" s="535" t="s">
        <v>273</v>
      </c>
      <c r="N9" s="536"/>
      <c r="O9" s="537"/>
    </row>
    <row r="10" spans="1:15" ht="231.75" customHeight="1">
      <c r="B10" s="555" t="str">
        <f>+'Introducerea datelor'!B49</f>
        <v>F3: Debursări și cheltuieli</v>
      </c>
      <c r="C10" s="558"/>
      <c r="D10" s="559"/>
      <c r="E10" s="539" t="s">
        <v>274</v>
      </c>
      <c r="F10" s="540"/>
      <c r="G10" s="540"/>
      <c r="H10" s="540"/>
      <c r="I10" s="541"/>
      <c r="J10" s="535" t="s">
        <v>263</v>
      </c>
      <c r="K10" s="536"/>
      <c r="L10" s="537"/>
      <c r="M10" s="535" t="s">
        <v>255</v>
      </c>
      <c r="N10" s="536"/>
      <c r="O10" s="537"/>
    </row>
    <row r="11" spans="1:15" ht="279.75" customHeight="1">
      <c r="B11" s="555" t="str">
        <f>+'Introducerea datelor'!B58</f>
        <v xml:space="preserve">F4: Ultima perioadă de raportare și debursare a RP </v>
      </c>
      <c r="C11" s="556"/>
      <c r="D11" s="557"/>
      <c r="E11" s="539" t="s">
        <v>277</v>
      </c>
      <c r="F11" s="540"/>
      <c r="G11" s="540"/>
      <c r="H11" s="540"/>
      <c r="I11" s="541"/>
      <c r="J11" s="535" t="s">
        <v>264</v>
      </c>
      <c r="K11" s="536"/>
      <c r="L11" s="537"/>
      <c r="M11" s="535" t="s">
        <v>222</v>
      </c>
      <c r="N11" s="536"/>
      <c r="O11" s="537"/>
    </row>
    <row r="12" spans="1:15" s="19" customFormat="1">
      <c r="B12" s="534"/>
      <c r="C12" s="534"/>
      <c r="D12" s="534"/>
      <c r="E12" s="538"/>
      <c r="F12" s="538"/>
      <c r="G12" s="538"/>
      <c r="H12" s="538"/>
      <c r="I12" s="538"/>
      <c r="J12" s="538"/>
      <c r="K12" s="538"/>
      <c r="L12" s="538"/>
      <c r="M12" s="538"/>
      <c r="N12" s="538"/>
      <c r="O12" s="538"/>
    </row>
    <row r="13" spans="1:15" s="19" customFormat="1" ht="9" customHeight="1">
      <c r="B13" s="542"/>
      <c r="C13" s="542"/>
      <c r="D13" s="542"/>
      <c r="E13" s="543"/>
      <c r="F13" s="543"/>
      <c r="G13" s="543"/>
      <c r="H13" s="543"/>
      <c r="I13" s="543"/>
      <c r="J13" s="543"/>
      <c r="K13" s="543"/>
      <c r="L13" s="543"/>
      <c r="M13" s="543"/>
      <c r="N13" s="543"/>
      <c r="O13" s="543"/>
    </row>
    <row r="14" spans="1:15" s="19" customFormat="1" ht="9.75" customHeight="1">
      <c r="B14" s="542"/>
      <c r="C14" s="542"/>
      <c r="D14" s="542"/>
      <c r="E14" s="543"/>
      <c r="F14" s="543"/>
      <c r="G14" s="543"/>
      <c r="H14" s="543"/>
      <c r="I14" s="543"/>
      <c r="J14" s="543"/>
      <c r="K14" s="543"/>
      <c r="L14" s="543"/>
      <c r="M14" s="543"/>
      <c r="N14" s="543"/>
      <c r="O14" s="543"/>
    </row>
    <row r="15" spans="1:15" s="19" customFormat="1">
      <c r="B15" s="542"/>
      <c r="C15" s="542"/>
      <c r="D15" s="542"/>
      <c r="E15" s="543"/>
      <c r="F15" s="543"/>
      <c r="G15" s="543"/>
      <c r="H15" s="543"/>
      <c r="I15" s="543"/>
      <c r="J15" s="543"/>
      <c r="K15" s="543"/>
      <c r="L15" s="543"/>
      <c r="M15" s="543"/>
      <c r="N15" s="543"/>
      <c r="O15" s="543"/>
    </row>
    <row r="16" spans="1:15" ht="18" customHeight="1">
      <c r="B16" s="545" t="s">
        <v>229</v>
      </c>
      <c r="C16" s="545"/>
      <c r="D16" s="545"/>
      <c r="E16" s="545"/>
      <c r="F16" s="545"/>
      <c r="G16" s="545"/>
      <c r="H16" s="545"/>
      <c r="I16" s="545"/>
      <c r="J16" s="545"/>
      <c r="K16" s="545"/>
      <c r="L16" s="545"/>
      <c r="M16" s="545"/>
      <c r="N16" s="545"/>
      <c r="O16" s="545"/>
    </row>
    <row r="17" spans="1:15" ht="9" customHeight="1"/>
    <row r="18" spans="1:15" ht="21">
      <c r="B18" s="560" t="s">
        <v>217</v>
      </c>
      <c r="C18" s="561"/>
      <c r="D18" s="562"/>
      <c r="E18" s="560" t="s">
        <v>218</v>
      </c>
      <c r="F18" s="561"/>
      <c r="G18" s="561"/>
      <c r="H18" s="561"/>
      <c r="I18" s="562"/>
      <c r="J18" s="560" t="s">
        <v>219</v>
      </c>
      <c r="K18" s="561"/>
      <c r="L18" s="562"/>
      <c r="M18" s="560" t="s">
        <v>220</v>
      </c>
      <c r="N18" s="561"/>
      <c r="O18" s="562"/>
    </row>
    <row r="19" spans="1:15" ht="114" customHeight="1">
      <c r="B19" s="549" t="str">
        <f>+'Introducerea datelor'!B69</f>
        <v xml:space="preserve">M1: Statutul Condițiilor Precedente și a Acțiunilor Prestabilite în Timp </v>
      </c>
      <c r="C19" s="563"/>
      <c r="D19" s="564"/>
      <c r="E19" s="539" t="s">
        <v>227</v>
      </c>
      <c r="F19" s="540"/>
      <c r="G19" s="540"/>
      <c r="H19" s="540"/>
      <c r="I19" s="541"/>
      <c r="J19" s="535" t="s">
        <v>257</v>
      </c>
      <c r="K19" s="536"/>
      <c r="L19" s="537"/>
      <c r="M19" s="535" t="s">
        <v>258</v>
      </c>
      <c r="N19" s="536"/>
      <c r="O19" s="537"/>
    </row>
    <row r="20" spans="1:15" ht="91.5" customHeight="1">
      <c r="B20" s="549" t="str">
        <f>+'Introducerea datelor'!B76</f>
        <v xml:space="preserve">M2: Statutul pozițiilor cheie a RP </v>
      </c>
      <c r="C20" s="563"/>
      <c r="D20" s="564"/>
      <c r="E20" s="539" t="s">
        <v>275</v>
      </c>
      <c r="F20" s="540"/>
      <c r="G20" s="540"/>
      <c r="H20" s="540"/>
      <c r="I20" s="541"/>
      <c r="J20" s="535" t="s">
        <v>224</v>
      </c>
      <c r="K20" s="536"/>
      <c r="L20" s="537"/>
      <c r="M20" s="535" t="s">
        <v>223</v>
      </c>
      <c r="N20" s="536"/>
      <c r="O20" s="537"/>
    </row>
    <row r="21" spans="1:15" ht="171.75" customHeight="1">
      <c r="B21" s="549" t="str">
        <f>+'Introducerea datelor'!B81</f>
        <v xml:space="preserve">M3: Aranjamente contractuale (SR) </v>
      </c>
      <c r="C21" s="563"/>
      <c r="D21" s="564"/>
      <c r="E21" s="583" t="s">
        <v>0</v>
      </c>
      <c r="F21" s="540"/>
      <c r="G21" s="540"/>
      <c r="H21" s="540"/>
      <c r="I21" s="541"/>
      <c r="J21" s="535" t="s">
        <v>259</v>
      </c>
      <c r="K21" s="536"/>
      <c r="L21" s="537"/>
      <c r="M21" s="535" t="s">
        <v>260</v>
      </c>
      <c r="N21" s="536"/>
      <c r="O21" s="537"/>
    </row>
    <row r="22" spans="1:15" ht="74.25" customHeight="1">
      <c r="B22" s="549" t="str">
        <f>+'Introducerea datelor'!B86</f>
        <v>M4: Numărul rapoartelor complete recepționate la timp</v>
      </c>
      <c r="C22" s="563"/>
      <c r="D22" s="564"/>
      <c r="E22" s="583" t="s">
        <v>278</v>
      </c>
      <c r="F22" s="616"/>
      <c r="G22" s="616"/>
      <c r="H22" s="616"/>
      <c r="I22" s="617"/>
      <c r="J22" s="535" t="s">
        <v>265</v>
      </c>
      <c r="K22" s="536"/>
      <c r="L22" s="537"/>
      <c r="M22" s="535" t="s">
        <v>225</v>
      </c>
      <c r="N22" s="536"/>
      <c r="O22" s="537"/>
    </row>
    <row r="23" spans="1:15" ht="135" customHeight="1">
      <c r="B23" s="601" t="str">
        <f>+'Introducerea datelor'!B92</f>
        <v xml:space="preserve">M5: Bugetul și Procurarea produselor medicale, echipamentului medical, medicamentelor și produselor farmaceutice </v>
      </c>
      <c r="C23" s="602"/>
      <c r="D23" s="603"/>
      <c r="E23" s="580" t="s">
        <v>266</v>
      </c>
      <c r="F23" s="581"/>
      <c r="G23" s="581"/>
      <c r="H23" s="581"/>
      <c r="I23" s="582"/>
      <c r="J23" s="610" t="s">
        <v>221</v>
      </c>
      <c r="K23" s="611"/>
      <c r="L23" s="612"/>
      <c r="M23" s="610" t="s">
        <v>226</v>
      </c>
      <c r="N23" s="611"/>
      <c r="O23" s="612"/>
    </row>
    <row r="24" spans="1:15" ht="97.5" customHeight="1">
      <c r="B24" s="604"/>
      <c r="C24" s="605"/>
      <c r="D24" s="606"/>
      <c r="E24" s="607" t="s">
        <v>261</v>
      </c>
      <c r="F24" s="608"/>
      <c r="G24" s="608"/>
      <c r="H24" s="608"/>
      <c r="I24" s="609"/>
      <c r="J24" s="613"/>
      <c r="K24" s="614"/>
      <c r="L24" s="615"/>
      <c r="M24" s="613"/>
      <c r="N24" s="614"/>
      <c r="O24" s="615"/>
    </row>
    <row r="25" spans="1:15" ht="196.5" customHeight="1">
      <c r="B25" s="549" t="str">
        <f>+'Introducerea datelor'!B105</f>
        <v>M6: Diferență între stocul curent și stocul de siguranță</v>
      </c>
      <c r="C25" s="563"/>
      <c r="D25" s="564"/>
      <c r="E25" s="584" t="s">
        <v>279</v>
      </c>
      <c r="F25" s="585"/>
      <c r="G25" s="585"/>
      <c r="H25" s="585"/>
      <c r="I25" s="586"/>
      <c r="J25" s="587" t="s">
        <v>267</v>
      </c>
      <c r="K25" s="588"/>
      <c r="L25" s="589"/>
      <c r="M25" s="590" t="s">
        <v>268</v>
      </c>
      <c r="N25" s="591"/>
      <c r="O25" s="592"/>
    </row>
    <row r="26" spans="1:15" ht="11.25" customHeight="1"/>
    <row r="28" spans="1:15" ht="7.5" customHeight="1"/>
    <row r="29" spans="1:15" ht="9.75" customHeight="1">
      <c r="B29" s="217"/>
    </row>
    <row r="30" spans="1:15" ht="21" customHeight="1">
      <c r="B30" s="545" t="s">
        <v>442</v>
      </c>
      <c r="C30" s="545"/>
      <c r="D30" s="545"/>
      <c r="E30" s="545"/>
      <c r="F30" s="545"/>
      <c r="G30" s="545"/>
      <c r="H30" s="545"/>
      <c r="I30" s="545"/>
      <c r="J30" s="545"/>
      <c r="K30" s="545"/>
      <c r="L30" s="545"/>
      <c r="M30" s="545"/>
      <c r="N30" s="545"/>
      <c r="O30" s="545"/>
    </row>
    <row r="31" spans="1:15" ht="12.75" customHeight="1"/>
    <row r="32" spans="1:15" ht="28.5" customHeight="1">
      <c r="A32" s="211"/>
      <c r="B32" s="568" t="s">
        <v>252</v>
      </c>
      <c r="C32" s="569"/>
      <c r="D32" s="570"/>
      <c r="E32" s="571" t="s">
        <v>471</v>
      </c>
      <c r="F32" s="572"/>
      <c r="G32" s="572"/>
      <c r="H32" s="572"/>
      <c r="I32" s="573"/>
      <c r="J32" s="571" t="s">
        <v>423</v>
      </c>
      <c r="K32" s="572"/>
      <c r="L32" s="573"/>
      <c r="M32" s="571" t="s">
        <v>424</v>
      </c>
      <c r="N32" s="572"/>
      <c r="O32" s="573"/>
    </row>
    <row r="33" spans="1:15" ht="66.75" customHeight="1">
      <c r="A33" s="212"/>
      <c r="B33" s="596" t="s">
        <v>441</v>
      </c>
      <c r="C33" s="597"/>
      <c r="D33" s="598"/>
      <c r="E33" s="577" t="s">
        <v>429</v>
      </c>
      <c r="F33" s="599"/>
      <c r="G33" s="599"/>
      <c r="H33" s="599"/>
      <c r="I33" s="600"/>
      <c r="J33" s="577" t="s">
        <v>425</v>
      </c>
      <c r="K33" s="578"/>
      <c r="L33" s="579"/>
      <c r="M33" s="577" t="s">
        <v>427</v>
      </c>
      <c r="N33" s="578"/>
      <c r="O33" s="579"/>
    </row>
    <row r="34" spans="1:15" ht="66.75" customHeight="1">
      <c r="A34" s="212"/>
      <c r="B34" s="596" t="s">
        <v>448</v>
      </c>
      <c r="C34" s="597"/>
      <c r="D34" s="598"/>
      <c r="E34" s="577" t="s">
        <v>447</v>
      </c>
      <c r="F34" s="599"/>
      <c r="G34" s="599"/>
      <c r="H34" s="599"/>
      <c r="I34" s="600"/>
      <c r="J34" s="577" t="s">
        <v>449</v>
      </c>
      <c r="K34" s="578"/>
      <c r="L34" s="579"/>
      <c r="M34" s="577" t="s">
        <v>443</v>
      </c>
      <c r="N34" s="578"/>
      <c r="O34" s="579"/>
    </row>
    <row r="35" spans="1:15" ht="74.25" customHeight="1">
      <c r="A35" s="212"/>
      <c r="B35" s="596" t="s">
        <v>450</v>
      </c>
      <c r="C35" s="597"/>
      <c r="D35" s="598"/>
      <c r="E35" s="577" t="s">
        <v>452</v>
      </c>
      <c r="F35" s="599"/>
      <c r="G35" s="599"/>
      <c r="H35" s="599"/>
      <c r="I35" s="600"/>
      <c r="J35" s="577" t="s">
        <v>425</v>
      </c>
      <c r="K35" s="578"/>
      <c r="L35" s="579"/>
      <c r="M35" s="577" t="s">
        <v>472</v>
      </c>
      <c r="N35" s="578"/>
      <c r="O35" s="579"/>
    </row>
    <row r="36" spans="1:15" ht="9.75" customHeight="1">
      <c r="A36" s="212"/>
      <c r="B36" s="593"/>
      <c r="C36" s="594"/>
      <c r="D36" s="595"/>
      <c r="E36" s="454"/>
      <c r="F36" s="452"/>
      <c r="G36" s="452"/>
      <c r="H36" s="452"/>
      <c r="I36" s="453"/>
      <c r="J36" s="454"/>
      <c r="K36" s="455"/>
      <c r="L36" s="456"/>
      <c r="M36" s="454"/>
      <c r="N36" s="455"/>
      <c r="O36" s="456"/>
    </row>
    <row r="37" spans="1:15" ht="76.5" customHeight="1">
      <c r="A37" s="212"/>
      <c r="B37" s="596" t="s">
        <v>451</v>
      </c>
      <c r="C37" s="597"/>
      <c r="D37" s="598"/>
      <c r="E37" s="577" t="s">
        <v>453</v>
      </c>
      <c r="F37" s="599"/>
      <c r="G37" s="599"/>
      <c r="H37" s="599"/>
      <c r="I37" s="600"/>
      <c r="J37" s="577" t="s">
        <v>425</v>
      </c>
      <c r="K37" s="578"/>
      <c r="L37" s="579"/>
      <c r="M37" s="577" t="s">
        <v>472</v>
      </c>
      <c r="N37" s="578"/>
      <c r="O37" s="579"/>
    </row>
    <row r="38" spans="1:15" ht="69" customHeight="1">
      <c r="A38" s="212"/>
      <c r="B38" s="596" t="s">
        <v>454</v>
      </c>
      <c r="C38" s="597"/>
      <c r="D38" s="598"/>
      <c r="E38" s="577" t="s">
        <v>430</v>
      </c>
      <c r="F38" s="578"/>
      <c r="G38" s="578"/>
      <c r="H38" s="578"/>
      <c r="I38" s="579"/>
      <c r="J38" s="577" t="s">
        <v>428</v>
      </c>
      <c r="K38" s="578"/>
      <c r="L38" s="579"/>
      <c r="M38" s="577" t="s">
        <v>426</v>
      </c>
      <c r="N38" s="578"/>
      <c r="O38" s="579"/>
    </row>
    <row r="39" spans="1:15" ht="64.5" customHeight="1">
      <c r="A39" s="212"/>
      <c r="B39" s="596" t="s">
        <v>455</v>
      </c>
      <c r="C39" s="597"/>
      <c r="D39" s="598"/>
      <c r="E39" s="577" t="s">
        <v>456</v>
      </c>
      <c r="F39" s="578"/>
      <c r="G39" s="578"/>
      <c r="H39" s="578"/>
      <c r="I39" s="579"/>
      <c r="J39" s="577" t="s">
        <v>428</v>
      </c>
      <c r="K39" s="578"/>
      <c r="L39" s="579"/>
      <c r="M39" s="577" t="s">
        <v>426</v>
      </c>
      <c r="N39" s="578"/>
      <c r="O39" s="579"/>
    </row>
    <row r="40" spans="1:15" ht="64.5" customHeight="1">
      <c r="A40" s="212"/>
      <c r="B40" s="596" t="s">
        <v>457</v>
      </c>
      <c r="C40" s="597"/>
      <c r="D40" s="598"/>
      <c r="E40" s="577" t="s">
        <v>458</v>
      </c>
      <c r="F40" s="578"/>
      <c r="G40" s="578"/>
      <c r="H40" s="578"/>
      <c r="I40" s="579"/>
      <c r="J40" s="577" t="s">
        <v>428</v>
      </c>
      <c r="K40" s="578"/>
      <c r="L40" s="579"/>
      <c r="M40" s="577" t="s">
        <v>426</v>
      </c>
      <c r="N40" s="578"/>
      <c r="O40" s="579"/>
    </row>
    <row r="41" spans="1:15" ht="64.5" customHeight="1">
      <c r="A41" s="212"/>
      <c r="B41" s="596" t="s">
        <v>459</v>
      </c>
      <c r="C41" s="597"/>
      <c r="D41" s="598"/>
      <c r="E41" s="577" t="s">
        <v>462</v>
      </c>
      <c r="F41" s="578"/>
      <c r="G41" s="578"/>
      <c r="H41" s="578"/>
      <c r="I41" s="579"/>
      <c r="J41" s="577" t="s">
        <v>460</v>
      </c>
      <c r="K41" s="578"/>
      <c r="L41" s="579"/>
      <c r="M41" s="577" t="s">
        <v>461</v>
      </c>
      <c r="N41" s="578"/>
      <c r="O41" s="579"/>
    </row>
    <row r="42" spans="1:15" ht="17.25" customHeight="1">
      <c r="A42" s="212"/>
      <c r="B42" s="596"/>
      <c r="C42" s="597"/>
      <c r="D42" s="598"/>
      <c r="E42" s="577"/>
      <c r="F42" s="578"/>
      <c r="G42" s="578"/>
      <c r="H42" s="578"/>
      <c r="I42" s="579"/>
      <c r="J42" s="577"/>
      <c r="K42" s="578"/>
      <c r="L42" s="579"/>
      <c r="M42" s="577"/>
      <c r="N42" s="578"/>
      <c r="O42" s="579"/>
    </row>
    <row r="43" spans="1:15" ht="15" customHeight="1">
      <c r="B43" s="624"/>
      <c r="C43" s="625"/>
      <c r="D43" s="626"/>
      <c r="E43" s="213"/>
      <c r="F43" s="214"/>
      <c r="G43" s="214"/>
      <c r="H43" s="214"/>
      <c r="I43" s="215"/>
      <c r="J43" s="222"/>
      <c r="K43" s="223"/>
      <c r="L43" s="224"/>
      <c r="M43" s="222"/>
      <c r="N43" s="223"/>
      <c r="O43" s="224"/>
    </row>
    <row r="44" spans="1:15" ht="44.25" customHeight="1">
      <c r="B44" s="621" t="s">
        <v>236</v>
      </c>
      <c r="C44" s="622"/>
      <c r="D44" s="623"/>
      <c r="E44" s="574" t="s">
        <v>218</v>
      </c>
      <c r="F44" s="575"/>
      <c r="G44" s="575"/>
      <c r="H44" s="575"/>
      <c r="I44" s="576"/>
      <c r="J44" s="574" t="s">
        <v>219</v>
      </c>
      <c r="K44" s="575"/>
      <c r="L44" s="576"/>
      <c r="M44" s="574" t="s">
        <v>220</v>
      </c>
      <c r="N44" s="575"/>
      <c r="O44" s="576"/>
    </row>
    <row r="45" spans="1:15" ht="33.75" customHeight="1">
      <c r="B45" s="208"/>
      <c r="C45" s="209"/>
      <c r="D45" s="209"/>
      <c r="E45" s="203"/>
      <c r="F45" s="205"/>
      <c r="G45" s="205"/>
      <c r="H45" s="205"/>
      <c r="I45" s="205"/>
      <c r="J45" s="203"/>
      <c r="K45" s="203"/>
      <c r="L45" s="204"/>
      <c r="M45" s="202"/>
      <c r="N45" s="203"/>
      <c r="O45" s="204"/>
    </row>
    <row r="46" spans="1:15" ht="15.75" customHeight="1">
      <c r="B46" s="618" t="s">
        <v>235</v>
      </c>
      <c r="C46" s="619"/>
      <c r="D46" s="619"/>
      <c r="E46" s="619"/>
      <c r="F46" s="619"/>
      <c r="G46" s="619"/>
      <c r="H46" s="619"/>
      <c r="I46" s="619"/>
      <c r="J46" s="619"/>
      <c r="K46" s="619"/>
      <c r="L46" s="620"/>
      <c r="M46" s="565" t="s">
        <v>230</v>
      </c>
      <c r="N46" s="566"/>
      <c r="O46" s="567"/>
    </row>
    <row r="47" spans="1:15">
      <c r="D47" s="189"/>
    </row>
    <row r="49" spans="4:4">
      <c r="D49" s="189"/>
    </row>
    <row r="50" spans="4:4">
      <c r="D50" s="189"/>
    </row>
  </sheetData>
  <mergeCells count="117">
    <mergeCell ref="M39:O39"/>
    <mergeCell ref="M40:O40"/>
    <mergeCell ref="M23:O24"/>
    <mergeCell ref="M32:O32"/>
    <mergeCell ref="J42:L42"/>
    <mergeCell ref="M33:O33"/>
    <mergeCell ref="E33:I33"/>
    <mergeCell ref="B34:D34"/>
    <mergeCell ref="B35:D35"/>
    <mergeCell ref="E35:I35"/>
    <mergeCell ref="J35:L35"/>
    <mergeCell ref="M35:O35"/>
    <mergeCell ref="B37:D37"/>
    <mergeCell ref="B38:D38"/>
    <mergeCell ref="E37:I37"/>
    <mergeCell ref="E38:I38"/>
    <mergeCell ref="J37:L37"/>
    <mergeCell ref="J38:L38"/>
    <mergeCell ref="M42:O42"/>
    <mergeCell ref="M37:O37"/>
    <mergeCell ref="M38:O38"/>
    <mergeCell ref="M41:O41"/>
    <mergeCell ref="J41:L41"/>
    <mergeCell ref="E39:I39"/>
    <mergeCell ref="B41:D41"/>
    <mergeCell ref="E41:I41"/>
    <mergeCell ref="B46:L46"/>
    <mergeCell ref="B44:D44"/>
    <mergeCell ref="E44:I44"/>
    <mergeCell ref="J44:L44"/>
    <mergeCell ref="B33:D33"/>
    <mergeCell ref="B43:D43"/>
    <mergeCell ref="J39:L39"/>
    <mergeCell ref="J40:L40"/>
    <mergeCell ref="B25:D25"/>
    <mergeCell ref="B23:D24"/>
    <mergeCell ref="E24:I24"/>
    <mergeCell ref="J23:L24"/>
    <mergeCell ref="J34:L34"/>
    <mergeCell ref="J33:L33"/>
    <mergeCell ref="B39:D39"/>
    <mergeCell ref="E40:I40"/>
    <mergeCell ref="E20:I20"/>
    <mergeCell ref="E22:I22"/>
    <mergeCell ref="M46:O46"/>
    <mergeCell ref="B30:O30"/>
    <mergeCell ref="B32:D32"/>
    <mergeCell ref="E32:I32"/>
    <mergeCell ref="J32:L32"/>
    <mergeCell ref="M19:O19"/>
    <mergeCell ref="E19:I19"/>
    <mergeCell ref="J19:L19"/>
    <mergeCell ref="M44:O44"/>
    <mergeCell ref="M34:O34"/>
    <mergeCell ref="B19:D19"/>
    <mergeCell ref="M20:O20"/>
    <mergeCell ref="E23:I23"/>
    <mergeCell ref="J22:L22"/>
    <mergeCell ref="B22:D22"/>
    <mergeCell ref="E21:I21"/>
    <mergeCell ref="E25:I25"/>
    <mergeCell ref="J25:L25"/>
    <mergeCell ref="M25:O25"/>
    <mergeCell ref="B36:D36"/>
    <mergeCell ref="E42:I42"/>
    <mergeCell ref="B40:D40"/>
    <mergeCell ref="B42:D42"/>
    <mergeCell ref="E34:I34"/>
    <mergeCell ref="E15:I15"/>
    <mergeCell ref="J21:L21"/>
    <mergeCell ref="M21:O21"/>
    <mergeCell ref="B16:O16"/>
    <mergeCell ref="M18:O18"/>
    <mergeCell ref="B21:D21"/>
    <mergeCell ref="J20:L20"/>
    <mergeCell ref="E18:I18"/>
    <mergeCell ref="J18:L18"/>
    <mergeCell ref="J15:L15"/>
    <mergeCell ref="B15:D15"/>
    <mergeCell ref="M15:O15"/>
    <mergeCell ref="B18:D18"/>
    <mergeCell ref="B20:D20"/>
    <mergeCell ref="M22:O22"/>
    <mergeCell ref="B2:M2"/>
    <mergeCell ref="B5:O5"/>
    <mergeCell ref="M8:O8"/>
    <mergeCell ref="J8:L8"/>
    <mergeCell ref="E7:I7"/>
    <mergeCell ref="M9:O9"/>
    <mergeCell ref="B7:D7"/>
    <mergeCell ref="B8:D8"/>
    <mergeCell ref="B9:D9"/>
    <mergeCell ref="E9:I9"/>
    <mergeCell ref="E8:I8"/>
    <mergeCell ref="J7:L7"/>
    <mergeCell ref="M7:O7"/>
    <mergeCell ref="J14:L14"/>
    <mergeCell ref="M12:O12"/>
    <mergeCell ref="J9:L9"/>
    <mergeCell ref="M11:O11"/>
    <mergeCell ref="M13:O13"/>
    <mergeCell ref="M10:O10"/>
    <mergeCell ref="E13:I13"/>
    <mergeCell ref="B11:D11"/>
    <mergeCell ref="B10:D10"/>
    <mergeCell ref="E11:I11"/>
    <mergeCell ref="B12:D12"/>
    <mergeCell ref="J10:L10"/>
    <mergeCell ref="J11:L11"/>
    <mergeCell ref="J12:L12"/>
    <mergeCell ref="E12:I12"/>
    <mergeCell ref="E10:I10"/>
    <mergeCell ref="B14:D14"/>
    <mergeCell ref="M14:O14"/>
    <mergeCell ref="B13:D13"/>
    <mergeCell ref="J13:L13"/>
    <mergeCell ref="E14:I14"/>
  </mergeCells>
  <phoneticPr fontId="23" type="noConversion"/>
  <pageMargins left="0.70866141732283472" right="0.70866141732283472" top="0.74803149606299213" bottom="0.74803149606299213" header="0.31496062992125984" footer="0.31496062992125984"/>
  <pageSetup paperSize="9" scale="53" orientation="landscape" r:id="rId1"/>
  <headerFooter alignWithMargins="0">
    <oddFooter>&amp;L&amp;F&amp;C&amp;A&amp;RV1.0          &amp;D</oddFooter>
  </headerFooter>
  <rowBreaks count="2" manualBreakCount="2">
    <brk id="14" max="16383" man="1"/>
    <brk id="25"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view="pageBreakPreview" topLeftCell="A115" zoomScale="75" zoomScaleNormal="75" zoomScaleSheetLayoutView="75" workbookViewId="0">
      <selection activeCell="I118" sqref="I118:I133"/>
    </sheetView>
  </sheetViews>
  <sheetFormatPr defaultColWidth="11" defaultRowHeight="15"/>
  <cols>
    <col min="1" max="1" width="2.7109375" customWidth="1"/>
    <col min="2" max="2" width="48" customWidth="1"/>
    <col min="3" max="3" width="23" customWidth="1"/>
    <col min="4" max="4" width="19.140625" customWidth="1"/>
    <col min="5" max="5" width="16.42578125" customWidth="1"/>
    <col min="6" max="6" width="17.42578125" customWidth="1"/>
    <col min="7" max="7" width="16.42578125" customWidth="1"/>
    <col min="8" max="8" width="12.5703125" customWidth="1"/>
    <col min="9" max="9" width="11.85546875" customWidth="1"/>
    <col min="10" max="10" width="13.28515625" customWidth="1"/>
    <col min="11" max="11" width="14.28515625" customWidth="1"/>
    <col min="12" max="12" width="15.28515625" customWidth="1"/>
    <col min="13" max="13" width="15.42578125" customWidth="1"/>
    <col min="14" max="14" width="14.28515625" style="35" customWidth="1"/>
    <col min="15" max="15" width="15.5703125" style="35"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style="35" customWidth="1"/>
    <col min="35" max="35" width="3.28515625" style="35" customWidth="1"/>
    <col min="36" max="36" width="2.28515625" style="35"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700" t="s">
        <v>283</v>
      </c>
      <c r="C2" s="700"/>
      <c r="D2" s="700"/>
      <c r="E2" s="700"/>
      <c r="F2" s="700"/>
      <c r="G2" s="700"/>
      <c r="H2" s="700"/>
      <c r="I2" s="700"/>
      <c r="J2" s="700"/>
      <c r="K2" s="239"/>
      <c r="L2" s="239"/>
      <c r="M2" s="239"/>
    </row>
    <row r="3" spans="1:13" ht="4.5" customHeight="1">
      <c r="A3" s="3"/>
      <c r="B3" s="3"/>
      <c r="C3" s="3"/>
      <c r="D3" s="3"/>
      <c r="E3" s="3"/>
      <c r="F3" s="3"/>
      <c r="G3" s="3"/>
      <c r="H3" s="3"/>
      <c r="I3" s="3"/>
      <c r="J3" s="3"/>
      <c r="K3" s="3"/>
      <c r="L3" s="3"/>
      <c r="M3" s="3"/>
    </row>
    <row r="4" spans="1:13" ht="34.5" customHeight="1">
      <c r="A4" s="3"/>
      <c r="B4" s="238" t="s">
        <v>284</v>
      </c>
      <c r="C4" s="685" t="s">
        <v>157</v>
      </c>
      <c r="D4" s="686"/>
      <c r="E4" s="687" t="s">
        <v>288</v>
      </c>
      <c r="F4" s="687"/>
      <c r="G4" s="736" t="s">
        <v>310</v>
      </c>
      <c r="H4" s="737"/>
      <c r="I4" s="737"/>
      <c r="J4" s="738"/>
      <c r="K4" s="3"/>
      <c r="L4" s="3"/>
      <c r="M4" s="3"/>
    </row>
    <row r="5" spans="1:13" ht="3" customHeight="1">
      <c r="A5" s="3"/>
      <c r="B5" s="238"/>
      <c r="C5" s="3"/>
      <c r="D5" s="3"/>
      <c r="E5" s="240"/>
      <c r="F5" s="240"/>
      <c r="G5" s="3"/>
      <c r="H5" s="3"/>
      <c r="I5" s="3"/>
      <c r="J5" s="3"/>
      <c r="K5" s="3"/>
      <c r="L5" s="3"/>
      <c r="M5" s="3"/>
    </row>
    <row r="6" spans="1:13">
      <c r="A6" s="3"/>
      <c r="B6" s="238" t="s">
        <v>285</v>
      </c>
      <c r="C6" s="685" t="s">
        <v>390</v>
      </c>
      <c r="D6" s="686"/>
      <c r="E6" s="687" t="s">
        <v>289</v>
      </c>
      <c r="F6" s="687"/>
      <c r="G6" s="262" t="s">
        <v>15</v>
      </c>
      <c r="H6" s="238" t="s">
        <v>290</v>
      </c>
      <c r="I6" s="743">
        <v>12371649.98</v>
      </c>
      <c r="J6" s="744"/>
      <c r="K6" s="3"/>
      <c r="L6" s="3"/>
      <c r="M6" s="3"/>
    </row>
    <row r="7" spans="1:13" ht="3" customHeight="1">
      <c r="A7" s="3"/>
      <c r="B7" s="238"/>
      <c r="C7" s="3"/>
      <c r="D7" s="3"/>
      <c r="E7" s="240"/>
      <c r="F7" s="240"/>
      <c r="G7" s="3"/>
      <c r="H7" s="238"/>
      <c r="I7" s="3"/>
      <c r="J7" s="3"/>
      <c r="K7" s="3"/>
      <c r="L7" s="3"/>
      <c r="M7" s="3"/>
    </row>
    <row r="8" spans="1:13">
      <c r="A8" s="3"/>
      <c r="B8" s="238" t="s">
        <v>286</v>
      </c>
      <c r="C8" s="685" t="s">
        <v>282</v>
      </c>
      <c r="D8" s="686"/>
      <c r="E8" s="241"/>
      <c r="F8" s="237" t="s">
        <v>291</v>
      </c>
      <c r="G8" s="330" t="s">
        <v>270</v>
      </c>
      <c r="H8" s="237" t="s">
        <v>292</v>
      </c>
      <c r="I8" s="685" t="s">
        <v>474</v>
      </c>
      <c r="J8" s="686"/>
      <c r="K8" s="3"/>
      <c r="L8" s="3"/>
      <c r="M8" s="3"/>
    </row>
    <row r="9" spans="1:13" ht="3" customHeight="1">
      <c r="A9" s="3"/>
      <c r="B9" s="240"/>
      <c r="C9" s="3"/>
      <c r="D9" s="3"/>
      <c r="E9" s="240"/>
      <c r="F9" s="240"/>
      <c r="G9" s="3"/>
      <c r="H9" s="3"/>
      <c r="I9" s="3"/>
      <c r="J9" s="3"/>
      <c r="K9" s="3"/>
      <c r="L9" s="3"/>
      <c r="M9" s="3"/>
    </row>
    <row r="10" spans="1:13">
      <c r="A10" s="3"/>
      <c r="B10" s="238" t="s">
        <v>381</v>
      </c>
      <c r="C10" s="741">
        <v>40452</v>
      </c>
      <c r="D10" s="742"/>
      <c r="E10" s="703" t="s">
        <v>293</v>
      </c>
      <c r="F10" s="704"/>
      <c r="G10" s="685" t="s">
        <v>37</v>
      </c>
      <c r="H10" s="746"/>
      <c r="I10" s="746"/>
      <c r="J10" s="686"/>
      <c r="K10" s="3"/>
      <c r="L10" s="3"/>
      <c r="M10" s="3"/>
    </row>
    <row r="11" spans="1:13" ht="5.25" customHeight="1">
      <c r="A11" s="3"/>
      <c r="B11" s="3"/>
      <c r="C11" s="3"/>
      <c r="D11" s="3"/>
      <c r="E11" s="3"/>
      <c r="F11" s="3"/>
      <c r="G11" s="3"/>
      <c r="H11" s="3"/>
      <c r="I11" s="3"/>
      <c r="J11" s="3"/>
      <c r="K11" s="3"/>
      <c r="L11" s="3"/>
      <c r="M11" s="3"/>
    </row>
    <row r="12" spans="1:13" ht="15" customHeight="1">
      <c r="A12" s="3"/>
      <c r="B12" s="238" t="s">
        <v>287</v>
      </c>
      <c r="C12" s="701" t="s">
        <v>24</v>
      </c>
      <c r="D12" s="701"/>
      <c r="E12" s="703" t="s">
        <v>233</v>
      </c>
      <c r="F12" s="687"/>
      <c r="G12" s="745" t="s">
        <v>440</v>
      </c>
      <c r="H12" s="745"/>
      <c r="I12" s="745"/>
      <c r="J12" s="745"/>
      <c r="K12" s="3"/>
      <c r="L12" s="3"/>
      <c r="M12" s="3"/>
    </row>
    <row r="13" spans="1:13" ht="5.25" customHeight="1">
      <c r="A13" s="3"/>
      <c r="B13" s="3"/>
      <c r="C13" s="3"/>
      <c r="D13" s="3"/>
      <c r="E13" s="3"/>
      <c r="F13" s="3"/>
      <c r="G13" s="3"/>
      <c r="H13" s="3"/>
      <c r="I13" s="3"/>
      <c r="J13" s="3"/>
      <c r="K13" s="3"/>
      <c r="L13" s="3"/>
      <c r="M13" s="3"/>
    </row>
    <row r="14" spans="1:13" ht="15.75" customHeight="1">
      <c r="A14" s="3"/>
      <c r="B14" s="700" t="s">
        <v>294</v>
      </c>
      <c r="C14" s="700"/>
      <c r="D14" s="700"/>
      <c r="E14" s="700"/>
      <c r="F14" s="700"/>
      <c r="G14" s="700"/>
      <c r="H14" s="700"/>
      <c r="I14" s="700"/>
      <c r="J14" s="700"/>
      <c r="K14" s="3"/>
      <c r="L14" s="3"/>
      <c r="M14" s="3"/>
    </row>
    <row r="15" spans="1:13" ht="3" customHeight="1">
      <c r="A15" s="3"/>
      <c r="B15" s="3"/>
      <c r="C15" s="3"/>
      <c r="D15" s="3"/>
      <c r="E15" s="3"/>
      <c r="F15" s="3"/>
      <c r="G15" s="3"/>
      <c r="H15" s="3"/>
      <c r="I15" s="3"/>
      <c r="J15" s="3"/>
      <c r="K15" s="3"/>
      <c r="L15" s="3"/>
      <c r="M15" s="3"/>
    </row>
    <row r="16" spans="1:13" s="35" customFormat="1" ht="30" customHeight="1">
      <c r="A16" s="401"/>
      <c r="B16" s="402" t="s">
        <v>295</v>
      </c>
      <c r="C16" s="510" t="s">
        <v>63</v>
      </c>
      <c r="D16" s="511" t="s">
        <v>296</v>
      </c>
      <c r="E16" s="512">
        <v>41456</v>
      </c>
      <c r="F16" s="513" t="s">
        <v>297</v>
      </c>
      <c r="G16" s="512">
        <v>41639</v>
      </c>
      <c r="H16" s="739" t="s">
        <v>431</v>
      </c>
      <c r="I16" s="740"/>
      <c r="J16" s="512">
        <v>41765</v>
      </c>
      <c r="K16" s="401"/>
      <c r="L16" s="401"/>
      <c r="M16" s="401"/>
    </row>
    <row r="17" spans="1:35" ht="3" customHeight="1">
      <c r="A17" s="3"/>
      <c r="B17" s="3"/>
      <c r="C17" s="3"/>
      <c r="D17" s="3"/>
      <c r="E17" s="3"/>
      <c r="F17" s="3"/>
      <c r="G17" s="3"/>
      <c r="H17" s="3"/>
      <c r="I17" s="3"/>
      <c r="J17" s="3"/>
      <c r="K17" s="3"/>
      <c r="L17" s="3"/>
      <c r="M17" s="3"/>
    </row>
    <row r="18" spans="1:35">
      <c r="A18" s="3"/>
      <c r="B18" s="747" t="s">
        <v>384</v>
      </c>
      <c r="C18" s="704"/>
      <c r="D18" s="702" t="s">
        <v>282</v>
      </c>
      <c r="E18" s="702"/>
      <c r="F18" s="702"/>
      <c r="G18" s="242"/>
      <c r="H18" s="242"/>
      <c r="I18" s="242"/>
      <c r="J18" s="242"/>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700" t="s">
        <v>298</v>
      </c>
      <c r="C21" s="700"/>
      <c r="D21" s="700"/>
      <c r="E21" s="700"/>
      <c r="F21" s="700"/>
      <c r="G21" s="700"/>
      <c r="H21" s="700"/>
      <c r="I21" s="700"/>
      <c r="J21" s="700"/>
      <c r="K21" s="3"/>
      <c r="L21" s="3"/>
      <c r="M21" s="3"/>
    </row>
    <row r="22" spans="1:35">
      <c r="A22" s="3"/>
      <c r="B22" s="240" t="s">
        <v>433</v>
      </c>
      <c r="C22" s="3"/>
      <c r="D22" s="3"/>
      <c r="E22" s="243"/>
      <c r="F22" s="243"/>
      <c r="G22" s="3"/>
      <c r="H22" s="3"/>
      <c r="I22" s="243"/>
      <c r="J22" s="243"/>
      <c r="K22" s="3"/>
      <c r="L22" s="3"/>
      <c r="M22" s="3"/>
    </row>
    <row r="23" spans="1:35" ht="3" customHeight="1">
      <c r="A23" s="3"/>
      <c r="B23" s="3"/>
      <c r="C23" s="3"/>
      <c r="D23" s="3"/>
      <c r="E23" s="3"/>
      <c r="F23" s="3"/>
      <c r="G23" s="3"/>
      <c r="H23" s="3"/>
      <c r="I23" s="3"/>
      <c r="J23" s="3"/>
      <c r="K23" s="3"/>
      <c r="L23" s="3"/>
      <c r="M23" s="3"/>
    </row>
    <row r="24" spans="1:35" ht="15.75" thickBot="1">
      <c r="A24" s="3"/>
      <c r="B24" s="238" t="s">
        <v>299</v>
      </c>
      <c r="C24" s="322"/>
      <c r="D24" s="687" t="s">
        <v>300</v>
      </c>
      <c r="E24" s="687"/>
      <c r="F24" s="323"/>
      <c r="G24" s="687" t="s">
        <v>301</v>
      </c>
      <c r="H24" s="687"/>
      <c r="I24" s="698"/>
      <c r="J24" s="699"/>
      <c r="K24" s="3"/>
      <c r="L24" s="3"/>
      <c r="M24" s="3"/>
      <c r="N24" s="20"/>
    </row>
    <row r="25" spans="1:35" ht="26.25" customHeight="1" thickBot="1">
      <c r="A25" s="3"/>
      <c r="B25" s="86" t="s">
        <v>299</v>
      </c>
      <c r="C25" s="87"/>
      <c r="D25" s="87"/>
      <c r="E25" s="87"/>
      <c r="F25" s="87"/>
      <c r="G25" s="87"/>
      <c r="H25" s="227"/>
      <c r="I25" s="88"/>
      <c r="J25" s="88"/>
      <c r="K25" s="227" t="s">
        <v>432</v>
      </c>
      <c r="L25" s="87"/>
      <c r="M25" s="87"/>
      <c r="N25" s="338"/>
      <c r="O25" s="39"/>
      <c r="AI25" s="43"/>
    </row>
    <row r="26" spans="1:35">
      <c r="A26" s="3"/>
      <c r="B26" s="690" t="s">
        <v>302</v>
      </c>
      <c r="C26" s="691"/>
      <c r="D26" s="398" t="s">
        <v>2</v>
      </c>
      <c r="E26" s="90"/>
      <c r="F26" s="90"/>
      <c r="G26" s="90"/>
      <c r="H26" s="90"/>
      <c r="I26" s="90"/>
      <c r="J26" s="91"/>
      <c r="K26" s="90"/>
      <c r="L26" s="90"/>
      <c r="M26" s="90"/>
      <c r="N26" s="39"/>
      <c r="O26" s="39"/>
      <c r="AI26" s="43"/>
    </row>
    <row r="27" spans="1:35" ht="18.75">
      <c r="A27" s="3"/>
      <c r="B27" s="89" t="s">
        <v>303</v>
      </c>
      <c r="C27" s="90"/>
      <c r="D27" s="90"/>
      <c r="E27" s="90"/>
      <c r="F27" s="90"/>
      <c r="G27" s="90"/>
      <c r="H27" s="90"/>
      <c r="I27" s="90"/>
      <c r="J27" s="91"/>
      <c r="K27" s="90"/>
      <c r="L27" s="90"/>
      <c r="M27" s="90"/>
      <c r="N27" s="39"/>
      <c r="O27" s="39"/>
      <c r="AI27" s="43"/>
    </row>
    <row r="28" spans="1:35" ht="15.75" thickBot="1">
      <c r="A28" s="3"/>
      <c r="B28" s="3"/>
      <c r="C28" s="3"/>
      <c r="D28" s="3"/>
      <c r="E28" s="3"/>
      <c r="F28" s="3"/>
      <c r="G28" s="3"/>
      <c r="H28" s="3"/>
      <c r="I28" s="3"/>
      <c r="J28" s="3"/>
      <c r="K28" s="3"/>
      <c r="L28" s="3"/>
      <c r="M28" s="3"/>
    </row>
    <row r="29" spans="1:35" ht="15.75" thickBot="1">
      <c r="A29" s="3"/>
      <c r="B29" s="692" t="s">
        <v>307</v>
      </c>
      <c r="C29" s="693"/>
      <c r="D29" s="693"/>
      <c r="E29" s="693"/>
      <c r="F29" s="693"/>
      <c r="G29" s="693"/>
      <c r="H29" s="693"/>
      <c r="I29" s="693"/>
      <c r="J29" s="693"/>
      <c r="K29" s="693"/>
      <c r="L29" s="693"/>
      <c r="M29" s="693"/>
      <c r="N29" s="694"/>
      <c r="P29" s="175"/>
      <c r="Q29" s="176"/>
      <c r="R29" s="177">
        <f>+C33</f>
        <v>9172167.4499999993</v>
      </c>
      <c r="S29" s="175"/>
    </row>
    <row r="30" spans="1:35">
      <c r="A30" s="3"/>
      <c r="B30" s="92" t="s">
        <v>304</v>
      </c>
      <c r="C30" s="306" t="s">
        <v>62</v>
      </c>
      <c r="D30" s="306" t="s">
        <v>63</v>
      </c>
      <c r="E30" s="306" t="s">
        <v>64</v>
      </c>
      <c r="F30" s="306" t="s">
        <v>65</v>
      </c>
      <c r="G30" s="306" t="s">
        <v>72</v>
      </c>
      <c r="H30" s="306" t="s">
        <v>73</v>
      </c>
      <c r="I30" s="306" t="s">
        <v>74</v>
      </c>
      <c r="J30" s="306" t="s">
        <v>75</v>
      </c>
      <c r="K30" s="306" t="s">
        <v>76</v>
      </c>
      <c r="L30" s="306" t="s">
        <v>77</v>
      </c>
      <c r="M30" s="306" t="s">
        <v>78</v>
      </c>
      <c r="N30" s="307" t="s">
        <v>232</v>
      </c>
      <c r="O30" s="308" t="s">
        <v>316</v>
      </c>
      <c r="P30" s="175"/>
      <c r="Q30" s="491"/>
      <c r="R30" s="177">
        <f>+D33</f>
        <v>10668150.789999999</v>
      </c>
      <c r="S30" s="175"/>
    </row>
    <row r="31" spans="1:35">
      <c r="A31" s="3"/>
      <c r="B31" s="235" t="str">
        <f>CONCATENATE("Buget (in ",'Introducerea datelor'!$D$26,")")</f>
        <v>Buget (in €)</v>
      </c>
      <c r="C31" s="514">
        <v>2423956.81</v>
      </c>
      <c r="D31" s="514">
        <v>1495983.34</v>
      </c>
      <c r="E31" s="314"/>
      <c r="F31" s="314"/>
      <c r="G31" s="314"/>
      <c r="H31" s="429"/>
      <c r="I31" s="429"/>
      <c r="J31" s="314"/>
      <c r="K31" s="314"/>
      <c r="L31" s="314"/>
      <c r="M31" s="314"/>
      <c r="N31" s="314"/>
      <c r="O31" s="627">
        <f>+SUM(C35:N35)</f>
        <v>1.1596140627854774</v>
      </c>
      <c r="P31" s="175"/>
      <c r="Q31" s="491"/>
      <c r="R31" s="177">
        <f>+E33</f>
        <v>0</v>
      </c>
      <c r="S31" s="175"/>
    </row>
    <row r="32" spans="1:35">
      <c r="A32" s="3"/>
      <c r="B32" s="92" t="str">
        <f>CONCATENATE("Debursări de către FG (in ", $D$26,")")</f>
        <v>Debursări de către FG (in €)</v>
      </c>
      <c r="C32" s="514">
        <v>2872440.33</v>
      </c>
      <c r="D32" s="514">
        <v>2438194.39</v>
      </c>
      <c r="E32" s="315"/>
      <c r="F32" s="315"/>
      <c r="G32" s="315"/>
      <c r="H32" s="430"/>
      <c r="I32" s="429"/>
      <c r="J32" s="314"/>
      <c r="K32" s="314"/>
      <c r="L32" s="314"/>
      <c r="M32" s="314"/>
      <c r="N32" s="314"/>
      <c r="O32" s="628"/>
      <c r="P32" s="175"/>
      <c r="Q32" s="491"/>
      <c r="R32" s="177">
        <f>+F33</f>
        <v>0</v>
      </c>
      <c r="S32" s="175"/>
    </row>
    <row r="33" spans="1:35">
      <c r="A33" s="3"/>
      <c r="B33" s="93" t="s">
        <v>305</v>
      </c>
      <c r="C33" s="515">
        <v>9172167.4499999993</v>
      </c>
      <c r="D33" s="515">
        <f>IF(AND(D31=0,D32=0),0,+C33+D31)</f>
        <v>10668150.789999999</v>
      </c>
      <c r="E33" s="316">
        <f t="shared" ref="E33:N33" si="0">IF(AND(E31=0,E32=0),0,+D33+E31)</f>
        <v>0</v>
      </c>
      <c r="F33" s="316">
        <f t="shared" si="0"/>
        <v>0</v>
      </c>
      <c r="G33" s="316">
        <f t="shared" si="0"/>
        <v>0</v>
      </c>
      <c r="H33" s="431">
        <f t="shared" si="0"/>
        <v>0</v>
      </c>
      <c r="I33" s="431">
        <f t="shared" si="0"/>
        <v>0</v>
      </c>
      <c r="J33" s="316">
        <f t="shared" si="0"/>
        <v>0</v>
      </c>
      <c r="K33" s="316">
        <f t="shared" si="0"/>
        <v>0</v>
      </c>
      <c r="L33" s="316">
        <f t="shared" si="0"/>
        <v>0</v>
      </c>
      <c r="M33" s="316">
        <f t="shared" si="0"/>
        <v>0</v>
      </c>
      <c r="N33" s="316">
        <f t="shared" si="0"/>
        <v>0</v>
      </c>
      <c r="O33" s="628"/>
      <c r="P33" s="301"/>
      <c r="Q33" s="491"/>
      <c r="R33" s="177">
        <f>+G33</f>
        <v>0</v>
      </c>
      <c r="S33" s="175"/>
    </row>
    <row r="34" spans="1:35" ht="15.75" thickBot="1">
      <c r="A34" s="3"/>
      <c r="B34" s="94" t="s">
        <v>306</v>
      </c>
      <c r="C34" s="516">
        <v>9932743.2899999991</v>
      </c>
      <c r="D34" s="516">
        <f>IF(AND(D31=0,D32=0),0,+C34+D32)</f>
        <v>12370937.68</v>
      </c>
      <c r="E34" s="317">
        <f t="shared" ref="E34:N34" si="1">IF(AND(E31=0,E32=0),0,+D34+E32)</f>
        <v>0</v>
      </c>
      <c r="F34" s="317">
        <f t="shared" si="1"/>
        <v>0</v>
      </c>
      <c r="G34" s="317">
        <f>IF(AND(G31=0,G32=0),0,+F34+G32)</f>
        <v>0</v>
      </c>
      <c r="H34" s="432">
        <f t="shared" si="1"/>
        <v>0</v>
      </c>
      <c r="I34" s="432">
        <f t="shared" si="1"/>
        <v>0</v>
      </c>
      <c r="J34" s="317">
        <f t="shared" si="1"/>
        <v>0</v>
      </c>
      <c r="K34" s="317">
        <f t="shared" si="1"/>
        <v>0</v>
      </c>
      <c r="L34" s="317">
        <f t="shared" si="1"/>
        <v>0</v>
      </c>
      <c r="M34" s="317">
        <f t="shared" si="1"/>
        <v>0</v>
      </c>
      <c r="N34" s="317">
        <f t="shared" si="1"/>
        <v>0</v>
      </c>
      <c r="O34" s="629"/>
      <c r="P34" s="301"/>
      <c r="Q34" s="491"/>
      <c r="R34" s="177">
        <f>+H33</f>
        <v>0</v>
      </c>
      <c r="S34" s="175"/>
    </row>
    <row r="35" spans="1:35">
      <c r="A35" s="3"/>
      <c r="B35" s="3"/>
      <c r="C35" s="286">
        <f>+IF(AND(C30=$C$16,C33&lt;&gt;0),C34/C33,0)</f>
        <v>0</v>
      </c>
      <c r="D35" s="286">
        <f t="shared" ref="D35:N35" si="2">+IF(AND(D30=$C$16,D33&lt;&gt;0),D34/D33,0)</f>
        <v>1.1596140627854774</v>
      </c>
      <c r="E35" s="286">
        <f t="shared" si="2"/>
        <v>0</v>
      </c>
      <c r="F35" s="286">
        <f t="shared" si="2"/>
        <v>0</v>
      </c>
      <c r="G35" s="286">
        <f t="shared" si="2"/>
        <v>0</v>
      </c>
      <c r="H35" s="286">
        <f t="shared" si="2"/>
        <v>0</v>
      </c>
      <c r="I35" s="286">
        <f t="shared" si="2"/>
        <v>0</v>
      </c>
      <c r="J35" s="286">
        <f t="shared" si="2"/>
        <v>0</v>
      </c>
      <c r="K35" s="286">
        <f t="shared" si="2"/>
        <v>0</v>
      </c>
      <c r="L35" s="286">
        <f t="shared" si="2"/>
        <v>0</v>
      </c>
      <c r="M35" s="286">
        <f t="shared" si="2"/>
        <v>0</v>
      </c>
      <c r="N35" s="286">
        <f t="shared" si="2"/>
        <v>0</v>
      </c>
      <c r="O35" s="244"/>
      <c r="P35" s="178"/>
      <c r="Q35" s="492"/>
      <c r="R35" s="177">
        <f>+I33</f>
        <v>0</v>
      </c>
      <c r="S35" s="175"/>
    </row>
    <row r="36" spans="1:35" ht="18.75">
      <c r="A36" s="3"/>
      <c r="B36" s="89" t="s">
        <v>308</v>
      </c>
      <c r="C36" s="3"/>
      <c r="D36" s="3"/>
      <c r="E36" s="295"/>
      <c r="F36" s="3"/>
      <c r="G36" s="221"/>
      <c r="H36" s="3"/>
      <c r="I36" s="3"/>
      <c r="J36" s="3"/>
      <c r="K36" s="3"/>
      <c r="L36" s="3"/>
      <c r="M36" s="3"/>
      <c r="N36" s="40"/>
      <c r="O36" s="40"/>
      <c r="Q36" s="35"/>
      <c r="AI36" s="20"/>
    </row>
    <row r="37" spans="1:35" ht="15.75" thickBot="1">
      <c r="A37" s="3"/>
      <c r="B37" s="3"/>
      <c r="C37" s="3"/>
      <c r="D37" s="3"/>
      <c r="E37" s="3"/>
      <c r="F37" s="3"/>
      <c r="G37" s="3"/>
      <c r="H37" s="3"/>
      <c r="I37" s="3"/>
      <c r="J37" s="3"/>
      <c r="K37" s="3"/>
      <c r="L37" s="3"/>
      <c r="M37" s="3"/>
      <c r="N37" s="38"/>
      <c r="O37" s="38"/>
      <c r="Q37" s="35"/>
    </row>
    <row r="38" spans="1:35" ht="30" customHeight="1">
      <c r="A38" s="3"/>
      <c r="B38" s="324" t="s">
        <v>309</v>
      </c>
      <c r="C38" s="325" t="str">
        <f>CONCATENATE("Bugetul Cumulativ (în ",'Introducerea datelor'!$D$26,")")</f>
        <v>Bugetul Cumulativ (în €)</v>
      </c>
      <c r="D38" s="326" t="str">
        <f>CONCATENATE("Cheltuielile Cumulative (în ",'Introducerea datelor'!$D$26,")")</f>
        <v>Cheltuielile Cumulative (în €)</v>
      </c>
      <c r="E38" s="233"/>
      <c r="F38" s="246"/>
      <c r="G38" s="3"/>
      <c r="H38" s="3"/>
      <c r="I38" s="3"/>
      <c r="J38" s="99"/>
      <c r="K38" s="41"/>
      <c r="N38"/>
      <c r="O38"/>
      <c r="Q38" s="35"/>
      <c r="AE38" s="20"/>
      <c r="AF38" s="35"/>
    </row>
    <row r="39" spans="1:35" ht="46.5" customHeight="1">
      <c r="A39" s="3"/>
      <c r="B39" s="388" t="s">
        <v>311</v>
      </c>
      <c r="C39" s="433">
        <f>671890.36+9092.57+9092.57</f>
        <v>690075.49999999988</v>
      </c>
      <c r="D39" s="434">
        <f>728120.53+102223.84+1753.49+4485.73-7432.68</f>
        <v>829150.90999999992</v>
      </c>
      <c r="E39" s="502"/>
      <c r="F39" s="303"/>
      <c r="G39" s="304"/>
      <c r="H39" s="3"/>
      <c r="I39" s="3"/>
      <c r="J39" s="100"/>
      <c r="K39" s="42"/>
      <c r="N39"/>
      <c r="O39"/>
      <c r="Q39" s="35"/>
      <c r="AE39" s="20"/>
      <c r="AF39" s="35"/>
    </row>
    <row r="40" spans="1:35" ht="31.5" customHeight="1">
      <c r="A40" s="3"/>
      <c r="B40" s="388" t="s">
        <v>312</v>
      </c>
      <c r="C40" s="433">
        <f>7238109.28+1410611.36</f>
        <v>8648720.6400000006</v>
      </c>
      <c r="D40" s="434">
        <f>5006646.89+2170340.92+1153058.14</f>
        <v>8330045.9499999993</v>
      </c>
      <c r="E40" s="15"/>
      <c r="F40" s="303"/>
      <c r="G40" s="304"/>
      <c r="H40" s="3"/>
      <c r="I40" s="3"/>
      <c r="J40" s="3"/>
      <c r="K40" s="42"/>
      <c r="N40"/>
      <c r="O40"/>
      <c r="Q40" s="35"/>
      <c r="AE40" s="20"/>
      <c r="AF40" s="35"/>
    </row>
    <row r="41" spans="1:35" ht="48" customHeight="1">
      <c r="A41" s="3"/>
      <c r="B41" s="388" t="s">
        <v>313</v>
      </c>
      <c r="C41" s="435">
        <v>424100</v>
      </c>
      <c r="D41" s="434">
        <v>256477.4</v>
      </c>
      <c r="E41" s="15"/>
      <c r="F41" s="305"/>
      <c r="G41" s="3"/>
      <c r="H41" s="3"/>
      <c r="I41" s="3"/>
      <c r="J41" s="3"/>
      <c r="K41" s="42"/>
      <c r="N41"/>
      <c r="O41"/>
      <c r="Q41" s="35"/>
      <c r="AE41" s="20"/>
      <c r="AF41" s="35"/>
    </row>
    <row r="42" spans="1:35" ht="30" customHeight="1">
      <c r="A42" s="3"/>
      <c r="B42" s="388" t="s">
        <v>314</v>
      </c>
      <c r="C42" s="433">
        <v>104794</v>
      </c>
      <c r="D42" s="434">
        <v>92909.55</v>
      </c>
      <c r="E42" s="15"/>
      <c r="F42" s="302"/>
      <c r="G42" s="3"/>
      <c r="H42" s="3"/>
      <c r="I42" s="3"/>
      <c r="J42" s="3"/>
      <c r="K42" s="20"/>
      <c r="N42"/>
      <c r="O42"/>
      <c r="Q42" s="35"/>
      <c r="AE42" s="20"/>
      <c r="AF42" s="35"/>
    </row>
    <row r="43" spans="1:35">
      <c r="A43" s="3"/>
      <c r="B43" s="389" t="s">
        <v>315</v>
      </c>
      <c r="C43" s="435">
        <f>627837.84+96343.4+76279.41</f>
        <v>800460.65</v>
      </c>
      <c r="D43" s="434">
        <f>652418.29+79845.89+85624.61</f>
        <v>817888.79</v>
      </c>
      <c r="E43" s="15"/>
      <c r="F43" s="245"/>
      <c r="G43" s="3"/>
      <c r="H43" s="3"/>
      <c r="I43" s="3"/>
      <c r="J43" s="3"/>
      <c r="K43" s="20"/>
      <c r="N43"/>
      <c r="O43"/>
      <c r="Q43" s="35"/>
      <c r="AE43" s="20"/>
      <c r="AF43" s="35"/>
    </row>
    <row r="44" spans="1:35">
      <c r="A44" s="3"/>
      <c r="B44" s="389" t="s">
        <v>436</v>
      </c>
      <c r="C44" s="435"/>
      <c r="D44" s="434">
        <f>58814.1+5304.98+916.65</f>
        <v>65035.73</v>
      </c>
      <c r="E44" s="15"/>
      <c r="F44" s="346"/>
      <c r="G44" s="3"/>
      <c r="H44" s="3"/>
      <c r="I44" s="3"/>
      <c r="J44" s="3"/>
      <c r="K44" s="20"/>
      <c r="N44"/>
      <c r="O44"/>
      <c r="Q44" s="35"/>
      <c r="AE44" s="20"/>
      <c r="AF44" s="35"/>
    </row>
    <row r="45" spans="1:35">
      <c r="A45" s="3"/>
      <c r="B45" s="327"/>
      <c r="C45" s="435"/>
      <c r="D45" s="434"/>
      <c r="E45" s="15"/>
      <c r="F45" s="245"/>
      <c r="G45" s="15"/>
      <c r="H45" s="15"/>
      <c r="I45" s="15"/>
      <c r="J45" s="15"/>
      <c r="K45" s="20"/>
      <c r="N45"/>
      <c r="O45"/>
      <c r="Q45" s="35"/>
      <c r="AE45" s="35"/>
      <c r="AF45" s="35"/>
    </row>
    <row r="46" spans="1:35" ht="15.75" thickBot="1">
      <c r="A46" s="3"/>
      <c r="B46" s="328"/>
      <c r="C46" s="433"/>
      <c r="D46" s="434"/>
      <c r="E46" s="15"/>
      <c r="F46" s="15"/>
      <c r="G46" s="15"/>
      <c r="H46" s="15"/>
      <c r="I46" s="15"/>
      <c r="J46" s="15"/>
      <c r="K46" s="20"/>
      <c r="N46"/>
      <c r="O46"/>
      <c r="Q46" s="35"/>
      <c r="AE46" s="35"/>
      <c r="AF46" s="35"/>
    </row>
    <row r="47" spans="1:35" ht="15.75" thickBot="1">
      <c r="A47" s="3"/>
      <c r="B47" s="329" t="s">
        <v>39</v>
      </c>
      <c r="C47" s="436">
        <f>SUM(C39:C43)</f>
        <v>10668150.790000001</v>
      </c>
      <c r="D47" s="437">
        <f>SUM(D39:D44)</f>
        <v>10391508.330000002</v>
      </c>
      <c r="E47" s="244"/>
      <c r="F47" s="638" t="str">
        <f ca="1">+IF((ROUND(C47,0)=ROUND(OFFSET(B33,0,RIGHT('Introducerea datelor'!$C$16,LEN('Introducerea datelor'!$C$16)-1),1,1),0)),"OK: Data match","Warning: Data does not match")</f>
        <v>OK: Data match</v>
      </c>
      <c r="G47" s="639"/>
      <c r="H47" s="639"/>
      <c r="I47" s="640"/>
      <c r="N47" s="179"/>
      <c r="O47" s="177"/>
      <c r="P47" s="175"/>
      <c r="Q47" s="35"/>
      <c r="AE47" s="35"/>
      <c r="AF47" s="35"/>
    </row>
    <row r="48" spans="1:35">
      <c r="A48" s="3"/>
      <c r="B48" s="3"/>
      <c r="C48" s="170"/>
      <c r="D48" s="170"/>
      <c r="E48" s="230"/>
      <c r="F48" s="170"/>
      <c r="G48" s="170"/>
      <c r="H48" s="170"/>
      <c r="I48" s="170"/>
      <c r="J48" s="170"/>
      <c r="K48" s="170"/>
      <c r="L48" s="170"/>
      <c r="M48" s="170"/>
      <c r="N48" s="170"/>
      <c r="O48" s="170"/>
      <c r="P48" s="178"/>
      <c r="Q48" s="492"/>
      <c r="R48" s="177"/>
      <c r="S48" s="175"/>
    </row>
    <row r="49" spans="1:35" ht="18.75">
      <c r="A49" s="3"/>
      <c r="B49" s="89" t="s">
        <v>317</v>
      </c>
      <c r="C49" s="3"/>
      <c r="D49" s="3"/>
      <c r="E49" s="3"/>
      <c r="F49" s="3"/>
      <c r="G49" s="3"/>
      <c r="H49" s="3"/>
      <c r="I49" s="3"/>
      <c r="J49" s="3"/>
      <c r="K49" s="3"/>
      <c r="L49" s="3"/>
      <c r="M49" s="3"/>
      <c r="P49" s="175"/>
      <c r="Q49" s="491"/>
      <c r="R49" s="177">
        <f>+J33</f>
        <v>0</v>
      </c>
      <c r="S49" s="175"/>
    </row>
    <row r="50" spans="1:35" ht="15.75" thickBot="1">
      <c r="A50" s="3"/>
      <c r="B50" s="3"/>
      <c r="C50" s="3"/>
      <c r="D50" s="3"/>
      <c r="E50" s="3"/>
      <c r="F50" s="3"/>
      <c r="G50" s="3"/>
      <c r="H50" s="3"/>
      <c r="I50" s="3"/>
      <c r="J50" s="3"/>
      <c r="K50" s="3"/>
      <c r="L50" s="3"/>
      <c r="M50" s="3"/>
      <c r="P50" s="175"/>
      <c r="Q50" s="176"/>
      <c r="R50" s="177">
        <f>+K33</f>
        <v>0</v>
      </c>
      <c r="S50" s="175"/>
    </row>
    <row r="51" spans="1:35" ht="35.25" customHeight="1">
      <c r="A51" s="3"/>
      <c r="B51" s="249"/>
      <c r="C51" s="250" t="s">
        <v>322</v>
      </c>
      <c r="D51" s="250" t="s">
        <v>323</v>
      </c>
      <c r="E51" s="344" t="str">
        <f>CONCATENATE("Total Cheltuit și debursat (în ",D26,")")</f>
        <v>Total Cheltuit și debursat (în €)</v>
      </c>
      <c r="F51" s="401"/>
      <c r="G51" s="493"/>
      <c r="H51" s="246"/>
      <c r="I51" s="236"/>
      <c r="J51" s="236"/>
      <c r="K51" s="236"/>
      <c r="L51" s="236"/>
      <c r="M51" s="21"/>
      <c r="N51" s="21"/>
      <c r="O51" s="175"/>
      <c r="P51" s="176"/>
      <c r="Q51" s="177">
        <f>+M33</f>
        <v>0</v>
      </c>
      <c r="R51" s="175"/>
      <c r="AH51" s="20"/>
    </row>
    <row r="52" spans="1:35">
      <c r="A52" s="3"/>
      <c r="B52" s="247" t="s">
        <v>318</v>
      </c>
      <c r="C52" s="438">
        <v>9932743.2899999991</v>
      </c>
      <c r="D52" s="439">
        <v>2438194.39</v>
      </c>
      <c r="E52" s="318">
        <f>+D52+C52</f>
        <v>12370937.68</v>
      </c>
      <c r="F52" s="401"/>
      <c r="G52" s="494"/>
      <c r="H52" s="251"/>
      <c r="I52" s="95"/>
      <c r="J52" s="172"/>
      <c r="K52" s="173"/>
      <c r="L52" s="96"/>
      <c r="M52" s="36"/>
      <c r="N52" s="36"/>
      <c r="O52" s="175"/>
      <c r="P52" s="175"/>
      <c r="Q52" s="175"/>
      <c r="R52" s="175"/>
      <c r="AH52" s="20"/>
    </row>
    <row r="53" spans="1:35">
      <c r="A53" s="3"/>
      <c r="B53" s="247" t="s">
        <v>319</v>
      </c>
      <c r="C53" s="438">
        <v>9154855.879999999</v>
      </c>
      <c r="D53" s="438">
        <v>1236652.45</v>
      </c>
      <c r="E53" s="318">
        <f>+D53+C53</f>
        <v>10391508.329999998</v>
      </c>
      <c r="F53" s="401"/>
      <c r="G53" s="495"/>
      <c r="H53" s="251"/>
      <c r="I53" s="95"/>
      <c r="J53" s="172"/>
      <c r="K53" s="172"/>
      <c r="L53" s="96"/>
      <c r="M53" s="37"/>
      <c r="N53" s="37"/>
      <c r="O53" s="175"/>
      <c r="P53" s="175"/>
      <c r="Q53" s="175"/>
      <c r="R53" s="175"/>
      <c r="AH53" s="20"/>
    </row>
    <row r="54" spans="1:35">
      <c r="A54" s="3"/>
      <c r="B54" s="247" t="s">
        <v>320</v>
      </c>
      <c r="C54" s="438">
        <v>194116.33000000002</v>
      </c>
      <c r="D54" s="438">
        <v>0</v>
      </c>
      <c r="E54" s="318">
        <f>+D54+C54</f>
        <v>194116.33000000002</v>
      </c>
      <c r="F54" s="401"/>
      <c r="G54" s="494"/>
      <c r="H54" s="251"/>
      <c r="I54" s="95"/>
      <c r="J54" s="172"/>
      <c r="K54" s="173"/>
      <c r="L54" s="96"/>
      <c r="M54" s="36"/>
      <c r="N54" s="36"/>
      <c r="O54"/>
      <c r="AH54" s="20"/>
    </row>
    <row r="55" spans="1:35" ht="15.75" thickBot="1">
      <c r="A55" s="3"/>
      <c r="B55" s="248" t="s">
        <v>321</v>
      </c>
      <c r="C55" s="440">
        <v>194116.33</v>
      </c>
      <c r="D55" s="440">
        <v>0</v>
      </c>
      <c r="E55" s="319">
        <f>+D55+C55</f>
        <v>194116.33</v>
      </c>
      <c r="F55" s="401"/>
      <c r="G55" s="496"/>
      <c r="H55" s="252"/>
      <c r="I55" s="97"/>
      <c r="J55" s="97"/>
      <c r="K55" s="97"/>
      <c r="L55" s="96"/>
      <c r="M55" s="37"/>
      <c r="N55" s="37"/>
      <c r="O55"/>
      <c r="AH55" s="20"/>
    </row>
    <row r="56" spans="1:35" ht="15.75" customHeight="1">
      <c r="A56" s="3"/>
      <c r="B56" s="3"/>
      <c r="C56" s="3"/>
      <c r="D56" s="3"/>
      <c r="E56" s="3"/>
      <c r="F56" s="3"/>
      <c r="G56" s="3"/>
      <c r="H56" s="3"/>
      <c r="I56" s="3"/>
      <c r="J56" s="3"/>
      <c r="K56" s="3"/>
      <c r="L56" s="3"/>
      <c r="M56" s="3"/>
      <c r="AI56" s="20"/>
    </row>
    <row r="57" spans="1:35">
      <c r="A57" s="3"/>
      <c r="B57" s="3"/>
      <c r="C57" s="3"/>
      <c r="D57" s="234"/>
      <c r="E57" s="3"/>
      <c r="F57" s="3"/>
      <c r="G57" s="3"/>
      <c r="H57" s="3"/>
      <c r="I57" s="3"/>
      <c r="J57" s="3"/>
      <c r="K57" s="3"/>
      <c r="L57" s="3"/>
      <c r="M57" s="3"/>
    </row>
    <row r="58" spans="1:35" ht="18.75">
      <c r="A58" s="3"/>
      <c r="B58" s="89" t="s">
        <v>386</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95" t="s">
        <v>324</v>
      </c>
      <c r="C60" s="696"/>
      <c r="D60" s="697"/>
      <c r="E60" s="3"/>
      <c r="F60" s="3"/>
      <c r="G60" s="3"/>
      <c r="H60" s="3"/>
      <c r="I60" s="3"/>
      <c r="J60" s="3"/>
      <c r="K60" s="3"/>
      <c r="L60" s="3"/>
      <c r="M60" s="35"/>
      <c r="O60"/>
    </row>
    <row r="61" spans="1:35">
      <c r="A61" s="3"/>
      <c r="B61" s="101"/>
      <c r="C61" s="254" t="s">
        <v>325</v>
      </c>
      <c r="D61" s="255" t="s">
        <v>326</v>
      </c>
      <c r="E61" s="3"/>
      <c r="F61" s="3"/>
      <c r="G61" s="3"/>
      <c r="H61" s="3"/>
      <c r="I61" s="3"/>
      <c r="J61" s="3"/>
      <c r="K61" s="3"/>
      <c r="L61" s="3"/>
      <c r="M61" s="35"/>
      <c r="O61"/>
    </row>
    <row r="62" spans="1:35">
      <c r="A62" s="3"/>
      <c r="B62" s="102" t="s">
        <v>327</v>
      </c>
      <c r="C62" s="518">
        <v>60</v>
      </c>
      <c r="D62" s="486">
        <v>52</v>
      </c>
      <c r="E62" s="3"/>
      <c r="F62" s="401"/>
      <c r="G62" s="3"/>
      <c r="H62" s="3"/>
      <c r="I62" s="3"/>
      <c r="J62" s="3"/>
      <c r="K62" s="3"/>
      <c r="L62" s="3"/>
      <c r="M62" s="35"/>
      <c r="O62"/>
    </row>
    <row r="63" spans="1:35">
      <c r="A63" s="3"/>
      <c r="B63" s="253" t="s">
        <v>328</v>
      </c>
      <c r="C63" s="518">
        <v>0</v>
      </c>
      <c r="D63" s="486">
        <v>0</v>
      </c>
      <c r="E63" s="3"/>
      <c r="F63" s="3"/>
      <c r="G63" s="3"/>
      <c r="H63" s="251"/>
      <c r="I63" s="251"/>
      <c r="J63" s="3"/>
      <c r="K63" s="3"/>
      <c r="L63" s="3"/>
      <c r="M63" s="35"/>
      <c r="O63"/>
    </row>
    <row r="64" spans="1:35" ht="15.75" thickBot="1">
      <c r="A64" s="3"/>
      <c r="B64" s="103" t="s">
        <v>329</v>
      </c>
      <c r="C64" s="487">
        <v>0</v>
      </c>
      <c r="D64" s="488">
        <v>0</v>
      </c>
      <c r="E64" s="3"/>
      <c r="F64" s="3"/>
      <c r="G64" s="3"/>
      <c r="H64" s="251"/>
      <c r="I64" s="251"/>
      <c r="J64" s="3"/>
      <c r="K64" s="3"/>
      <c r="L64" s="3"/>
      <c r="M64" s="35"/>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340"/>
      <c r="M66" s="3"/>
      <c r="AC66" s="19"/>
      <c r="AD66" s="19"/>
    </row>
    <row r="67" spans="1:30" ht="19.5" thickBot="1">
      <c r="A67" s="3"/>
      <c r="B67" s="104" t="s">
        <v>332</v>
      </c>
      <c r="C67" s="105"/>
      <c r="D67" s="105"/>
      <c r="E67" s="105"/>
      <c r="F67" s="105"/>
      <c r="G67" s="105" t="s">
        <v>331</v>
      </c>
      <c r="H67" s="393"/>
      <c r="I67" s="105"/>
      <c r="J67" s="106"/>
      <c r="K67" s="106"/>
      <c r="L67" s="341"/>
      <c r="M67" s="342"/>
      <c r="N67" s="83"/>
      <c r="O67" s="83"/>
      <c r="P67" s="83"/>
      <c r="S67" s="43"/>
      <c r="AC67" s="19"/>
      <c r="AD67" s="19"/>
    </row>
    <row r="68" spans="1:30" ht="18.75">
      <c r="A68" s="3"/>
      <c r="B68" s="108"/>
      <c r="C68" s="107"/>
      <c r="D68" s="107"/>
      <c r="E68" s="107"/>
      <c r="F68" s="107"/>
      <c r="G68" s="107"/>
      <c r="H68" s="107"/>
      <c r="I68" s="107"/>
      <c r="J68" s="107"/>
      <c r="K68" s="109"/>
      <c r="L68" s="109"/>
      <c r="M68" s="107"/>
      <c r="N68" s="83"/>
      <c r="O68" s="83"/>
      <c r="P68" s="83"/>
      <c r="S68" s="43"/>
      <c r="AC68" s="19"/>
      <c r="AD68" s="19"/>
    </row>
    <row r="69" spans="1:30" ht="18.75">
      <c r="A69" s="3"/>
      <c r="B69" s="108" t="s">
        <v>333</v>
      </c>
      <c r="C69" s="107"/>
      <c r="D69" s="107"/>
      <c r="E69" s="107"/>
      <c r="F69" s="107"/>
      <c r="G69" s="107"/>
      <c r="H69" s="107"/>
      <c r="I69" s="107"/>
      <c r="J69" s="107"/>
      <c r="K69" s="109"/>
      <c r="L69" s="109"/>
      <c r="M69" s="107"/>
      <c r="N69" s="83"/>
      <c r="O69" s="83"/>
      <c r="P69" s="83"/>
      <c r="S69" s="43"/>
      <c r="AC69" s="19"/>
      <c r="AD69" s="19"/>
    </row>
    <row r="70" spans="1:30" ht="15.75" thickBot="1">
      <c r="A70" s="3"/>
      <c r="B70" s="2"/>
      <c r="C70" s="110"/>
      <c r="D70" s="110"/>
      <c r="E70" s="110"/>
      <c r="F70" s="110"/>
      <c r="G70" s="110"/>
      <c r="H70" s="2"/>
      <c r="I70" s="110"/>
      <c r="J70" s="2"/>
      <c r="K70" s="2"/>
      <c r="L70" s="2"/>
      <c r="M70" s="2"/>
      <c r="N70" s="20"/>
      <c r="O70" s="19"/>
      <c r="P70" s="19"/>
      <c r="Q70" s="19"/>
      <c r="R70" s="19"/>
      <c r="S70" s="19"/>
      <c r="AD70" s="19"/>
    </row>
    <row r="71" spans="1:30" ht="60">
      <c r="A71" s="3"/>
      <c r="B71" s="688"/>
      <c r="C71" s="689"/>
      <c r="D71" s="111" t="s">
        <v>336</v>
      </c>
      <c r="E71" s="112" t="s">
        <v>337</v>
      </c>
      <c r="F71" s="112" t="s">
        <v>338</v>
      </c>
      <c r="G71" s="113" t="s">
        <v>39</v>
      </c>
      <c r="H71" s="259"/>
      <c r="I71" s="260"/>
      <c r="J71" s="15"/>
      <c r="K71" s="2"/>
      <c r="L71" s="2"/>
      <c r="M71" s="2"/>
      <c r="N71" s="20"/>
      <c r="O71" s="19"/>
      <c r="P71" s="19"/>
      <c r="Q71" s="19"/>
      <c r="R71" s="19"/>
      <c r="S71" s="19"/>
    </row>
    <row r="72" spans="1:30">
      <c r="A72" s="3"/>
      <c r="B72" s="748" t="s">
        <v>334</v>
      </c>
      <c r="C72" s="749"/>
      <c r="D72" s="219">
        <v>4</v>
      </c>
      <c r="E72" s="219"/>
      <c r="F72" s="219"/>
      <c r="G72" s="517">
        <f>SUM(D72:F72)</f>
        <v>4</v>
      </c>
      <c r="H72" s="245"/>
      <c r="I72" s="258"/>
      <c r="J72" s="258"/>
      <c r="K72" s="2" t="s">
        <v>330</v>
      </c>
      <c r="L72" s="2"/>
      <c r="M72" s="2"/>
      <c r="N72" s="20"/>
      <c r="O72" s="19"/>
      <c r="P72" s="19"/>
      <c r="Q72" s="19"/>
      <c r="R72" s="19"/>
      <c r="S72" s="19"/>
    </row>
    <row r="73" spans="1:30" ht="15.75" thickBot="1">
      <c r="A73" s="3"/>
      <c r="B73" s="683" t="s">
        <v>335</v>
      </c>
      <c r="C73" s="684"/>
      <c r="D73" s="220"/>
      <c r="E73" s="220"/>
      <c r="F73" s="220"/>
      <c r="G73" s="116">
        <f>SUM(D73:F73)</f>
        <v>0</v>
      </c>
      <c r="H73" s="245"/>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08" t="s">
        <v>339</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17"/>
      <c r="C78" s="392" t="s">
        <v>340</v>
      </c>
      <c r="D78" s="392" t="s">
        <v>341</v>
      </c>
      <c r="E78" s="118" t="s">
        <v>342</v>
      </c>
      <c r="F78" s="15"/>
      <c r="G78" s="15"/>
      <c r="H78" s="15"/>
      <c r="I78" s="260"/>
      <c r="J78" s="2"/>
      <c r="K78" s="2"/>
      <c r="L78" s="2"/>
      <c r="M78" s="2"/>
      <c r="N78" s="19"/>
      <c r="O78" s="19"/>
      <c r="P78" s="19"/>
      <c r="S78" s="19"/>
    </row>
    <row r="79" spans="1:30" ht="15.75" thickBot="1">
      <c r="A79" s="3"/>
      <c r="B79" s="119" t="s">
        <v>282</v>
      </c>
      <c r="C79" s="519">
        <v>6</v>
      </c>
      <c r="D79" s="519">
        <v>6</v>
      </c>
      <c r="E79" s="520">
        <f>+C79-D79</f>
        <v>0</v>
      </c>
      <c r="F79" s="226"/>
      <c r="G79" s="231"/>
      <c r="H79" s="15"/>
      <c r="I79" s="258"/>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08" t="s">
        <v>343</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17"/>
      <c r="C83" s="392" t="s">
        <v>344</v>
      </c>
      <c r="D83" s="392" t="s">
        <v>345</v>
      </c>
      <c r="E83" s="392" t="s">
        <v>346</v>
      </c>
      <c r="F83" s="392" t="s">
        <v>347</v>
      </c>
      <c r="G83" s="144" t="s">
        <v>348</v>
      </c>
      <c r="H83" s="232"/>
      <c r="I83" s="260"/>
      <c r="J83" s="2"/>
      <c r="K83" s="2"/>
      <c r="L83" s="2"/>
      <c r="M83" s="2"/>
      <c r="N83" s="19"/>
      <c r="O83" s="19"/>
      <c r="P83" s="19"/>
      <c r="S83" s="19"/>
    </row>
    <row r="84" spans="1:36" ht="15.75" thickBot="1">
      <c r="A84" s="3"/>
      <c r="B84" s="119" t="s">
        <v>79</v>
      </c>
      <c r="C84" s="519">
        <v>0</v>
      </c>
      <c r="D84" s="519">
        <v>0</v>
      </c>
      <c r="E84" s="519">
        <v>0</v>
      </c>
      <c r="F84" s="519">
        <v>0</v>
      </c>
      <c r="G84" s="521">
        <v>0</v>
      </c>
      <c r="H84" s="261"/>
      <c r="I84" s="245"/>
      <c r="J84" s="2"/>
      <c r="K84" s="2"/>
      <c r="L84" s="2"/>
      <c r="M84" s="2"/>
      <c r="N84" s="19"/>
      <c r="O84" s="19"/>
      <c r="P84" s="19"/>
      <c r="S84" s="19"/>
    </row>
    <row r="85" spans="1:36">
      <c r="A85" s="3"/>
      <c r="B85" s="2"/>
      <c r="C85" s="522"/>
      <c r="D85" s="522"/>
      <c r="E85" s="522"/>
      <c r="F85" s="522"/>
      <c r="G85" s="522"/>
      <c r="H85" s="2"/>
      <c r="J85" s="2"/>
      <c r="K85" s="2"/>
      <c r="L85" s="2"/>
      <c r="M85" s="2"/>
      <c r="N85" s="19"/>
      <c r="O85" s="19"/>
      <c r="P85" s="19"/>
      <c r="S85" s="19"/>
    </row>
    <row r="86" spans="1:36" ht="18.75">
      <c r="A86" s="3"/>
      <c r="B86" s="108" t="s">
        <v>349</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17"/>
      <c r="C88" s="120" t="s">
        <v>352</v>
      </c>
      <c r="D88" s="120" t="s">
        <v>353</v>
      </c>
      <c r="E88" s="121" t="s">
        <v>354</v>
      </c>
      <c r="F88" s="2"/>
      <c r="G88" s="2"/>
      <c r="H88" s="2"/>
      <c r="I88" s="2"/>
      <c r="J88" s="19"/>
      <c r="K88" s="19"/>
      <c r="L88" s="19"/>
      <c r="N88"/>
      <c r="O88" s="19"/>
      <c r="AG88" s="35"/>
      <c r="AJ88"/>
    </row>
    <row r="89" spans="1:36">
      <c r="A89" s="3"/>
      <c r="B89" s="114" t="s">
        <v>350</v>
      </c>
      <c r="C89" s="219"/>
      <c r="D89" s="523"/>
      <c r="E89" s="524">
        <f>C89-D89</f>
        <v>0</v>
      </c>
      <c r="F89" s="2"/>
      <c r="G89" s="2"/>
      <c r="H89" s="2"/>
      <c r="I89" s="2"/>
      <c r="J89" s="19"/>
      <c r="K89" s="19"/>
      <c r="L89" s="19"/>
      <c r="N89"/>
      <c r="O89" s="19"/>
      <c r="AG89" s="35"/>
      <c r="AJ89"/>
    </row>
    <row r="90" spans="1:36" ht="15.75" thickBot="1">
      <c r="A90" s="3"/>
      <c r="B90" s="115" t="s">
        <v>351</v>
      </c>
      <c r="C90" s="220"/>
      <c r="D90" s="525"/>
      <c r="E90" s="526">
        <f>C90-D90</f>
        <v>0</v>
      </c>
      <c r="F90" s="2"/>
      <c r="G90" s="2"/>
      <c r="H90" s="2"/>
      <c r="I90" s="2"/>
      <c r="J90" s="19"/>
      <c r="K90" s="19"/>
      <c r="L90" s="19"/>
      <c r="N90"/>
      <c r="O90" s="19"/>
      <c r="AG90" s="35"/>
      <c r="AJ90"/>
    </row>
    <row r="91" spans="1:36">
      <c r="A91" s="3"/>
      <c r="B91" s="2"/>
      <c r="C91" s="2"/>
      <c r="D91" s="2"/>
      <c r="E91" s="2"/>
      <c r="F91" s="2"/>
      <c r="G91" s="2"/>
      <c r="H91" s="2"/>
      <c r="I91" s="2"/>
      <c r="J91" s="2"/>
      <c r="K91" s="2"/>
      <c r="L91" s="2"/>
      <c r="M91" s="2"/>
      <c r="N91" s="19"/>
      <c r="O91" s="19"/>
      <c r="P91" s="19"/>
      <c r="S91" s="19"/>
    </row>
    <row r="92" spans="1:36" ht="18.75">
      <c r="A92" s="3"/>
      <c r="B92" s="108" t="s">
        <v>355</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186"/>
      <c r="C94" s="309" t="s">
        <v>62</v>
      </c>
      <c r="D94" s="309" t="s">
        <v>63</v>
      </c>
      <c r="E94" s="309" t="s">
        <v>64</v>
      </c>
      <c r="F94" s="309" t="s">
        <v>65</v>
      </c>
      <c r="G94" s="309" t="s">
        <v>72</v>
      </c>
      <c r="H94" s="309" t="s">
        <v>73</v>
      </c>
      <c r="I94" s="309" t="s">
        <v>74</v>
      </c>
      <c r="J94" s="309" t="s">
        <v>75</v>
      </c>
      <c r="K94" s="309" t="s">
        <v>76</v>
      </c>
      <c r="L94" s="309" t="s">
        <v>77</v>
      </c>
      <c r="M94" s="309" t="s">
        <v>78</v>
      </c>
      <c r="N94" s="310" t="s">
        <v>232</v>
      </c>
      <c r="O94" s="20"/>
      <c r="P94" s="20"/>
      <c r="S94" s="19"/>
    </row>
    <row r="95" spans="1:36" ht="15" customHeight="1">
      <c r="A95" s="3"/>
      <c r="B95" s="311" t="s">
        <v>356</v>
      </c>
      <c r="C95" s="441">
        <v>6155291.4199999999</v>
      </c>
      <c r="D95" s="441">
        <v>1234940.51</v>
      </c>
      <c r="E95" s="296"/>
      <c r="F95" s="296"/>
      <c r="G95" s="296"/>
      <c r="H95" s="441"/>
      <c r="I95" s="441"/>
      <c r="J95" s="296"/>
      <c r="K95" s="296"/>
      <c r="L95" s="296"/>
      <c r="M95" s="296"/>
      <c r="N95" s="378"/>
      <c r="O95" s="20"/>
      <c r="P95" s="20"/>
      <c r="S95" s="19"/>
    </row>
    <row r="96" spans="1:36" ht="15" customHeight="1">
      <c r="A96" s="3"/>
      <c r="B96" s="311" t="s">
        <v>357</v>
      </c>
      <c r="C96" s="441">
        <v>5913389.6299999999</v>
      </c>
      <c r="D96" s="441">
        <f>2400+16044.69+2574+981989.51</f>
        <v>1003008.2</v>
      </c>
      <c r="E96" s="296"/>
      <c r="F96" s="296"/>
      <c r="G96" s="296"/>
      <c r="H96" s="441"/>
      <c r="I96" s="441"/>
      <c r="J96" s="296"/>
      <c r="K96" s="296"/>
      <c r="L96" s="296"/>
      <c r="M96" s="296"/>
      <c r="N96" s="378"/>
      <c r="O96" s="20"/>
      <c r="P96" s="20"/>
      <c r="S96" s="19"/>
    </row>
    <row r="97" spans="1:19" ht="15" customHeight="1">
      <c r="A97" s="3"/>
      <c r="B97" s="311" t="s">
        <v>358</v>
      </c>
      <c r="C97" s="441">
        <v>5913389.6299999999</v>
      </c>
      <c r="D97" s="441">
        <v>981989.51</v>
      </c>
      <c r="E97" s="296"/>
      <c r="F97" s="296"/>
      <c r="G97" s="296"/>
      <c r="H97" s="441"/>
      <c r="I97" s="441"/>
      <c r="J97" s="296"/>
      <c r="K97" s="296"/>
      <c r="L97" s="296"/>
      <c r="M97" s="296"/>
      <c r="N97" s="378"/>
      <c r="O97" s="20"/>
      <c r="P97" s="20"/>
      <c r="S97" s="19"/>
    </row>
    <row r="98" spans="1:19" ht="15" customHeight="1">
      <c r="A98" s="3"/>
      <c r="B98" s="263" t="s">
        <v>359</v>
      </c>
      <c r="C98" s="527">
        <v>6155290.9999999991</v>
      </c>
      <c r="D98" s="442">
        <f>+C98+D95</f>
        <v>7390231.5099999988</v>
      </c>
      <c r="E98" s="297">
        <f>+D98+E95</f>
        <v>7390231.5099999988</v>
      </c>
      <c r="F98" s="297">
        <f t="shared" ref="F98:N98" si="3">+E98+F95</f>
        <v>7390231.5099999988</v>
      </c>
      <c r="G98" s="297">
        <f t="shared" si="3"/>
        <v>7390231.5099999988</v>
      </c>
      <c r="H98" s="442">
        <f t="shared" si="3"/>
        <v>7390231.5099999988</v>
      </c>
      <c r="I98" s="442">
        <f t="shared" si="3"/>
        <v>7390231.5099999988</v>
      </c>
      <c r="J98" s="297">
        <f t="shared" si="3"/>
        <v>7390231.5099999988</v>
      </c>
      <c r="K98" s="297">
        <f t="shared" si="3"/>
        <v>7390231.5099999988</v>
      </c>
      <c r="L98" s="442">
        <f>+K98+L95</f>
        <v>7390231.5099999988</v>
      </c>
      <c r="M98" s="442">
        <f t="shared" si="3"/>
        <v>7390231.5099999988</v>
      </c>
      <c r="N98" s="497">
        <f t="shared" si="3"/>
        <v>7390231.5099999988</v>
      </c>
      <c r="O98" s="20"/>
      <c r="P98" s="20"/>
      <c r="S98" s="19"/>
    </row>
    <row r="99" spans="1:19" ht="15" customHeight="1">
      <c r="A99" s="3"/>
      <c r="B99" s="263" t="s">
        <v>360</v>
      </c>
      <c r="C99" s="527">
        <v>6226215.8600000003</v>
      </c>
      <c r="D99" s="442">
        <f t="shared" ref="D99:N99" si="4">+C99+D96</f>
        <v>7229224.0600000005</v>
      </c>
      <c r="E99" s="297">
        <f>+D99+E96</f>
        <v>7229224.0600000005</v>
      </c>
      <c r="F99" s="297">
        <f t="shared" si="4"/>
        <v>7229224.0600000005</v>
      </c>
      <c r="G99" s="297">
        <f t="shared" si="4"/>
        <v>7229224.0600000005</v>
      </c>
      <c r="H99" s="442">
        <f t="shared" si="4"/>
        <v>7229224.0600000005</v>
      </c>
      <c r="I99" s="442">
        <f>+H99+I96</f>
        <v>7229224.0600000005</v>
      </c>
      <c r="J99" s="297">
        <f t="shared" si="4"/>
        <v>7229224.0600000005</v>
      </c>
      <c r="K99" s="297">
        <f>+J99+K96</f>
        <v>7229224.0600000005</v>
      </c>
      <c r="L99" s="442">
        <f>+K99+L96</f>
        <v>7229224.0600000005</v>
      </c>
      <c r="M99" s="442">
        <f t="shared" si="4"/>
        <v>7229224.0600000005</v>
      </c>
      <c r="N99" s="497">
        <f t="shared" si="4"/>
        <v>7229224.0600000005</v>
      </c>
      <c r="O99" s="20"/>
      <c r="P99" s="20"/>
      <c r="S99" s="19"/>
    </row>
    <row r="100" spans="1:19" ht="15.75" thickBot="1">
      <c r="A100" s="3"/>
      <c r="B100" s="376" t="s">
        <v>361</v>
      </c>
      <c r="C100" s="528">
        <v>5932415.0899999999</v>
      </c>
      <c r="D100" s="443">
        <f t="shared" ref="D100:N100" si="5">+C100+D97</f>
        <v>6914404.5999999996</v>
      </c>
      <c r="E100" s="377">
        <f>+D100+E97</f>
        <v>6914404.5999999996</v>
      </c>
      <c r="F100" s="377">
        <f t="shared" si="5"/>
        <v>6914404.5999999996</v>
      </c>
      <c r="G100" s="377">
        <f t="shared" si="5"/>
        <v>6914404.5999999996</v>
      </c>
      <c r="H100" s="443">
        <f t="shared" si="5"/>
        <v>6914404.5999999996</v>
      </c>
      <c r="I100" s="443">
        <f t="shared" si="5"/>
        <v>6914404.5999999996</v>
      </c>
      <c r="J100" s="377">
        <f t="shared" si="5"/>
        <v>6914404.5999999996</v>
      </c>
      <c r="K100" s="377">
        <f t="shared" si="5"/>
        <v>6914404.5999999996</v>
      </c>
      <c r="L100" s="443">
        <f t="shared" si="5"/>
        <v>6914404.5999999996</v>
      </c>
      <c r="M100" s="443">
        <f>+L100+M97</f>
        <v>6914404.5999999996</v>
      </c>
      <c r="N100" s="498">
        <f t="shared" si="5"/>
        <v>6914404.5999999996</v>
      </c>
      <c r="O100" s="20"/>
      <c r="P100" s="20"/>
      <c r="S100" s="19"/>
    </row>
    <row r="101" spans="1:19">
      <c r="A101" s="3"/>
      <c r="B101" s="3"/>
      <c r="C101" s="2"/>
      <c r="D101" s="2"/>
      <c r="E101" s="2"/>
      <c r="F101" s="2"/>
      <c r="G101" s="2"/>
      <c r="H101" s="2"/>
      <c r="I101" s="15"/>
      <c r="J101" s="122"/>
      <c r="K101" s="123"/>
      <c r="L101" s="15"/>
      <c r="M101" s="124"/>
      <c r="N101" s="20"/>
      <c r="O101" s="20"/>
      <c r="P101" s="20"/>
      <c r="S101" s="19"/>
    </row>
    <row r="102" spans="1:19">
      <c r="A102" s="3"/>
      <c r="B102" s="2" t="s">
        <v>397</v>
      </c>
      <c r="C102" s="2"/>
      <c r="D102" s="2"/>
      <c r="E102" s="2"/>
      <c r="F102" s="2"/>
      <c r="G102" s="2"/>
      <c r="H102" s="2"/>
      <c r="I102" s="15"/>
      <c r="J102" s="122"/>
      <c r="K102" s="123"/>
      <c r="L102" s="15"/>
      <c r="M102" s="124"/>
      <c r="N102" s="20"/>
      <c r="O102" s="20"/>
      <c r="P102" s="20"/>
      <c r="S102" s="19"/>
    </row>
    <row r="103" spans="1:19">
      <c r="A103" s="3"/>
      <c r="C103" s="2"/>
      <c r="D103" s="2"/>
      <c r="E103" s="2"/>
      <c r="F103" s="2"/>
      <c r="G103" s="2"/>
      <c r="H103" s="2"/>
      <c r="I103" s="15"/>
      <c r="J103" s="122"/>
      <c r="K103" s="124"/>
      <c r="L103" s="15"/>
      <c r="M103" s="124"/>
      <c r="N103" s="499">
        <v>6155290.9999999991</v>
      </c>
      <c r="O103" s="20"/>
      <c r="P103" s="20"/>
      <c r="S103" s="19"/>
    </row>
    <row r="104" spans="1:19">
      <c r="A104" s="3"/>
      <c r="B104" s="3"/>
      <c r="C104" s="3"/>
      <c r="D104" s="3"/>
      <c r="E104" s="3"/>
      <c r="F104" s="3"/>
      <c r="G104" s="3"/>
      <c r="H104" s="3"/>
      <c r="I104" s="15"/>
      <c r="J104" s="15"/>
      <c r="K104" s="15"/>
      <c r="L104" s="15"/>
      <c r="M104" s="15"/>
      <c r="N104" s="499">
        <v>6226215.8600000003</v>
      </c>
      <c r="O104" s="20"/>
      <c r="P104" s="20"/>
    </row>
    <row r="105" spans="1:19" ht="18.75">
      <c r="A105" s="3"/>
      <c r="B105" s="108" t="s">
        <v>362</v>
      </c>
      <c r="C105" s="3"/>
      <c r="D105" s="3"/>
      <c r="E105" s="3"/>
      <c r="F105" s="3"/>
      <c r="G105" s="3"/>
      <c r="H105" s="3"/>
      <c r="I105" s="15"/>
      <c r="J105" s="15"/>
      <c r="K105" s="15"/>
      <c r="L105" s="15"/>
      <c r="M105" s="15"/>
      <c r="N105" s="499">
        <v>5932415.0899999999</v>
      </c>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264" t="s">
        <v>363</v>
      </c>
      <c r="C107" s="265" t="s">
        <v>364</v>
      </c>
      <c r="D107" s="267" t="s">
        <v>365</v>
      </c>
      <c r="E107" s="267" t="s">
        <v>366</v>
      </c>
      <c r="F107" s="266" t="s">
        <v>367</v>
      </c>
      <c r="G107" s="266" t="s">
        <v>368</v>
      </c>
      <c r="H107" s="267" t="s">
        <v>369</v>
      </c>
      <c r="I107" s="267" t="s">
        <v>393</v>
      </c>
      <c r="J107" s="267" t="s">
        <v>370</v>
      </c>
      <c r="K107" s="268" t="s">
        <v>371</v>
      </c>
      <c r="L107" s="2"/>
      <c r="M107" s="20"/>
      <c r="N107" s="20"/>
      <c r="O107" s="20"/>
      <c r="P107" s="19"/>
      <c r="R107" s="20"/>
    </row>
    <row r="108" spans="1:19">
      <c r="A108" s="3"/>
      <c r="B108" s="708" t="s">
        <v>270</v>
      </c>
      <c r="C108" s="331" t="s">
        <v>270</v>
      </c>
      <c r="D108" s="332"/>
      <c r="E108" s="333" t="str">
        <f>IF(ISBLANK(D108),"",D108*30)</f>
        <v/>
      </c>
      <c r="F108" s="298"/>
      <c r="G108" s="299" t="str">
        <f>IF(AND(E108&gt;0,F108&gt;0),(F108*E108),"")</f>
        <v/>
      </c>
      <c r="H108" s="298"/>
      <c r="I108" s="347" t="str">
        <f>IF(AND(G108&gt;0,H108&gt;0),H108/G108,"")</f>
        <v/>
      </c>
      <c r="J108" s="334"/>
      <c r="K108" s="379" t="str">
        <f>IF(AND(I108&gt;0,J108&gt;0),I108-J108,"")</f>
        <v/>
      </c>
      <c r="L108" s="2"/>
      <c r="M108" s="20"/>
      <c r="N108" s="20"/>
      <c r="O108" s="20"/>
      <c r="P108" s="19"/>
      <c r="R108" s="20"/>
    </row>
    <row r="109" spans="1:19">
      <c r="A109" s="3"/>
      <c r="B109" s="709"/>
      <c r="C109" s="331" t="s">
        <v>270</v>
      </c>
      <c r="D109" s="332"/>
      <c r="E109" s="333" t="str">
        <f>IF(ISBLANK(D109),"",D109*30)</f>
        <v/>
      </c>
      <c r="F109" s="298"/>
      <c r="G109" s="299" t="str">
        <f>IF(AND(E109&gt;0,F109&gt;0),(F109*E109),"")</f>
        <v/>
      </c>
      <c r="H109" s="298"/>
      <c r="I109" s="347" t="str">
        <f>IF(AND(G109&gt;0,H109&gt;0),H109/G109,"")</f>
        <v/>
      </c>
      <c r="J109" s="334"/>
      <c r="K109" s="379" t="str">
        <f>IF(AND(I109&gt;0,J109&gt;0),I109-J109,"")</f>
        <v/>
      </c>
      <c r="L109" s="2"/>
      <c r="M109" s="20"/>
      <c r="N109" s="20"/>
      <c r="O109" s="20"/>
      <c r="P109" s="19"/>
    </row>
    <row r="110" spans="1:19">
      <c r="A110" s="3"/>
      <c r="B110" s="709"/>
      <c r="C110" s="331" t="s">
        <v>270</v>
      </c>
      <c r="D110" s="332"/>
      <c r="E110" s="333" t="str">
        <f>IF(ISBLANK(D110),"",D110*30)</f>
        <v/>
      </c>
      <c r="F110" s="298"/>
      <c r="G110" s="299" t="str">
        <f>IF(AND(E110&gt;0,F110&gt;0),(F110*E110),"")</f>
        <v/>
      </c>
      <c r="H110" s="298"/>
      <c r="I110" s="347" t="str">
        <f>IF(AND(G110&gt;0,H110&gt;0),H110/G110,"")</f>
        <v/>
      </c>
      <c r="J110" s="334"/>
      <c r="K110" s="379" t="str">
        <f>IF(AND(I110&gt;0,J110&gt;0),I110-J110,"")</f>
        <v/>
      </c>
      <c r="L110" s="2"/>
      <c r="M110" s="20"/>
      <c r="N110" s="20"/>
      <c r="O110" s="20"/>
      <c r="P110" s="19"/>
      <c r="R110" s="20"/>
    </row>
    <row r="111" spans="1:19" ht="15.75" thickBot="1">
      <c r="A111" s="3"/>
      <c r="B111" s="710"/>
      <c r="C111" s="335" t="s">
        <v>270</v>
      </c>
      <c r="D111" s="336"/>
      <c r="E111" s="373" t="str">
        <f>IF(ISBLANK(D111),"",D111*30)</f>
        <v/>
      </c>
      <c r="F111" s="300"/>
      <c r="G111" s="374" t="str">
        <f>IF(AND(E111&gt;0,F111&gt;0),(F111*E111),"")</f>
        <v/>
      </c>
      <c r="H111" s="300"/>
      <c r="I111" s="375" t="str">
        <f>IF(AND(G111&gt;0,H111&gt;0),H111/G111,"")</f>
        <v/>
      </c>
      <c r="J111" s="337"/>
      <c r="K111" s="380" t="str">
        <f>IF(AND(I111&gt;0,J111&gt;0),I111-J111,"")</f>
        <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15.75" thickBot="1">
      <c r="A113" s="3"/>
      <c r="B113" s="3"/>
      <c r="C113" s="3"/>
      <c r="D113" s="3"/>
      <c r="E113" s="3"/>
      <c r="F113" s="3"/>
      <c r="G113" s="3"/>
      <c r="H113" s="3"/>
      <c r="I113" s="2"/>
      <c r="J113" s="107"/>
      <c r="K113" s="107"/>
      <c r="L113" s="3"/>
      <c r="M113" s="3"/>
    </row>
    <row r="114" spans="1:20" ht="19.5" thickBot="1">
      <c r="A114" s="3"/>
      <c r="B114" s="206" t="s">
        <v>372</v>
      </c>
      <c r="C114" s="125"/>
      <c r="D114" s="125"/>
      <c r="E114" s="126"/>
      <c r="F114" s="126"/>
      <c r="G114" s="126"/>
      <c r="H114" s="216"/>
      <c r="I114" s="207"/>
      <c r="J114" s="282"/>
      <c r="K114" s="283" t="s">
        <v>444</v>
      </c>
      <c r="L114" s="126"/>
      <c r="M114" s="284"/>
      <c r="N114" s="285"/>
      <c r="O114" s="285"/>
      <c r="P114" s="339"/>
      <c r="Q114" s="35"/>
    </row>
    <row r="115" spans="1:20" ht="15.75" thickBot="1">
      <c r="A115" s="3"/>
      <c r="B115" s="3"/>
      <c r="C115" s="3"/>
      <c r="D115" s="3"/>
      <c r="E115" s="3"/>
      <c r="F115" s="3"/>
      <c r="G115" s="3"/>
      <c r="H115" s="3"/>
      <c r="I115" s="3"/>
      <c r="J115" s="3"/>
      <c r="K115" s="3"/>
      <c r="L115" s="3"/>
      <c r="M115" s="3"/>
      <c r="N115"/>
      <c r="O115"/>
      <c r="P115" s="35"/>
      <c r="Q115" s="35"/>
    </row>
    <row r="116" spans="1:20" ht="29.25" customHeight="1">
      <c r="A116" s="3"/>
      <c r="B116" s="705" t="s">
        <v>378</v>
      </c>
      <c r="C116" s="706"/>
      <c r="D116" s="707"/>
      <c r="E116" s="271" t="s">
        <v>379</v>
      </c>
      <c r="F116" s="396" t="s">
        <v>380</v>
      </c>
      <c r="G116" s="210"/>
      <c r="H116" s="320" t="s">
        <v>62</v>
      </c>
      <c r="I116" s="320" t="s">
        <v>63</v>
      </c>
      <c r="J116" s="320" t="s">
        <v>281</v>
      </c>
      <c r="K116" s="320" t="s">
        <v>65</v>
      </c>
      <c r="L116" s="320" t="s">
        <v>72</v>
      </c>
      <c r="M116" s="320" t="s">
        <v>73</v>
      </c>
      <c r="N116" s="320" t="s">
        <v>74</v>
      </c>
      <c r="O116" s="320" t="s">
        <v>75</v>
      </c>
      <c r="P116" s="320" t="s">
        <v>76</v>
      </c>
      <c r="Q116" s="320" t="s">
        <v>77</v>
      </c>
      <c r="R116" s="320" t="s">
        <v>78</v>
      </c>
      <c r="S116" s="321" t="s">
        <v>232</v>
      </c>
      <c r="T116" s="63"/>
    </row>
    <row r="117" spans="1:20" ht="1.5" customHeight="1">
      <c r="A117" s="3"/>
      <c r="B117" s="353"/>
      <c r="C117" s="354"/>
      <c r="D117" s="354"/>
      <c r="E117" s="355"/>
      <c r="F117" s="356"/>
      <c r="G117" s="357"/>
      <c r="H117" s="358"/>
      <c r="I117" s="358"/>
      <c r="J117" s="358"/>
      <c r="K117" s="358"/>
      <c r="L117" s="358"/>
      <c r="M117" s="358"/>
      <c r="N117" s="358"/>
      <c r="O117" s="358"/>
      <c r="P117" s="358"/>
      <c r="Q117" s="358"/>
      <c r="R117" s="358"/>
      <c r="S117" s="359"/>
      <c r="T117" s="63"/>
    </row>
    <row r="118" spans="1:20" ht="15" customHeight="1">
      <c r="A118" s="727" t="s">
        <v>271</v>
      </c>
      <c r="B118" s="713" t="s">
        <v>439</v>
      </c>
      <c r="C118" s="714"/>
      <c r="D118" s="715"/>
      <c r="E118" s="630" t="s">
        <v>435</v>
      </c>
      <c r="F118" s="632" t="s">
        <v>377</v>
      </c>
      <c r="G118" s="390" t="s">
        <v>374</v>
      </c>
      <c r="H118" s="463">
        <v>12.7</v>
      </c>
      <c r="I118" s="941">
        <v>11.6</v>
      </c>
      <c r="J118" s="461"/>
      <c r="K118" s="461"/>
      <c r="L118" s="462"/>
      <c r="M118" s="463"/>
      <c r="N118" s="463"/>
      <c r="O118" s="463"/>
      <c r="P118" s="463"/>
      <c r="Q118" s="463"/>
      <c r="R118" s="463"/>
      <c r="S118" s="127"/>
      <c r="T118" s="63"/>
    </row>
    <row r="119" spans="1:20" ht="13.5" customHeight="1">
      <c r="A119" s="727"/>
      <c r="B119" s="716"/>
      <c r="C119" s="717"/>
      <c r="D119" s="718"/>
      <c r="E119" s="631"/>
      <c r="F119" s="633"/>
      <c r="G119" s="390" t="s">
        <v>375</v>
      </c>
      <c r="H119" s="463">
        <v>14.4</v>
      </c>
      <c r="I119" s="463">
        <v>11.14</v>
      </c>
      <c r="J119" s="461"/>
      <c r="K119" s="461"/>
      <c r="L119" s="462"/>
      <c r="M119" s="463"/>
      <c r="N119" s="463"/>
      <c r="O119" s="463"/>
      <c r="P119" s="463"/>
      <c r="Q119" s="463"/>
      <c r="R119" s="463"/>
      <c r="S119" s="127"/>
      <c r="T119" s="63"/>
    </row>
    <row r="120" spans="1:20" ht="20.25" customHeight="1">
      <c r="A120" s="727"/>
      <c r="B120" s="719" t="s">
        <v>464</v>
      </c>
      <c r="C120" s="720"/>
      <c r="D120" s="721"/>
      <c r="E120" s="636" t="s">
        <v>465</v>
      </c>
      <c r="F120" s="634" t="s">
        <v>377</v>
      </c>
      <c r="G120" s="457" t="s">
        <v>374</v>
      </c>
      <c r="H120" s="467">
        <v>55.4</v>
      </c>
      <c r="I120" s="942">
        <v>60</v>
      </c>
      <c r="J120" s="465"/>
      <c r="K120" s="466"/>
      <c r="L120" s="466"/>
      <c r="M120" s="466"/>
      <c r="N120" s="466"/>
      <c r="O120" s="466"/>
      <c r="P120" s="466"/>
      <c r="Q120" s="467"/>
      <c r="R120" s="467"/>
      <c r="S120" s="269"/>
      <c r="T120" s="63"/>
    </row>
    <row r="121" spans="1:20" ht="20.25" customHeight="1">
      <c r="A121" s="727"/>
      <c r="B121" s="722"/>
      <c r="C121" s="723"/>
      <c r="D121" s="724"/>
      <c r="E121" s="637"/>
      <c r="F121" s="635"/>
      <c r="G121" s="457" t="s">
        <v>375</v>
      </c>
      <c r="H121" s="467">
        <v>51.53</v>
      </c>
      <c r="I121" s="466">
        <v>49.3</v>
      </c>
      <c r="J121" s="464"/>
      <c r="K121" s="466"/>
      <c r="L121" s="466"/>
      <c r="M121" s="466"/>
      <c r="N121" s="466"/>
      <c r="O121" s="466"/>
      <c r="P121" s="466"/>
      <c r="Q121" s="467"/>
      <c r="R121" s="467"/>
      <c r="S121" s="269"/>
      <c r="T121" s="63"/>
    </row>
    <row r="122" spans="1:20" ht="15" customHeight="1">
      <c r="A122" s="727"/>
      <c r="B122" s="753" t="s">
        <v>437</v>
      </c>
      <c r="C122" s="754"/>
      <c r="D122" s="755"/>
      <c r="E122" s="630" t="s">
        <v>463</v>
      </c>
      <c r="F122" s="632" t="s">
        <v>377</v>
      </c>
      <c r="G122" s="390" t="s">
        <v>374</v>
      </c>
      <c r="H122" s="468">
        <v>24</v>
      </c>
      <c r="I122" s="943">
        <v>22</v>
      </c>
      <c r="J122" s="469"/>
      <c r="K122" s="470"/>
      <c r="L122" s="470"/>
      <c r="M122" s="468"/>
      <c r="N122" s="468"/>
      <c r="O122" s="468"/>
      <c r="P122" s="468"/>
      <c r="Q122" s="468"/>
      <c r="R122" s="468"/>
      <c r="S122" s="127"/>
      <c r="T122" s="63"/>
    </row>
    <row r="123" spans="1:20" ht="13.5" customHeight="1">
      <c r="A123" s="727"/>
      <c r="B123" s="756"/>
      <c r="C123" s="757"/>
      <c r="D123" s="758"/>
      <c r="E123" s="752"/>
      <c r="F123" s="633"/>
      <c r="G123" s="390" t="s">
        <v>375</v>
      </c>
      <c r="H123" s="468">
        <v>23.7</v>
      </c>
      <c r="I123" s="468">
        <v>24.8</v>
      </c>
      <c r="J123" s="469"/>
      <c r="K123" s="471"/>
      <c r="L123" s="472"/>
      <c r="M123" s="469"/>
      <c r="N123" s="469"/>
      <c r="O123" s="469"/>
      <c r="P123" s="468"/>
      <c r="Q123" s="468"/>
      <c r="R123" s="468"/>
      <c r="S123" s="127"/>
      <c r="T123" s="63"/>
    </row>
    <row r="124" spans="1:20" ht="15" customHeight="1">
      <c r="A124" s="3"/>
      <c r="B124" s="655" t="s">
        <v>467</v>
      </c>
      <c r="C124" s="656"/>
      <c r="D124" s="659"/>
      <c r="E124" s="725" t="s">
        <v>466</v>
      </c>
      <c r="F124" s="711" t="s">
        <v>377</v>
      </c>
      <c r="G124" s="391" t="s">
        <v>374</v>
      </c>
      <c r="H124" s="483">
        <v>61</v>
      </c>
      <c r="I124" s="944">
        <v>57</v>
      </c>
      <c r="J124" s="474"/>
      <c r="K124" s="482"/>
      <c r="L124" s="482"/>
      <c r="M124" s="483"/>
      <c r="N124" s="483"/>
      <c r="O124" s="483"/>
      <c r="P124" s="483"/>
      <c r="Q124" s="483"/>
      <c r="R124" s="483"/>
      <c r="S124" s="269"/>
      <c r="T124" s="63"/>
    </row>
    <row r="125" spans="1:20">
      <c r="A125" s="3"/>
      <c r="B125" s="658"/>
      <c r="C125" s="656"/>
      <c r="D125" s="659"/>
      <c r="E125" s="661"/>
      <c r="F125" s="712"/>
      <c r="G125" s="391" t="s">
        <v>375</v>
      </c>
      <c r="H125" s="483">
        <v>62.76</v>
      </c>
      <c r="I125" s="478">
        <v>61.82</v>
      </c>
      <c r="J125" s="474"/>
      <c r="K125" s="482"/>
      <c r="L125" s="482"/>
      <c r="M125" s="483"/>
      <c r="N125" s="483"/>
      <c r="O125" s="483"/>
      <c r="P125" s="483"/>
      <c r="Q125" s="483"/>
      <c r="R125" s="483"/>
      <c r="S125" s="269"/>
      <c r="T125" s="63"/>
    </row>
    <row r="126" spans="1:20" ht="15" customHeight="1">
      <c r="A126" s="3"/>
      <c r="B126" s="651" t="s">
        <v>468</v>
      </c>
      <c r="C126" s="652"/>
      <c r="D126" s="653"/>
      <c r="E126" s="660">
        <v>1.1000000000000001</v>
      </c>
      <c r="F126" s="726" t="s">
        <v>373</v>
      </c>
      <c r="G126" s="484" t="s">
        <v>374</v>
      </c>
      <c r="H126" s="450">
        <v>335</v>
      </c>
      <c r="I126" s="945">
        <v>670</v>
      </c>
      <c r="J126" s="489"/>
      <c r="K126" s="490"/>
      <c r="L126" s="490"/>
      <c r="M126" s="490"/>
      <c r="N126" s="490"/>
      <c r="O126" s="490"/>
      <c r="P126" s="490"/>
      <c r="Q126" s="450"/>
      <c r="R126" s="450"/>
      <c r="S126" s="485"/>
      <c r="T126" s="63"/>
    </row>
    <row r="127" spans="1:20">
      <c r="A127" s="3"/>
      <c r="B127" s="654"/>
      <c r="C127" s="652"/>
      <c r="D127" s="653"/>
      <c r="E127" s="660"/>
      <c r="F127" s="726"/>
      <c r="G127" s="484" t="s">
        <v>375</v>
      </c>
      <c r="H127" s="450">
        <v>437</v>
      </c>
      <c r="I127" s="490">
        <v>898</v>
      </c>
      <c r="J127" s="489"/>
      <c r="K127" s="490"/>
      <c r="L127" s="490"/>
      <c r="M127" s="490"/>
      <c r="N127" s="490"/>
      <c r="O127" s="490"/>
      <c r="P127" s="490"/>
      <c r="Q127" s="450"/>
      <c r="R127" s="450"/>
      <c r="S127" s="485"/>
      <c r="T127" s="63"/>
    </row>
    <row r="128" spans="1:20" ht="15" customHeight="1">
      <c r="A128" s="3"/>
      <c r="B128" s="655" t="s">
        <v>469</v>
      </c>
      <c r="C128" s="656"/>
      <c r="D128" s="657"/>
      <c r="E128" s="661">
        <v>1.2</v>
      </c>
      <c r="F128" s="711" t="s">
        <v>377</v>
      </c>
      <c r="G128" s="391" t="s">
        <v>374</v>
      </c>
      <c r="H128" s="483">
        <v>67.5</v>
      </c>
      <c r="I128" s="944">
        <v>67.5</v>
      </c>
      <c r="J128" s="474"/>
      <c r="K128" s="482"/>
      <c r="L128" s="482"/>
      <c r="M128" s="483"/>
      <c r="N128" s="483"/>
      <c r="O128" s="483"/>
      <c r="P128" s="483"/>
      <c r="Q128" s="483"/>
      <c r="R128" s="483"/>
      <c r="S128" s="269"/>
      <c r="T128" s="63"/>
    </row>
    <row r="129" spans="1:21">
      <c r="A129" s="3"/>
      <c r="B129" s="658"/>
      <c r="C129" s="656"/>
      <c r="D129" s="657"/>
      <c r="E129" s="661"/>
      <c r="F129" s="712"/>
      <c r="G129" s="391" t="s">
        <v>375</v>
      </c>
      <c r="H129" s="483">
        <v>64.84</v>
      </c>
      <c r="I129" s="946">
        <v>68.959999999999994</v>
      </c>
      <c r="J129" s="474"/>
      <c r="K129" s="482"/>
      <c r="L129" s="482"/>
      <c r="M129" s="483"/>
      <c r="N129" s="483"/>
      <c r="O129" s="483"/>
      <c r="P129" s="483"/>
      <c r="Q129" s="483"/>
      <c r="R129" s="483"/>
      <c r="S129" s="269"/>
      <c r="T129" s="63"/>
    </row>
    <row r="130" spans="1:21">
      <c r="A130" s="3"/>
      <c r="B130" s="728" t="s">
        <v>470</v>
      </c>
      <c r="C130" s="729"/>
      <c r="D130" s="730"/>
      <c r="E130" s="734">
        <v>1.3</v>
      </c>
      <c r="F130" s="759" t="s">
        <v>377</v>
      </c>
      <c r="G130" s="460" t="s">
        <v>374</v>
      </c>
      <c r="H130" s="476">
        <v>8.3000000000000007</v>
      </c>
      <c r="I130" s="947">
        <v>8.1</v>
      </c>
      <c r="J130" s="477"/>
      <c r="K130" s="475"/>
      <c r="L130" s="475"/>
      <c r="M130" s="476"/>
      <c r="N130" s="476"/>
      <c r="O130" s="476"/>
      <c r="P130" s="476"/>
      <c r="Q130" s="476"/>
      <c r="R130" s="476"/>
      <c r="S130" s="367"/>
      <c r="T130" s="63"/>
    </row>
    <row r="131" spans="1:21">
      <c r="A131" s="3"/>
      <c r="B131" s="731"/>
      <c r="C131" s="732"/>
      <c r="D131" s="733"/>
      <c r="E131" s="735"/>
      <c r="F131" s="760"/>
      <c r="G131" s="460" t="s">
        <v>375</v>
      </c>
      <c r="H131" s="476">
        <v>4.6900000000000004</v>
      </c>
      <c r="I131" s="948">
        <v>7.5</v>
      </c>
      <c r="J131" s="477"/>
      <c r="K131" s="475"/>
      <c r="L131" s="475"/>
      <c r="M131" s="476"/>
      <c r="N131" s="476"/>
      <c r="O131" s="476"/>
      <c r="P131" s="476"/>
      <c r="Q131" s="476"/>
      <c r="R131" s="476"/>
      <c r="S131" s="367"/>
      <c r="T131" s="63"/>
    </row>
    <row r="132" spans="1:21" ht="14.25" customHeight="1">
      <c r="A132" s="3"/>
      <c r="B132" s="655" t="s">
        <v>473</v>
      </c>
      <c r="C132" s="656"/>
      <c r="D132" s="659"/>
      <c r="E132" s="661">
        <v>2.1</v>
      </c>
      <c r="F132" s="750" t="s">
        <v>373</v>
      </c>
      <c r="G132" s="391" t="s">
        <v>374</v>
      </c>
      <c r="H132" s="478">
        <v>95</v>
      </c>
      <c r="I132" s="944">
        <v>95</v>
      </c>
      <c r="J132" s="473"/>
      <c r="K132" s="478"/>
      <c r="L132" s="478"/>
      <c r="M132" s="478"/>
      <c r="N132" s="478"/>
      <c r="O132" s="478"/>
      <c r="P132" s="478"/>
      <c r="Q132" s="478"/>
      <c r="R132" s="478"/>
      <c r="S132" s="368"/>
      <c r="T132" s="63"/>
    </row>
    <row r="133" spans="1:21">
      <c r="A133" s="3"/>
      <c r="B133" s="658"/>
      <c r="C133" s="656"/>
      <c r="D133" s="659"/>
      <c r="E133" s="661"/>
      <c r="F133" s="750"/>
      <c r="G133" s="391" t="s">
        <v>375</v>
      </c>
      <c r="H133" s="478">
        <v>99.7</v>
      </c>
      <c r="I133" s="478">
        <v>98.7</v>
      </c>
      <c r="J133" s="473"/>
      <c r="K133" s="478"/>
      <c r="L133" s="478"/>
      <c r="M133" s="478"/>
      <c r="N133" s="478"/>
      <c r="O133" s="478"/>
      <c r="P133" s="478"/>
      <c r="Q133" s="478"/>
      <c r="R133" s="478"/>
      <c r="S133" s="368"/>
      <c r="T133" s="63"/>
    </row>
    <row r="134" spans="1:21" ht="14.25" customHeight="1">
      <c r="A134" s="3"/>
      <c r="B134" s="654"/>
      <c r="C134" s="662"/>
      <c r="D134" s="663"/>
      <c r="E134" s="670"/>
      <c r="F134" s="726"/>
      <c r="G134" s="365" t="s">
        <v>52</v>
      </c>
      <c r="H134" s="366"/>
      <c r="I134" s="366"/>
      <c r="J134" s="387"/>
      <c r="K134" s="366"/>
      <c r="L134" s="366"/>
      <c r="M134" s="366"/>
      <c r="N134" s="366"/>
      <c r="O134" s="366"/>
      <c r="P134" s="366"/>
      <c r="Q134" s="366"/>
      <c r="R134" s="366"/>
      <c r="S134" s="367"/>
      <c r="T134" s="63"/>
    </row>
    <row r="135" spans="1:21" ht="17.25" customHeight="1">
      <c r="A135" s="3"/>
      <c r="B135" s="651"/>
      <c r="C135" s="662"/>
      <c r="D135" s="663"/>
      <c r="E135" s="670"/>
      <c r="F135" s="726"/>
      <c r="G135" s="365" t="s">
        <v>53</v>
      </c>
      <c r="H135" s="366"/>
      <c r="I135" s="366"/>
      <c r="J135" s="387"/>
      <c r="K135" s="366"/>
      <c r="L135" s="366"/>
      <c r="M135" s="366"/>
      <c r="N135" s="366"/>
      <c r="O135" s="366"/>
      <c r="P135" s="366"/>
      <c r="Q135" s="366"/>
      <c r="R135" s="366"/>
      <c r="S135" s="367"/>
      <c r="T135" s="63"/>
    </row>
    <row r="136" spans="1:21" ht="15" customHeight="1">
      <c r="A136" s="3"/>
      <c r="B136" s="658"/>
      <c r="C136" s="671"/>
      <c r="D136" s="672"/>
      <c r="E136" s="676"/>
      <c r="F136" s="750"/>
      <c r="G136" s="364" t="s">
        <v>52</v>
      </c>
      <c r="H136" s="270"/>
      <c r="I136" s="270"/>
      <c r="J136" s="385"/>
      <c r="K136" s="270"/>
      <c r="L136" s="270"/>
      <c r="M136" s="270"/>
      <c r="N136" s="270"/>
      <c r="O136" s="270"/>
      <c r="P136" s="270"/>
      <c r="Q136" s="270"/>
      <c r="R136" s="270"/>
      <c r="S136" s="368"/>
      <c r="T136" s="63"/>
    </row>
    <row r="137" spans="1:21" ht="18.75" customHeight="1" thickBot="1">
      <c r="A137" s="3"/>
      <c r="B137" s="673"/>
      <c r="C137" s="674"/>
      <c r="D137" s="675"/>
      <c r="E137" s="677"/>
      <c r="F137" s="751"/>
      <c r="G137" s="369" t="s">
        <v>53</v>
      </c>
      <c r="H137" s="370"/>
      <c r="I137" s="370"/>
      <c r="J137" s="386"/>
      <c r="K137" s="370"/>
      <c r="L137" s="370"/>
      <c r="M137" s="370"/>
      <c r="N137" s="370"/>
      <c r="O137" s="370"/>
      <c r="P137" s="370"/>
      <c r="Q137" s="370"/>
      <c r="R137" s="370"/>
      <c r="S137" s="371"/>
      <c r="T137" s="63"/>
    </row>
    <row r="138" spans="1:21">
      <c r="A138" s="3"/>
      <c r="B138" s="3"/>
      <c r="C138" s="3"/>
      <c r="D138" s="3"/>
      <c r="E138" s="3"/>
      <c r="F138" s="3"/>
      <c r="G138" s="2"/>
      <c r="H138" s="3"/>
      <c r="I138" s="3"/>
      <c r="J138" s="3"/>
      <c r="K138" s="3"/>
      <c r="L138" s="3"/>
      <c r="M138" s="3"/>
      <c r="N138" s="3"/>
      <c r="O138" s="3"/>
      <c r="R138" s="35"/>
      <c r="S138" s="35"/>
    </row>
    <row r="139" spans="1:21">
      <c r="A139" s="3"/>
      <c r="B139" s="3"/>
      <c r="C139" s="3"/>
      <c r="D139" s="3"/>
      <c r="E139" s="3"/>
      <c r="F139" s="3"/>
      <c r="G139" s="2"/>
      <c r="H139" s="3"/>
      <c r="I139" s="3"/>
      <c r="J139" s="3"/>
      <c r="K139" s="3"/>
      <c r="L139" s="3"/>
      <c r="M139" s="3"/>
      <c r="N139" s="3"/>
      <c r="O139" s="3"/>
      <c r="R139" s="35"/>
      <c r="S139" s="35"/>
    </row>
    <row r="140" spans="1:21">
      <c r="A140" s="3"/>
      <c r="B140" s="3"/>
      <c r="C140" s="3"/>
      <c r="D140" s="3"/>
      <c r="E140" s="3"/>
      <c r="F140" s="3"/>
      <c r="G140" s="2"/>
      <c r="H140" s="3"/>
      <c r="I140" s="3"/>
      <c r="J140" s="3"/>
      <c r="K140" s="3"/>
      <c r="L140" s="3"/>
      <c r="M140" s="3"/>
      <c r="N140" s="3"/>
      <c r="O140" s="3"/>
      <c r="R140" s="35"/>
      <c r="S140" s="35"/>
    </row>
    <row r="141" spans="1:21" ht="16.5" thickBot="1">
      <c r="A141" s="3"/>
      <c r="B141" s="272"/>
      <c r="C141" s="3"/>
      <c r="D141" s="3"/>
      <c r="E141" s="3"/>
      <c r="F141" s="3"/>
      <c r="G141" s="2"/>
      <c r="H141" s="3"/>
      <c r="I141" s="3"/>
      <c r="J141" s="3"/>
      <c r="K141" s="3"/>
      <c r="L141" s="3"/>
      <c r="M141" s="3"/>
      <c r="N141" s="3"/>
      <c r="O141" s="3"/>
      <c r="R141" s="35"/>
      <c r="S141" s="35"/>
    </row>
    <row r="142" spans="1:21" ht="26.25" thickBot="1">
      <c r="A142" s="3"/>
      <c r="B142" s="3" t="s">
        <v>434</v>
      </c>
      <c r="C142" s="3"/>
      <c r="D142" s="3"/>
      <c r="E142" s="271" t="s">
        <v>379</v>
      </c>
      <c r="F142" s="396" t="s">
        <v>380</v>
      </c>
      <c r="G142" s="210"/>
      <c r="H142" s="320" t="str">
        <f t="shared" ref="H142:S142" si="6">C30</f>
        <v>P1</v>
      </c>
      <c r="I142" s="320" t="str">
        <f t="shared" si="6"/>
        <v>P2</v>
      </c>
      <c r="J142" s="320" t="str">
        <f t="shared" si="6"/>
        <v>P3</v>
      </c>
      <c r="K142" s="320" t="str">
        <f t="shared" si="6"/>
        <v>P4</v>
      </c>
      <c r="L142" s="320" t="str">
        <f t="shared" si="6"/>
        <v>P5</v>
      </c>
      <c r="M142" s="320" t="str">
        <f t="shared" si="6"/>
        <v>P6</v>
      </c>
      <c r="N142" s="320" t="str">
        <f t="shared" si="6"/>
        <v>P7</v>
      </c>
      <c r="O142" s="320" t="str">
        <f t="shared" si="6"/>
        <v>P8</v>
      </c>
      <c r="P142" s="320" t="str">
        <f t="shared" si="6"/>
        <v>P9</v>
      </c>
      <c r="Q142" s="320" t="str">
        <f t="shared" si="6"/>
        <v>P10</v>
      </c>
      <c r="R142" s="320" t="str">
        <f t="shared" si="6"/>
        <v>P11</v>
      </c>
      <c r="S142" s="321" t="str">
        <f t="shared" si="6"/>
        <v>P12</v>
      </c>
      <c r="T142" s="35"/>
      <c r="U142" s="35"/>
    </row>
    <row r="143" spans="1:21" ht="18.75" customHeight="1">
      <c r="A143" s="3"/>
      <c r="B143" s="664" t="str">
        <f>IF(ISBLANK(B118),"",(B118))</f>
        <v>Rata mortalităţii  - Numărul de decese cauzate de TB (toate formele) pe an, la 100,000 persoane</v>
      </c>
      <c r="C143" s="665"/>
      <c r="D143" s="666"/>
      <c r="E143" s="679" t="str">
        <f>IF(ISBLANK(E118),"",(E118))</f>
        <v>Impact 1</v>
      </c>
      <c r="F143" s="681" t="str">
        <f>IF(ISBLANK(F118),"",(F118))</f>
        <v>Nu</v>
      </c>
      <c r="G143" s="390" t="s">
        <v>374</v>
      </c>
      <c r="H143" s="479">
        <f t="shared" ref="H143:S143" si="7">H118</f>
        <v>12.7</v>
      </c>
      <c r="I143" s="479">
        <f t="shared" si="7"/>
        <v>11.6</v>
      </c>
      <c r="J143" s="479">
        <f t="shared" si="7"/>
        <v>0</v>
      </c>
      <c r="K143" s="479">
        <f>K118</f>
        <v>0</v>
      </c>
      <c r="L143" s="479">
        <f t="shared" si="7"/>
        <v>0</v>
      </c>
      <c r="M143" s="479">
        <f t="shared" si="7"/>
        <v>0</v>
      </c>
      <c r="N143" s="479">
        <f t="shared" si="7"/>
        <v>0</v>
      </c>
      <c r="O143" s="479">
        <f t="shared" si="7"/>
        <v>0</v>
      </c>
      <c r="P143" s="479">
        <f t="shared" si="7"/>
        <v>0</v>
      </c>
      <c r="Q143" s="479">
        <f t="shared" si="7"/>
        <v>0</v>
      </c>
      <c r="R143" s="479">
        <f t="shared" si="7"/>
        <v>0</v>
      </c>
      <c r="S143" s="381">
        <f t="shared" si="7"/>
        <v>0</v>
      </c>
      <c r="T143" s="35"/>
      <c r="U143" s="35"/>
    </row>
    <row r="144" spans="1:21" ht="17.25" customHeight="1">
      <c r="A144" s="3"/>
      <c r="B144" s="667"/>
      <c r="C144" s="668"/>
      <c r="D144" s="669"/>
      <c r="E144" s="679"/>
      <c r="F144" s="681"/>
      <c r="G144" s="390" t="s">
        <v>375</v>
      </c>
      <c r="H144" s="479">
        <f>H119</f>
        <v>14.4</v>
      </c>
      <c r="I144" s="479">
        <f>I119</f>
        <v>11.14</v>
      </c>
      <c r="J144" s="479">
        <f>J119</f>
        <v>0</v>
      </c>
      <c r="K144" s="479">
        <f>K119</f>
        <v>0</v>
      </c>
      <c r="L144" s="479">
        <f t="shared" ref="L144:S144" si="8">L119</f>
        <v>0</v>
      </c>
      <c r="M144" s="479">
        <f t="shared" si="8"/>
        <v>0</v>
      </c>
      <c r="N144" s="479">
        <f t="shared" si="8"/>
        <v>0</v>
      </c>
      <c r="O144" s="479">
        <f t="shared" si="8"/>
        <v>0</v>
      </c>
      <c r="P144" s="479">
        <f t="shared" si="8"/>
        <v>0</v>
      </c>
      <c r="Q144" s="479">
        <f t="shared" si="8"/>
        <v>0</v>
      </c>
      <c r="R144" s="479">
        <f t="shared" si="8"/>
        <v>0</v>
      </c>
      <c r="S144" s="381">
        <f t="shared" si="8"/>
        <v>0</v>
      </c>
      <c r="T144" s="35"/>
      <c r="U144" s="35"/>
    </row>
    <row r="145" spans="1:21" ht="15.75" customHeight="1">
      <c r="A145" s="3"/>
      <c r="B145" s="648" t="str">
        <f>IF(ISBLANK(B120),"",(B120))</f>
        <v xml:space="preserve">Numărul și procentul pacienţilor cu tuberculoză multirezistentă (confirmată în baza testului de laborator) tratați cu succes (care au urmat și terminat tratamentul), incluşi în tratamentul DOTS-Plus     </v>
      </c>
      <c r="C145" s="649"/>
      <c r="D145" s="650"/>
      <c r="E145" s="647" t="str">
        <f>IF(ISBLANK(E120),"",(E120))</f>
        <v>Rezultat 1</v>
      </c>
      <c r="F145" s="678" t="str">
        <f>IF(ISBLANK(F120),"",(F120))</f>
        <v>Nu</v>
      </c>
      <c r="G145" s="391" t="s">
        <v>374</v>
      </c>
      <c r="H145" s="480">
        <f>H120</f>
        <v>55.4</v>
      </c>
      <c r="I145" s="480">
        <f t="shared" ref="I145:P145" si="9">I120</f>
        <v>60</v>
      </c>
      <c r="J145" s="480">
        <f t="shared" si="9"/>
        <v>0</v>
      </c>
      <c r="K145" s="480">
        <f t="shared" si="9"/>
        <v>0</v>
      </c>
      <c r="L145" s="480">
        <f t="shared" si="9"/>
        <v>0</v>
      </c>
      <c r="M145" s="480">
        <f t="shared" si="9"/>
        <v>0</v>
      </c>
      <c r="N145" s="480">
        <f t="shared" si="9"/>
        <v>0</v>
      </c>
      <c r="O145" s="480">
        <f t="shared" si="9"/>
        <v>0</v>
      </c>
      <c r="P145" s="480">
        <f t="shared" si="9"/>
        <v>0</v>
      </c>
      <c r="Q145" s="480">
        <f t="shared" ref="Q145:S146" si="10">Q120</f>
        <v>0</v>
      </c>
      <c r="R145" s="480">
        <f t="shared" si="10"/>
        <v>0</v>
      </c>
      <c r="S145" s="382">
        <f t="shared" si="10"/>
        <v>0</v>
      </c>
      <c r="T145" s="35"/>
      <c r="U145" s="35"/>
    </row>
    <row r="146" spans="1:21" ht="15.75" customHeight="1">
      <c r="A146" s="3"/>
      <c r="B146" s="648"/>
      <c r="C146" s="649"/>
      <c r="D146" s="650"/>
      <c r="E146" s="647"/>
      <c r="F146" s="678"/>
      <c r="G146" s="391" t="s">
        <v>375</v>
      </c>
      <c r="H146" s="480">
        <f>H121</f>
        <v>51.53</v>
      </c>
      <c r="I146" s="480">
        <f t="shared" ref="I146:P146" si="11">I121</f>
        <v>49.3</v>
      </c>
      <c r="J146" s="480">
        <f t="shared" si="11"/>
        <v>0</v>
      </c>
      <c r="K146" s="480">
        <f t="shared" si="11"/>
        <v>0</v>
      </c>
      <c r="L146" s="480">
        <f t="shared" si="11"/>
        <v>0</v>
      </c>
      <c r="M146" s="480">
        <f t="shared" si="11"/>
        <v>0</v>
      </c>
      <c r="N146" s="480">
        <f t="shared" si="11"/>
        <v>0</v>
      </c>
      <c r="O146" s="480">
        <f t="shared" si="11"/>
        <v>0</v>
      </c>
      <c r="P146" s="480">
        <f t="shared" si="11"/>
        <v>0</v>
      </c>
      <c r="Q146" s="480">
        <f t="shared" si="10"/>
        <v>0</v>
      </c>
      <c r="R146" s="480">
        <f t="shared" si="10"/>
        <v>0</v>
      </c>
      <c r="S146" s="382">
        <f t="shared" si="10"/>
        <v>0</v>
      </c>
      <c r="T146" s="35"/>
      <c r="U146" s="35"/>
    </row>
    <row r="147" spans="1:21" ht="21" customHeight="1">
      <c r="A147" s="3"/>
      <c r="B147" s="641" t="str">
        <f>IF(ISBLANK(B122),"",(B122))</f>
        <v>Prevalența TB MDR printre cazurile noi TB, %</v>
      </c>
      <c r="C147" s="642"/>
      <c r="D147" s="643"/>
      <c r="E147" s="679" t="str">
        <f>IF(ISBLANK(E122),"",(E122))</f>
        <v>Rezultat 2</v>
      </c>
      <c r="F147" s="681" t="str">
        <f>IF(ISBLANK(F122),"",(F122))</f>
        <v>Nu</v>
      </c>
      <c r="G147" s="390" t="s">
        <v>374</v>
      </c>
      <c r="H147" s="479">
        <f t="shared" ref="H147:K148" si="12">H122</f>
        <v>24</v>
      </c>
      <c r="I147" s="479">
        <f t="shared" si="12"/>
        <v>22</v>
      </c>
      <c r="J147" s="479">
        <f t="shared" si="12"/>
        <v>0</v>
      </c>
      <c r="K147" s="479">
        <f t="shared" si="12"/>
        <v>0</v>
      </c>
      <c r="L147" s="479">
        <f t="shared" ref="L147:S147" si="13">L122</f>
        <v>0</v>
      </c>
      <c r="M147" s="479">
        <f t="shared" si="13"/>
        <v>0</v>
      </c>
      <c r="N147" s="479">
        <f t="shared" si="13"/>
        <v>0</v>
      </c>
      <c r="O147" s="479">
        <f t="shared" si="13"/>
        <v>0</v>
      </c>
      <c r="P147" s="479">
        <f t="shared" si="13"/>
        <v>0</v>
      </c>
      <c r="Q147" s="479">
        <f t="shared" si="13"/>
        <v>0</v>
      </c>
      <c r="R147" s="479">
        <f t="shared" si="13"/>
        <v>0</v>
      </c>
      <c r="S147" s="381">
        <f t="shared" si="13"/>
        <v>0</v>
      </c>
      <c r="T147" s="35"/>
      <c r="U147" s="35"/>
    </row>
    <row r="148" spans="1:21" ht="23.25" customHeight="1" thickBot="1">
      <c r="A148" s="3"/>
      <c r="B148" s="644"/>
      <c r="C148" s="645"/>
      <c r="D148" s="646"/>
      <c r="E148" s="680"/>
      <c r="F148" s="682"/>
      <c r="G148" s="397" t="s">
        <v>375</v>
      </c>
      <c r="H148" s="481">
        <f t="shared" si="12"/>
        <v>23.7</v>
      </c>
      <c r="I148" s="481">
        <f t="shared" si="12"/>
        <v>24.8</v>
      </c>
      <c r="J148" s="481">
        <f t="shared" si="12"/>
        <v>0</v>
      </c>
      <c r="K148" s="481">
        <f t="shared" si="12"/>
        <v>0</v>
      </c>
      <c r="L148" s="481">
        <f t="shared" ref="L148:S148" si="14">L123</f>
        <v>0</v>
      </c>
      <c r="M148" s="481">
        <f t="shared" si="14"/>
        <v>0</v>
      </c>
      <c r="N148" s="481">
        <f t="shared" si="14"/>
        <v>0</v>
      </c>
      <c r="O148" s="481">
        <f t="shared" si="14"/>
        <v>0</v>
      </c>
      <c r="P148" s="481">
        <f t="shared" si="14"/>
        <v>0</v>
      </c>
      <c r="Q148" s="481">
        <f t="shared" si="14"/>
        <v>0</v>
      </c>
      <c r="R148" s="481">
        <f t="shared" si="14"/>
        <v>0</v>
      </c>
      <c r="S148" s="383">
        <f t="shared" si="14"/>
        <v>0</v>
      </c>
      <c r="T148" s="35"/>
      <c r="U148" s="35"/>
    </row>
    <row r="149" spans="1:21">
      <c r="A149" s="3"/>
      <c r="B149" s="3"/>
      <c r="C149" s="3"/>
      <c r="D149" s="3"/>
      <c r="E149" s="3"/>
      <c r="F149" s="3"/>
      <c r="G149" s="3"/>
      <c r="H149" s="3"/>
      <c r="I149" s="3"/>
      <c r="J149" s="3"/>
      <c r="K149" s="3"/>
      <c r="L149" s="3"/>
      <c r="M149" s="3"/>
      <c r="N149"/>
      <c r="O149"/>
      <c r="P149" s="35"/>
      <c r="Q149" s="35"/>
      <c r="S149" s="372"/>
    </row>
    <row r="150" spans="1:21">
      <c r="N150"/>
      <c r="O150"/>
      <c r="P150" s="35"/>
      <c r="Q150" s="35"/>
    </row>
    <row r="151" spans="1:21">
      <c r="N151"/>
      <c r="O151"/>
      <c r="P151" s="35"/>
      <c r="Q151" s="35"/>
    </row>
    <row r="152" spans="1:21">
      <c r="N152"/>
      <c r="O152"/>
      <c r="P152" s="35"/>
      <c r="Q152" s="35"/>
    </row>
  </sheetData>
  <dataConsolidate/>
  <mergeCells count="73">
    <mergeCell ref="F136:F137"/>
    <mergeCell ref="B124:D125"/>
    <mergeCell ref="E132:E133"/>
    <mergeCell ref="E122:E123"/>
    <mergeCell ref="B122:D123"/>
    <mergeCell ref="F134:F135"/>
    <mergeCell ref="F132:F133"/>
    <mergeCell ref="F130:F131"/>
    <mergeCell ref="A118:A123"/>
    <mergeCell ref="B130:D131"/>
    <mergeCell ref="E130:E131"/>
    <mergeCell ref="B2:J2"/>
    <mergeCell ref="C4:D4"/>
    <mergeCell ref="E4:F4"/>
    <mergeCell ref="G4:J4"/>
    <mergeCell ref="H16:I16"/>
    <mergeCell ref="C10:D10"/>
    <mergeCell ref="E12:F12"/>
    <mergeCell ref="I8:J8"/>
    <mergeCell ref="I6:J6"/>
    <mergeCell ref="G12:J12"/>
    <mergeCell ref="G10:J10"/>
    <mergeCell ref="B18:C18"/>
    <mergeCell ref="B72:C72"/>
    <mergeCell ref="B116:D116"/>
    <mergeCell ref="B108:B111"/>
    <mergeCell ref="F128:F129"/>
    <mergeCell ref="B118:D119"/>
    <mergeCell ref="F122:F123"/>
    <mergeCell ref="B120:D121"/>
    <mergeCell ref="E124:E125"/>
    <mergeCell ref="F124:F125"/>
    <mergeCell ref="F126:F127"/>
    <mergeCell ref="B73:C73"/>
    <mergeCell ref="C6:D6"/>
    <mergeCell ref="E6:F6"/>
    <mergeCell ref="B71:C71"/>
    <mergeCell ref="B26:C26"/>
    <mergeCell ref="D24:E24"/>
    <mergeCell ref="B29:N29"/>
    <mergeCell ref="B60:D60"/>
    <mergeCell ref="G24:H24"/>
    <mergeCell ref="I24:J24"/>
    <mergeCell ref="C8:D8"/>
    <mergeCell ref="B14:J14"/>
    <mergeCell ref="C12:D12"/>
    <mergeCell ref="D18:F18"/>
    <mergeCell ref="B21:J21"/>
    <mergeCell ref="E10:F10"/>
    <mergeCell ref="F145:F146"/>
    <mergeCell ref="E147:E148"/>
    <mergeCell ref="F147:F148"/>
    <mergeCell ref="E143:E144"/>
    <mergeCell ref="F143:F144"/>
    <mergeCell ref="B147:D148"/>
    <mergeCell ref="E145:E146"/>
    <mergeCell ref="B145:D146"/>
    <mergeCell ref="B126:D127"/>
    <mergeCell ref="B128:D129"/>
    <mergeCell ref="B132:D133"/>
    <mergeCell ref="E126:E127"/>
    <mergeCell ref="E128:E129"/>
    <mergeCell ref="B134:D135"/>
    <mergeCell ref="B143:D144"/>
    <mergeCell ref="E134:E135"/>
    <mergeCell ref="B136:D137"/>
    <mergeCell ref="E136:E137"/>
    <mergeCell ref="O31:O34"/>
    <mergeCell ref="E118:E119"/>
    <mergeCell ref="F118:F119"/>
    <mergeCell ref="F120:F121"/>
    <mergeCell ref="E120:E121"/>
    <mergeCell ref="F47:I47"/>
  </mergeCells>
  <phoneticPr fontId="23" type="noConversion"/>
  <conditionalFormatting sqref="B34 B32 E33:N33 E32:H32">
    <cfRule type="expression" dxfId="44" priority="5" stopIfTrue="1">
      <formula>+AND(B31&gt;=#REF!,B31&lt;=#REF!)</formula>
    </cfRule>
  </conditionalFormatting>
  <conditionalFormatting sqref="E34:N34">
    <cfRule type="expression" dxfId="43" priority="6" stopIfTrue="1">
      <formula>+AND(E32&gt;=#REF!,E32&lt;=#REF!)</formula>
    </cfRule>
  </conditionalFormatting>
  <conditionalFormatting sqref="C30:N30 C94:N94">
    <cfRule type="cellIs" dxfId="42" priority="9" stopIfTrue="1" operator="equal">
      <formula>$C$16</formula>
    </cfRule>
  </conditionalFormatting>
  <conditionalFormatting sqref="C12:D12">
    <cfRule type="cellIs" dxfId="41" priority="11" stopIfTrue="1" operator="equal">
      <formula>"C"</formula>
    </cfRule>
    <cfRule type="cellIs" dxfId="40" priority="12" stopIfTrue="1" operator="equal">
      <formula>"B2"</formula>
    </cfRule>
    <cfRule type="cellIs" dxfId="39" priority="13" stopIfTrue="1" operator="equal">
      <formula>"B1"</formula>
    </cfRule>
  </conditionalFormatting>
  <conditionalFormatting sqref="H142:S142 H116:S117">
    <cfRule type="cellIs" dxfId="38" priority="20" stopIfTrue="1" operator="equal">
      <formula>$C$16</formula>
    </cfRule>
  </conditionalFormatting>
  <conditionalFormatting sqref="F47:I47">
    <cfRule type="expression" dxfId="37" priority="21" stopIfTrue="1">
      <formula>LEFT($F$47,2)="OK"</formula>
    </cfRule>
  </conditionalFormatting>
  <conditionalFormatting sqref="C33">
    <cfRule type="expression" dxfId="36" priority="4" stopIfTrue="1">
      <formula>+AND(C31&gt;=#REF!,C31&lt;=#REF!)</formula>
    </cfRule>
  </conditionalFormatting>
  <conditionalFormatting sqref="C34">
    <cfRule type="expression" dxfId="35" priority="3" stopIfTrue="1">
      <formula>+AND(C32&gt;=#REF!,C32&lt;=#REF!)</formula>
    </cfRule>
  </conditionalFormatting>
  <conditionalFormatting sqref="D33">
    <cfRule type="expression" dxfId="34" priority="2" stopIfTrue="1">
      <formula>+AND(D31&gt;=#REF!,D31&lt;=#REF!)</formula>
    </cfRule>
  </conditionalFormatting>
  <conditionalFormatting sqref="D34">
    <cfRule type="expression" dxfId="33" priority="1" stopIfTrue="1">
      <formula>+AND(D32&gt;=#REF!,D32&lt;=#REF!)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scale="39" orientation="landscape" r:id="rId1"/>
  <headerFooter>
    <oddFooter>&amp;L&amp;F&amp;C&amp;A&amp;RV1.0          &amp;D</oddFooter>
  </headerFooter>
  <rowBreaks count="2" manualBreakCount="2">
    <brk id="48" max="16383" man="1"/>
    <brk id="113" max="16383" man="1"/>
  </rowBreaks>
  <ignoredErrors>
    <ignoredError sqref="H142:S142 E143"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tabSelected="1" topLeftCell="A7" zoomScale="110" zoomScaleNormal="110" zoomScaleSheetLayoutView="100" workbookViewId="0">
      <selection activeCell="G22" sqref="G22"/>
    </sheetView>
  </sheetViews>
  <sheetFormatPr defaultColWidth="11.42578125" defaultRowHeight="15"/>
  <cols>
    <col min="1" max="1" width="21.140625" style="3" customWidth="1"/>
    <col min="2" max="2" width="12.5703125" style="3" customWidth="1"/>
    <col min="3" max="3" width="20.5703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29"/>
      <c r="H1" s="2"/>
      <c r="I1" s="2"/>
      <c r="J1" s="2"/>
    </row>
    <row r="2" spans="1:24" ht="25.5" customHeight="1"/>
    <row r="3" spans="1:24" ht="36">
      <c r="B3" s="767" t="str">
        <f>+"Tabel Programatic de Evaluare: "&amp;" "&amp;+IF('Introducerea datelor'!C4="Please Select","",'Introducerea datelor'!C4&amp;" - ")&amp;+IF('Introducerea datelor'!G6="Please Select","",'Introducerea datelor'!G6)</f>
        <v>Tabel Programatic de Evaluare:  Moldova - TB</v>
      </c>
      <c r="C3" s="767"/>
      <c r="D3" s="767"/>
      <c r="E3" s="767"/>
      <c r="F3" s="767"/>
      <c r="G3" s="767"/>
      <c r="H3" s="767"/>
      <c r="I3" s="767"/>
      <c r="J3" s="767"/>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25" t="s">
        <v>284</v>
      </c>
      <c r="B6" s="768" t="str">
        <f>+IF('Introducerea datelor'!C4="Please Select","",'Introducerea datelor'!C4)</f>
        <v>Moldova</v>
      </c>
      <c r="C6" s="768"/>
      <c r="D6" s="771" t="s">
        <v>288</v>
      </c>
      <c r="E6" s="771"/>
      <c r="F6" s="772" t="str">
        <f>+'Introducerea datelor'!G4</f>
        <v>Consolidarea controlului Tuberculozei în Republica Moldova</v>
      </c>
      <c r="G6" s="772"/>
      <c r="H6" s="772"/>
      <c r="I6" s="772"/>
      <c r="J6" s="772"/>
      <c r="K6" s="49"/>
      <c r="L6" s="81"/>
      <c r="M6" s="49"/>
      <c r="N6" s="49"/>
      <c r="O6" s="49"/>
      <c r="P6" s="50"/>
      <c r="Q6" s="17"/>
      <c r="R6" s="17"/>
      <c r="S6" s="17"/>
      <c r="T6" s="17"/>
      <c r="U6" s="17"/>
    </row>
    <row r="7" spans="1:24" ht="8.25" customHeight="1">
      <c r="B7" s="6"/>
      <c r="C7" s="7"/>
      <c r="D7" s="7"/>
      <c r="E7" s="8"/>
      <c r="F7" s="8"/>
      <c r="G7" s="9"/>
      <c r="H7" s="9"/>
      <c r="K7" s="49"/>
      <c r="L7" s="49"/>
      <c r="M7" s="49"/>
      <c r="N7" s="49"/>
      <c r="O7" s="49"/>
      <c r="P7" s="50"/>
      <c r="Q7" s="17"/>
      <c r="R7" s="17"/>
      <c r="S7" s="17"/>
      <c r="T7" s="17"/>
      <c r="U7" s="17"/>
    </row>
    <row r="8" spans="1:24" ht="3.75" customHeight="1">
      <c r="C8" s="10"/>
      <c r="D8" s="10"/>
      <c r="E8" s="10"/>
      <c r="F8" s="10"/>
      <c r="G8" s="10"/>
      <c r="H8" s="10"/>
      <c r="I8" s="10"/>
      <c r="J8" s="10"/>
      <c r="K8" s="49"/>
      <c r="L8" s="49"/>
      <c r="M8" s="49"/>
      <c r="N8" s="49"/>
      <c r="O8" s="51"/>
      <c r="P8" s="50"/>
      <c r="Q8" s="51"/>
      <c r="R8" s="52"/>
      <c r="S8" s="17"/>
      <c r="T8" s="17"/>
      <c r="U8" s="17"/>
    </row>
    <row r="9" spans="1:24" ht="25.5" customHeight="1">
      <c r="A9" s="312" t="s">
        <v>289</v>
      </c>
      <c r="B9" s="287" t="str">
        <f>+IF('Introducerea datelor'!G6="Please Select","",'Introducerea datelor'!G6)</f>
        <v>TB</v>
      </c>
      <c r="C9" s="191" t="s">
        <v>248</v>
      </c>
      <c r="D9" s="288" t="str">
        <f>+'Introducerea datelor'!C6</f>
        <v xml:space="preserve">MOL-T-PCIMU </v>
      </c>
      <c r="E9" s="770" t="s">
        <v>382</v>
      </c>
      <c r="F9" s="770"/>
      <c r="G9" s="413">
        <f>+IF(ISBLANK('Introducerea datelor'!C10),"",'Introducerea datelor'!C10)</f>
        <v>40452</v>
      </c>
      <c r="H9" s="312" t="s">
        <v>290</v>
      </c>
      <c r="I9" s="769">
        <f>+IF(ISBLANK('Introducerea datelor'!I6),"",'Introducerea datelor'!I6)</f>
        <v>12371649.98</v>
      </c>
      <c r="J9" s="769"/>
      <c r="K9" s="49"/>
      <c r="L9" s="49"/>
      <c r="M9" s="49"/>
      <c r="N9" s="49"/>
      <c r="O9" s="51"/>
      <c r="P9" s="50"/>
      <c r="Q9" s="51"/>
      <c r="R9" s="52"/>
      <c r="S9" s="17"/>
      <c r="T9" s="11"/>
      <c r="U9" s="11"/>
      <c r="V9" s="10"/>
      <c r="W9" s="10"/>
      <c r="X9" s="10"/>
    </row>
    <row r="10" spans="1:24" ht="25.5" customHeight="1">
      <c r="A10" s="312" t="s">
        <v>291</v>
      </c>
      <c r="B10" s="289" t="str">
        <f>+IF('Introducerea datelor'!G8="Please Select","",'Introducerea datelor'!G8)</f>
        <v/>
      </c>
      <c r="C10" s="191" t="s">
        <v>292</v>
      </c>
      <c r="D10" s="290" t="str">
        <f>+IF('Introducerea datelor'!I8="Please Select","",'Introducerea datelor'!I8)</f>
        <v>Faza 2</v>
      </c>
      <c r="E10" s="762" t="s">
        <v>383</v>
      </c>
      <c r="F10" s="762"/>
      <c r="G10" s="761" t="str">
        <f>+'Introducerea datelor'!C8</f>
        <v>IP UCIMP RSS</v>
      </c>
      <c r="H10" s="761"/>
      <c r="I10" s="761"/>
      <c r="J10" s="761"/>
      <c r="K10" s="53"/>
      <c r="L10" s="53"/>
      <c r="M10" s="49"/>
      <c r="N10" s="53"/>
      <c r="O10" s="51"/>
      <c r="P10" s="50"/>
      <c r="Q10" s="11"/>
      <c r="R10" s="52"/>
      <c r="S10" s="17"/>
      <c r="T10" s="11"/>
      <c r="U10" s="11"/>
    </row>
    <row r="11" spans="1:24" ht="25.5" customHeight="1">
      <c r="A11" s="312" t="s">
        <v>295</v>
      </c>
      <c r="B11" s="291" t="str">
        <f>+'Introducerea datelor'!C16</f>
        <v>P2</v>
      </c>
      <c r="C11" s="275" t="s">
        <v>296</v>
      </c>
      <c r="D11" s="414">
        <f>+IF(ISBLANK('Introducerea datelor'!E16),"",'Introducerea datelor'!E16)</f>
        <v>41456</v>
      </c>
      <c r="E11" s="770" t="s">
        <v>297</v>
      </c>
      <c r="F11" s="770"/>
      <c r="G11" s="414">
        <f>+IF(ISBLANK('Introducerea datelor'!G16),"",'Introducerea datelor'!G16)</f>
        <v>41639</v>
      </c>
      <c r="H11" s="312" t="s">
        <v>287</v>
      </c>
      <c r="I11" s="763" t="str">
        <f>+IF('Introducerea datelor'!C12="Please Select","",'Introducerea datelor'!C12)</f>
        <v>A1</v>
      </c>
      <c r="J11" s="763"/>
      <c r="K11" s="228"/>
      <c r="L11" s="53"/>
      <c r="M11" s="49"/>
      <c r="N11" s="53"/>
      <c r="O11" s="53"/>
      <c r="P11" s="50"/>
      <c r="Q11" s="11"/>
      <c r="R11" s="52"/>
      <c r="S11" s="17"/>
      <c r="T11" s="12"/>
      <c r="U11" s="11"/>
    </row>
    <row r="12" spans="1:24" ht="25.5" customHeight="1">
      <c r="A12" s="312" t="s">
        <v>293</v>
      </c>
      <c r="B12" s="761" t="str">
        <f>+IF('Introducerea datelor'!G10="Please Select","",'Introducerea datelor'!G10)</f>
        <v>PwC (PricewaterhouseCoopers)</v>
      </c>
      <c r="C12" s="761"/>
      <c r="D12" s="761"/>
      <c r="E12" s="762" t="s">
        <v>233</v>
      </c>
      <c r="F12" s="762"/>
      <c r="G12" s="761" t="str">
        <f>+'Introducerea datelor'!G12</f>
        <v>Tatiana Vinichenko</v>
      </c>
      <c r="H12" s="761"/>
      <c r="I12" s="761"/>
      <c r="J12" s="761"/>
      <c r="K12" s="53"/>
      <c r="L12" s="53"/>
      <c r="M12" s="49"/>
      <c r="N12" s="53"/>
      <c r="O12" s="17"/>
      <c r="P12" s="50"/>
      <c r="Q12" s="11"/>
      <c r="R12" s="52"/>
      <c r="S12" s="17"/>
      <c r="T12" s="11"/>
      <c r="U12" s="54"/>
      <c r="V12" s="11"/>
      <c r="W12" s="12"/>
      <c r="X12" s="11"/>
    </row>
    <row r="13" spans="1:24" ht="30.75" customHeight="1">
      <c r="A13" s="312" t="s">
        <v>384</v>
      </c>
      <c r="B13" s="761" t="str">
        <f>+'Introducerea datelor'!D18</f>
        <v>IP UCIMP RSS</v>
      </c>
      <c r="C13" s="761"/>
      <c r="D13" s="761"/>
      <c r="E13" s="764" t="s">
        <v>385</v>
      </c>
      <c r="F13" s="764"/>
      <c r="G13" s="765">
        <f>+IF(ISBLANK('Introducerea datelor'!J16),"",'Introducerea datelor'!J16)</f>
        <v>41765</v>
      </c>
      <c r="H13" s="766"/>
      <c r="I13" s="766"/>
      <c r="J13" s="766"/>
      <c r="K13" s="17"/>
      <c r="L13" s="18"/>
      <c r="M13" s="18"/>
      <c r="N13" s="18"/>
      <c r="O13" s="17"/>
      <c r="P13" s="18"/>
      <c r="Q13" s="18"/>
      <c r="R13" s="52"/>
      <c r="S13" s="17"/>
      <c r="T13" s="18"/>
      <c r="U13" s="55"/>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00"/>
      <c r="D16" s="16"/>
      <c r="E16" s="313"/>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23"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view="pageBreakPreview" topLeftCell="A25" zoomScaleNormal="100" zoomScaleSheetLayoutView="100" workbookViewId="0">
      <selection activeCell="C27" sqref="C27:L27"/>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197"/>
      <c r="E1" s="198"/>
    </row>
    <row r="2" spans="1:16" ht="27.75" customHeight="1">
      <c r="B2" s="773" t="str">
        <f>+"Tabel Programatic de Evaluare:  "&amp;"  "&amp;IF(+'Introducerea datelor'!C4="Please Select","",'Introducerea datelor'!C4&amp;" - ")&amp;IF('Introducerea datelor'!G6="Please Select","",'Introducerea datelor'!G6)</f>
        <v>Tabel Programatic de Evaluare:    Moldova - TB</v>
      </c>
      <c r="C2" s="773"/>
      <c r="D2" s="773"/>
      <c r="E2" s="773"/>
      <c r="F2" s="773"/>
      <c r="G2" s="773"/>
      <c r="H2" s="773"/>
      <c r="I2" s="773"/>
      <c r="J2" s="773"/>
      <c r="K2" s="773"/>
      <c r="L2" s="773"/>
      <c r="M2" s="25"/>
      <c r="N2" s="25"/>
      <c r="O2" s="25"/>
      <c r="P2" s="25"/>
    </row>
    <row r="3" spans="1:16">
      <c r="B3" s="23" t="str">
        <f>+IF('Introducerea datelor'!G8="Please Select","",'Introducerea datelor'!G8)</f>
        <v/>
      </c>
      <c r="C3" s="778" t="str">
        <f>+IF('Introducerea datelor'!I8="Please Select","",'Introducerea datelor'!I8)</f>
        <v>Faza 2</v>
      </c>
      <c r="D3" s="778"/>
      <c r="E3" s="776"/>
      <c r="F3" s="776"/>
      <c r="G3" s="776"/>
      <c r="H3" s="776"/>
      <c r="I3" s="776"/>
      <c r="J3" s="777" t="str">
        <f>+'Introducerea datelor'!B16</f>
        <v>Perioada de Raportare:</v>
      </c>
      <c r="K3" s="777"/>
      <c r="L3" s="166" t="str">
        <f>+'Introducerea datelor'!C16</f>
        <v>P2</v>
      </c>
    </row>
    <row r="4" spans="1:16">
      <c r="B4" s="23" t="str">
        <f>+'Introducerea datelor'!B12</f>
        <v>Ultimul Rating:</v>
      </c>
      <c r="C4" s="774" t="str">
        <f>+IF('Introducerea datelor'!C12="Please Select","",'Introducerea datelor'!C12)</f>
        <v>A1</v>
      </c>
      <c r="D4" s="774"/>
      <c r="E4" s="776" t="str">
        <f>+'Introducerea datelor'!C8</f>
        <v>IP UCIMP RSS</v>
      </c>
      <c r="F4" s="776"/>
      <c r="G4" s="776"/>
      <c r="H4" s="776"/>
      <c r="I4" s="776"/>
      <c r="J4" s="777" t="str">
        <f>+'Introducerea datelor'!D16</f>
        <v>De la:</v>
      </c>
      <c r="K4" s="779"/>
      <c r="L4" s="448">
        <f>+IF(ISBLANK('Introducerea datelor'!E16),"",'Introducerea datelor'!E16)</f>
        <v>41456</v>
      </c>
    </row>
    <row r="5" spans="1:16" ht="18.75" customHeight="1">
      <c r="B5" s="23"/>
      <c r="C5" s="23"/>
      <c r="D5" s="776" t="str">
        <f>+'Introducerea datelor'!G4</f>
        <v>Consolidarea controlului Tuberculozei în Republica Moldova</v>
      </c>
      <c r="E5" s="776"/>
      <c r="F5" s="776"/>
      <c r="G5" s="776"/>
      <c r="H5" s="776"/>
      <c r="I5" s="776"/>
      <c r="J5" s="776"/>
      <c r="K5" s="23" t="str">
        <f>+'Introducerea datelor'!F16</f>
        <v>Pînă la:</v>
      </c>
      <c r="L5" s="448">
        <f>+IF(ISBLANK('Introducerea datelor'!G16),"",'Introducerea datelor'!G16)</f>
        <v>41639</v>
      </c>
    </row>
    <row r="6" spans="1:16" ht="18.75">
      <c r="B6" s="22"/>
      <c r="C6" s="23"/>
      <c r="D6" s="24"/>
      <c r="E6" s="775" t="s">
        <v>391</v>
      </c>
      <c r="F6" s="775"/>
      <c r="G6" s="775"/>
      <c r="H6" s="775"/>
      <c r="I6" s="775"/>
    </row>
    <row r="7" spans="1:16" ht="26.25" customHeight="1">
      <c r="B7" s="780" t="str">
        <f>+'Introducerea datelor'!B69&amp;"                "&amp;+J3&amp;" "&amp;+L3</f>
        <v>M1: Statutul Condițiilor Precedente și a Acțiunilor Prestabilite în Timp                 Perioada de Raportare: P2</v>
      </c>
      <c r="C7" s="781"/>
      <c r="D7" s="781"/>
      <c r="E7" s="781"/>
      <c r="F7" s="781"/>
      <c r="H7" s="780" t="str">
        <f>+'Introducerea datelor'!B76&amp;"                                                                             "&amp;+J3&amp;"  "&amp;+L3</f>
        <v>M2: Statutul pozițiilor cheie a RP                                                                              Perioada de Raportare:  P2</v>
      </c>
      <c r="I7" s="781"/>
      <c r="J7" s="781"/>
      <c r="K7" s="781"/>
      <c r="L7" s="781"/>
    </row>
    <row r="8" spans="1:16" ht="49.5" customHeight="1">
      <c r="B8" s="294" t="s">
        <v>389</v>
      </c>
      <c r="C8" s="949" t="s">
        <v>475</v>
      </c>
      <c r="D8" s="950"/>
      <c r="E8" s="950"/>
      <c r="F8" s="951"/>
      <c r="G8" s="952"/>
      <c r="H8" s="294" t="s">
        <v>389</v>
      </c>
      <c r="I8" s="949" t="s">
        <v>476</v>
      </c>
      <c r="J8" s="953"/>
      <c r="K8" s="953"/>
      <c r="L8" s="954"/>
    </row>
    <row r="9" spans="1:16" ht="22.5" customHeight="1">
      <c r="B9" s="19"/>
      <c r="C9" s="19"/>
      <c r="D9" s="19"/>
      <c r="E9" s="19"/>
      <c r="F9" s="19"/>
      <c r="G9" s="19"/>
      <c r="H9" s="19"/>
    </row>
    <row r="10" spans="1:16" ht="21" customHeight="1">
      <c r="A10" s="46"/>
      <c r="B10" s="19"/>
      <c r="C10" s="19"/>
      <c r="D10" s="782"/>
      <c r="E10" s="542"/>
      <c r="F10" s="542"/>
      <c r="G10" s="174"/>
      <c r="H10" s="19"/>
      <c r="N10" s="48"/>
      <c r="O10" s="48"/>
      <c r="P10" s="47"/>
    </row>
    <row r="11" spans="1:16">
      <c r="B11" s="19"/>
      <c r="C11" s="27"/>
      <c r="D11" s="782"/>
      <c r="E11" s="27"/>
      <c r="F11" s="27"/>
      <c r="G11" s="27"/>
      <c r="H11" s="27"/>
      <c r="N11" s="19"/>
      <c r="O11" s="19"/>
    </row>
    <row r="12" spans="1:16">
      <c r="B12" s="27"/>
      <c r="C12" s="78"/>
      <c r="D12" s="79"/>
      <c r="E12" s="79"/>
      <c r="F12" s="79"/>
      <c r="G12" s="79"/>
      <c r="H12" s="80"/>
    </row>
    <row r="13" spans="1:16">
      <c r="B13" s="27"/>
      <c r="C13" s="78"/>
      <c r="D13" s="79"/>
      <c r="E13" s="79"/>
      <c r="F13" s="79"/>
      <c r="G13" s="79"/>
      <c r="H13" s="80"/>
    </row>
    <row r="14" spans="1:16" ht="27" customHeight="1"/>
    <row r="15" spans="1:16" ht="35.25" customHeight="1">
      <c r="B15" s="780" t="str">
        <f>+'Introducerea datelor'!B81&amp;"                                                                                                 "&amp;+J3&amp;" "&amp;+L3</f>
        <v>M3: Aranjamente contractuale (SR)                                                                                                  Perioada de Raportare: P2</v>
      </c>
      <c r="C15" s="781"/>
      <c r="D15" s="781"/>
      <c r="E15" s="781"/>
      <c r="F15" s="781"/>
      <c r="G15" s="781"/>
      <c r="H15" s="780" t="str">
        <f>+'Introducerea datelor'!B86&amp;"                        "&amp;+J3&amp;" "&amp;+L3</f>
        <v>M4: Numărul rapoartelor complete recepționate la timp                        Perioada de Raportare: P2</v>
      </c>
      <c r="I15" s="781"/>
      <c r="J15" s="781"/>
      <c r="K15" s="781"/>
      <c r="L15" s="781"/>
    </row>
    <row r="16" spans="1:16" ht="51.75" customHeight="1">
      <c r="B16" s="294" t="s">
        <v>389</v>
      </c>
      <c r="C16" s="949" t="s">
        <v>477</v>
      </c>
      <c r="D16" s="953"/>
      <c r="E16" s="953"/>
      <c r="F16" s="954"/>
      <c r="G16" s="952"/>
      <c r="H16" s="294" t="s">
        <v>389</v>
      </c>
      <c r="I16" s="949" t="s">
        <v>445</v>
      </c>
      <c r="J16" s="950"/>
      <c r="K16" s="950"/>
      <c r="L16" s="951"/>
    </row>
    <row r="17" spans="2:13">
      <c r="B17" s="28"/>
      <c r="H17" s="29"/>
    </row>
    <row r="18" spans="2:13">
      <c r="M18" s="82"/>
    </row>
    <row r="26" spans="2:13" ht="40.5" customHeight="1">
      <c r="B26" s="783" t="str">
        <f>+'Introducerea datelor'!B92</f>
        <v xml:space="preserve">M5: Bugetul și Procurarea produselor medicale, echipamentului medical, medicamentelor și produselor farmaceutice </v>
      </c>
      <c r="C26" s="784"/>
      <c r="D26" s="784"/>
      <c r="E26" s="784"/>
      <c r="F26" s="784"/>
      <c r="H26" s="780" t="str">
        <f>+'Introducerea datelor'!B105&amp;"                                                                "&amp;+J3&amp;"  "&amp;+L3</f>
        <v>M6: Diferență între stocul curent și stocul de siguranță                                                                Perioada de Raportare:  P2</v>
      </c>
      <c r="I26" s="781"/>
      <c r="J26" s="781"/>
      <c r="K26" s="781"/>
      <c r="L26" s="781"/>
    </row>
    <row r="27" spans="2:13" ht="55.5" customHeight="1">
      <c r="B27" s="294" t="s">
        <v>389</v>
      </c>
      <c r="C27" s="949" t="s">
        <v>478</v>
      </c>
      <c r="D27" s="953"/>
      <c r="E27" s="953"/>
      <c r="F27" s="954"/>
      <c r="G27" s="952"/>
      <c r="H27" s="294" t="s">
        <v>1</v>
      </c>
      <c r="I27" s="949" t="s">
        <v>479</v>
      </c>
      <c r="J27" s="950"/>
      <c r="K27" s="950"/>
      <c r="L27" s="951"/>
    </row>
    <row r="28" spans="2:13" ht="15.75" thickBot="1"/>
    <row r="29" spans="2:13" ht="59.25" customHeight="1">
      <c r="F29" s="279"/>
      <c r="G29" s="279"/>
      <c r="H29" s="400" t="s">
        <v>363</v>
      </c>
      <c r="I29" s="399" t="s">
        <v>392</v>
      </c>
      <c r="J29" s="293" t="s">
        <v>394</v>
      </c>
      <c r="K29" s="185" t="s">
        <v>395</v>
      </c>
      <c r="L29" s="276" t="s">
        <v>396</v>
      </c>
    </row>
    <row r="30" spans="2:13" ht="15" customHeight="1">
      <c r="F30" s="279"/>
      <c r="G30" s="279"/>
      <c r="H30" s="786" t="str">
        <f>+'Introducerea datelor'!B108</f>
        <v>Please Select</v>
      </c>
      <c r="I30" s="277" t="str">
        <f>+'Introducerea datelor'!C108</f>
        <v>Please Select</v>
      </c>
      <c r="J30" s="360" t="str">
        <f>+'Introducerea datelor'!I108</f>
        <v/>
      </c>
      <c r="K30" s="361">
        <f>+'Introducerea datelor'!J108</f>
        <v>0</v>
      </c>
      <c r="L30" s="348" t="str">
        <f>+'Introducerea datelor'!K108</f>
        <v/>
      </c>
    </row>
    <row r="31" spans="2:13">
      <c r="F31" s="279"/>
      <c r="G31" s="279"/>
      <c r="H31" s="787"/>
      <c r="I31" s="277" t="str">
        <f>+'Introducerea datelor'!C109</f>
        <v>Please Select</v>
      </c>
      <c r="J31" s="360" t="str">
        <f>+'Introducerea datelor'!I109</f>
        <v/>
      </c>
      <c r="K31" s="361">
        <f>+'Introducerea datelor'!J109</f>
        <v>0</v>
      </c>
      <c r="L31" s="349" t="str">
        <f>+'Introducerea datelor'!K109</f>
        <v/>
      </c>
    </row>
    <row r="32" spans="2:13">
      <c r="F32" s="279"/>
      <c r="G32" s="279"/>
      <c r="H32" s="787"/>
      <c r="I32" s="277" t="str">
        <f>+'Introducerea datelor'!C110</f>
        <v>Please Select</v>
      </c>
      <c r="J32" s="360" t="str">
        <f>+'Introducerea datelor'!I110</f>
        <v/>
      </c>
      <c r="K32" s="361">
        <f>+'Introducerea datelor'!J110</f>
        <v>0</v>
      </c>
      <c r="L32" s="348" t="str">
        <f>+'Introducerea datelor'!K110</f>
        <v/>
      </c>
    </row>
    <row r="33" spans="2:12" ht="15.75" thickBot="1">
      <c r="F33" s="279"/>
      <c r="G33" s="279"/>
      <c r="H33" s="788"/>
      <c r="I33" s="278" t="str">
        <f>+'Introducerea datelor'!C111</f>
        <v>Please Select</v>
      </c>
      <c r="J33" s="362" t="str">
        <f>+'Introducerea datelor'!I111</f>
        <v/>
      </c>
      <c r="K33" s="363">
        <f>+'Introducerea datelor'!J111</f>
        <v>0</v>
      </c>
      <c r="L33" s="348" t="str">
        <f>+'Introducerea datelor'!K111</f>
        <v/>
      </c>
    </row>
    <row r="34" spans="2:12" ht="22.5" customHeight="1">
      <c r="B34" s="785" t="str">
        <f>+'Introducerea datelor'!B102</f>
        <v>* Include numai EFR categoriile 4 și 5  (Produse medicale și Echipamente medicale &amp; Medicamente și Produse farmaceutice)</v>
      </c>
      <c r="C34" s="785"/>
      <c r="D34" s="785"/>
      <c r="E34" s="785"/>
      <c r="F34" s="19"/>
      <c r="G34" s="19"/>
      <c r="H34" s="182"/>
      <c r="I34" s="183"/>
      <c r="J34" s="184"/>
      <c r="K34" s="174"/>
      <c r="L34" s="20"/>
    </row>
    <row r="35" spans="2:12">
      <c r="F35" s="19"/>
      <c r="G35" s="19"/>
      <c r="H35" s="19"/>
      <c r="I35" s="19"/>
      <c r="J35" s="19"/>
      <c r="K35" s="19"/>
      <c r="L35" s="19"/>
    </row>
  </sheetData>
  <mergeCells count="25">
    <mergeCell ref="B26:F26"/>
    <mergeCell ref="H26:L26"/>
    <mergeCell ref="B34:E34"/>
    <mergeCell ref="C27:F27"/>
    <mergeCell ref="I27:L27"/>
    <mergeCell ref="H30:H33"/>
    <mergeCell ref="B15:G15"/>
    <mergeCell ref="H15:L15"/>
    <mergeCell ref="I8:L8"/>
    <mergeCell ref="D5:J5"/>
    <mergeCell ref="C16:F16"/>
    <mergeCell ref="E10:F10"/>
    <mergeCell ref="C8:F8"/>
    <mergeCell ref="B7:F7"/>
    <mergeCell ref="I16:L16"/>
    <mergeCell ref="D10:D11"/>
    <mergeCell ref="H7:L7"/>
    <mergeCell ref="B2:L2"/>
    <mergeCell ref="C4:D4"/>
    <mergeCell ref="E6:I6"/>
    <mergeCell ref="E3:I3"/>
    <mergeCell ref="J3:K3"/>
    <mergeCell ref="C3:D3"/>
    <mergeCell ref="E4:I4"/>
    <mergeCell ref="J4:K4"/>
  </mergeCells>
  <phoneticPr fontId="23" type="noConversion"/>
  <conditionalFormatting sqref="D12:D13">
    <cfRule type="cellIs" dxfId="29" priority="1" stopIfTrue="1" operator="greaterThan">
      <formula>0</formula>
    </cfRule>
  </conditionalFormatting>
  <conditionalFormatting sqref="E12:E13">
    <cfRule type="cellIs" dxfId="28" priority="2" stopIfTrue="1" operator="greaterThan">
      <formula>0</formula>
    </cfRule>
  </conditionalFormatting>
  <conditionalFormatting sqref="F12:G13">
    <cfRule type="cellIs" dxfId="27" priority="3" stopIfTrue="1" operator="greaterThan">
      <formula>0</formula>
    </cfRule>
  </conditionalFormatting>
  <conditionalFormatting sqref="C4:D4">
    <cfRule type="cellIs" dxfId="26" priority="4" stopIfTrue="1" operator="equal">
      <formula>"C"</formula>
    </cfRule>
    <cfRule type="cellIs" dxfId="25" priority="5" stopIfTrue="1" operator="equal">
      <formula>"B2"</formula>
    </cfRule>
    <cfRule type="cellIs" dxfId="24" priority="6" stopIfTrue="1" operator="equal">
      <formula>"B1"</formula>
    </cfRule>
  </conditionalFormatting>
  <conditionalFormatting sqref="L30 L32:L33">
    <cfRule type="cellIs" dxfId="23" priority="13" stopIfTrue="1" operator="lessThan">
      <formula>1</formula>
    </cfRule>
    <cfRule type="cellIs" dxfId="22" priority="14" stopIfTrue="1" operator="between">
      <formula>3</formula>
      <formula>17</formula>
    </cfRule>
    <cfRule type="cellIs" dxfId="21" priority="15" stopIfTrue="1" operator="between">
      <formula>1</formula>
      <formula>3</formula>
    </cfRule>
  </conditionalFormatting>
  <conditionalFormatting sqref="L31">
    <cfRule type="cellIs" dxfId="20" priority="16" stopIfTrue="1" operator="lessThan">
      <formula>1</formula>
    </cfRule>
    <cfRule type="cellIs" dxfId="19" priority="17" stopIfTrue="1" operator="between">
      <formula>3</formula>
      <formula>100</formula>
    </cfRule>
    <cfRule type="cellIs" dxfId="18"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64" orientation="portrait" r:id="rId1"/>
  <headerFooter alignWithMargins="0">
    <oddFooter>&amp;L&amp;F&amp;C&amp;A&amp;RV1.0          &amp;D</oddFooter>
  </headerFooter>
  <colBreaks count="1" manualBreakCount="1">
    <brk id="12" max="3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view="pageBreakPreview" topLeftCell="A22" zoomScale="115" zoomScaleNormal="100" zoomScaleSheetLayoutView="115" workbookViewId="0">
      <selection activeCell="C23" sqref="C23:K23"/>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789" t="str">
        <f>+"Tabel Programatic de Evaluare:  "&amp;"  "&amp;IF(+'Introducerea datelor'!C4="Please Select","",'Introducerea datelor'!C4&amp;" - ")&amp;IF('Introducerea datelor'!G6="Please Select","",'Introducerea datelor'!G6)</f>
        <v>Tabel Programatic de Evaluare:    Moldova - TB</v>
      </c>
      <c r="C2" s="789"/>
      <c r="D2" s="789"/>
      <c r="E2" s="789"/>
      <c r="F2" s="789"/>
      <c r="G2" s="789"/>
      <c r="H2" s="789"/>
      <c r="I2" s="789"/>
      <c r="J2" s="789"/>
      <c r="K2" s="789"/>
      <c r="L2" s="1"/>
      <c r="M2" s="1"/>
      <c r="N2" s="1"/>
      <c r="O2" s="1"/>
    </row>
    <row r="3" spans="2:15">
      <c r="B3" s="128" t="str">
        <f>+IF('Introducerea datelor'!G8="Please Select","",'Introducerea datelor'!G8)</f>
        <v/>
      </c>
      <c r="C3" s="794" t="str">
        <f>+IF('Introducerea datelor'!I8="Please Select","",'Introducerea datelor'!I8)</f>
        <v>Faza 2</v>
      </c>
      <c r="D3" s="794"/>
      <c r="E3" s="793"/>
      <c r="F3" s="793"/>
      <c r="G3" s="793"/>
      <c r="H3" s="793"/>
      <c r="I3" s="791" t="str">
        <f>+'Introducerea datelor'!B16</f>
        <v>Perioada de Raportare:</v>
      </c>
      <c r="J3" s="791"/>
      <c r="K3" s="166" t="str">
        <f>+'Introducerea datelor'!C16</f>
        <v>P2</v>
      </c>
      <c r="L3" s="82"/>
    </row>
    <row r="4" spans="2:15">
      <c r="B4" s="128" t="str">
        <f>+'Introducerea datelor'!B12</f>
        <v>Ultimul Rating:</v>
      </c>
      <c r="C4" s="774" t="str">
        <f>+IF('Introducerea datelor'!C12="Please Select","",'Introducerea datelor'!C12)</f>
        <v>A1</v>
      </c>
      <c r="D4" s="774"/>
      <c r="E4" s="793" t="str">
        <f>+'Introducerea datelor'!C8</f>
        <v>IP UCIMP RSS</v>
      </c>
      <c r="F4" s="793"/>
      <c r="G4" s="793"/>
      <c r="H4" s="793"/>
      <c r="I4" s="791" t="str">
        <f>+'Introducerea datelor'!D16</f>
        <v>De la:</v>
      </c>
      <c r="J4" s="792"/>
      <c r="K4" s="448">
        <f>+IF(ISBLANK('Introducerea datelor'!E16),"",'Introducerea datelor'!E16)</f>
        <v>41456</v>
      </c>
    </row>
    <row r="5" spans="2:15" ht="18.75" customHeight="1">
      <c r="B5" s="128"/>
      <c r="C5" s="128"/>
      <c r="D5" s="790" t="str">
        <f>+'Introducerea datelor'!G4</f>
        <v>Consolidarea controlului Tuberculozei în Republica Moldova</v>
      </c>
      <c r="E5" s="790"/>
      <c r="F5" s="790"/>
      <c r="G5" s="790"/>
      <c r="H5" s="790"/>
      <c r="I5" s="790"/>
      <c r="J5" s="128" t="str">
        <f>+'Introducerea datelor'!F16</f>
        <v>Pînă la:</v>
      </c>
      <c r="K5" s="448">
        <f>+IF(ISBLANK('Introducerea datelor'!G16),"",'Introducerea datelor'!G16)</f>
        <v>41639</v>
      </c>
    </row>
    <row r="6" spans="2:15" ht="18.75">
      <c r="B6" s="132"/>
      <c r="C6" s="128"/>
      <c r="D6" s="129"/>
      <c r="E6" s="800" t="s">
        <v>388</v>
      </c>
      <c r="F6" s="800"/>
      <c r="G6" s="800"/>
      <c r="H6" s="800"/>
      <c r="I6" s="3"/>
      <c r="J6" s="3"/>
      <c r="K6" s="3"/>
    </row>
    <row r="7" spans="2:15" ht="10.5" customHeight="1">
      <c r="B7" s="133"/>
      <c r="C7" s="134"/>
      <c r="D7" s="135"/>
      <c r="E7" s="136"/>
      <c r="F7" s="136"/>
      <c r="G7" s="137"/>
      <c r="H7" s="137"/>
      <c r="I7" s="131"/>
      <c r="J7" s="131"/>
      <c r="K7" s="130"/>
      <c r="O7" t="s">
        <v>387</v>
      </c>
    </row>
    <row r="8" spans="2:15" ht="26.25" customHeight="1">
      <c r="B8" s="803" t="str">
        <f>+'Introducerea datelor'!B27&amp; " - in ("&amp;'Introducerea datelor'!D26&amp;")  "&amp;+I3&amp;" "&amp;+K3</f>
        <v>F1: Bugetul și debursările de către Fondul Global - in (€)  Perioada de Raportare: P2</v>
      </c>
      <c r="C8" s="781"/>
      <c r="D8" s="781"/>
      <c r="E8" s="781"/>
      <c r="F8" s="781"/>
      <c r="H8" s="171" t="str">
        <f>+'Introducerea datelor'!B49&amp; " - in ("&amp;'Introducerea datelor'!D26&amp;")         "&amp;+I3&amp;" "&amp;+K3</f>
        <v>F3: Debursări și cheltuieli - in (€)         Perioada de Raportare: P2</v>
      </c>
      <c r="I8" s="3"/>
      <c r="J8" s="3"/>
      <c r="K8" s="3"/>
    </row>
    <row r="9" spans="2:15" ht="85.5" customHeight="1">
      <c r="B9" s="294" t="s">
        <v>389</v>
      </c>
      <c r="C9" s="949" t="s">
        <v>480</v>
      </c>
      <c r="D9" s="955"/>
      <c r="E9" s="955"/>
      <c r="F9" s="956"/>
      <c r="G9" s="957"/>
      <c r="H9" s="294" t="s">
        <v>389</v>
      </c>
      <c r="I9" s="949" t="s">
        <v>481</v>
      </c>
      <c r="J9" s="955"/>
      <c r="K9" s="956"/>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24" customHeight="1">
      <c r="B22" s="799" t="str">
        <f>+'Introducerea datelor'!B36&amp; " - in ("&amp;'Introducerea datelor'!D26&amp;")  "&amp;+I3&amp;" "&amp;+K3</f>
        <v>F2: Bugetul și cheltuielile actuale după Obiectivele Grantului - in (€)  Perioada de Raportare: P2</v>
      </c>
      <c r="C22" s="531"/>
      <c r="D22" s="531"/>
      <c r="E22" s="531"/>
      <c r="F22" s="531"/>
      <c r="G22" s="394"/>
      <c r="H22" s="799" t="str">
        <f>+'Introducerea datelor'!B58&amp;"      "&amp;+I3&amp;" "&amp;+K3</f>
        <v>F4: Ultima perioadă de raportare și debursare a RP       Perioada de Raportare: P2</v>
      </c>
      <c r="I22" s="781"/>
      <c r="J22" s="781"/>
      <c r="K22" s="781"/>
    </row>
    <row r="23" spans="1:11" ht="138.75" customHeight="1">
      <c r="B23" s="294" t="s">
        <v>389</v>
      </c>
      <c r="C23" s="958" t="s">
        <v>485</v>
      </c>
      <c r="D23" s="959"/>
      <c r="E23" s="959"/>
      <c r="F23" s="960"/>
      <c r="G23" s="961"/>
      <c r="H23" s="294" t="s">
        <v>389</v>
      </c>
      <c r="I23" s="949" t="s">
        <v>482</v>
      </c>
      <c r="J23" s="950"/>
      <c r="K23" s="951"/>
    </row>
    <row r="24" spans="1:11" ht="15.75" thickBot="1">
      <c r="B24" s="180"/>
      <c r="C24" s="180"/>
      <c r="D24" s="180"/>
      <c r="E24" s="180"/>
      <c r="F24" s="180"/>
      <c r="G24" s="180"/>
      <c r="H24" s="181"/>
      <c r="I24" s="181"/>
      <c r="J24" s="180"/>
      <c r="K24" s="180"/>
    </row>
    <row r="25" spans="1:11" ht="29.25" customHeight="1" thickBot="1">
      <c r="B25" s="3"/>
      <c r="C25" s="3"/>
      <c r="D25" s="3"/>
      <c r="E25" s="3"/>
      <c r="F25" s="3"/>
      <c r="G25" s="273"/>
      <c r="H25" s="804" t="s">
        <v>438</v>
      </c>
      <c r="I25" s="805"/>
      <c r="J25" s="805"/>
      <c r="K25" s="806"/>
    </row>
    <row r="26" spans="1:11" ht="24.75">
      <c r="B26" s="3"/>
      <c r="C26" s="3"/>
      <c r="D26" s="3"/>
      <c r="E26" s="3"/>
      <c r="F26" s="3"/>
      <c r="G26" s="242"/>
      <c r="H26" s="795"/>
      <c r="I26" s="796"/>
      <c r="J26" s="256" t="s">
        <v>325</v>
      </c>
      <c r="K26" s="257" t="s">
        <v>326</v>
      </c>
    </row>
    <row r="27" spans="1:11" ht="23.25" customHeight="1">
      <c r="B27" s="3"/>
      <c r="C27" s="3"/>
      <c r="D27" s="3"/>
      <c r="E27" s="3"/>
      <c r="F27" s="3"/>
      <c r="G27" s="274"/>
      <c r="H27" s="801" t="str">
        <f>'Introducerea datelor'!B62</f>
        <v>Zile necesare pentru remiterea PU/DR final către ALF</v>
      </c>
      <c r="I27" s="802"/>
      <c r="J27" s="411">
        <f>+'Introducerea datelor'!C62</f>
        <v>60</v>
      </c>
      <c r="K27" s="444">
        <f>+'Introducerea datelor'!D62</f>
        <v>52</v>
      </c>
    </row>
    <row r="28" spans="1:11" ht="25.5" customHeight="1">
      <c r="B28" s="3"/>
      <c r="C28" s="3"/>
      <c r="D28" s="3"/>
      <c r="E28" s="3"/>
      <c r="F28" s="3"/>
      <c r="G28" s="274"/>
      <c r="H28" s="801" t="str">
        <f>'Introducerea datelor'!B63</f>
        <v>Zile necesare pentru debursare către RP</v>
      </c>
      <c r="I28" s="802"/>
      <c r="J28" s="411">
        <f>+'Introducerea datelor'!C63</f>
        <v>0</v>
      </c>
      <c r="K28" s="444">
        <f>+'Introducerea datelor'!D63</f>
        <v>0</v>
      </c>
    </row>
    <row r="29" spans="1:11" ht="24.75" customHeight="1" thickBot="1">
      <c r="B29" s="3"/>
      <c r="C29" s="3"/>
      <c r="D29" s="3"/>
      <c r="E29" s="3"/>
      <c r="F29" s="3"/>
      <c r="G29" s="274"/>
      <c r="H29" s="797" t="str">
        <f>'Introducerea datelor'!B64</f>
        <v>Zile necesare pentru debursare către SR</v>
      </c>
      <c r="I29" s="798"/>
      <c r="J29" s="412">
        <f>+'Introducerea datelor'!C64</f>
        <v>0</v>
      </c>
      <c r="K29" s="445">
        <f>+'Introducerea datelor'!D64</f>
        <v>0</v>
      </c>
    </row>
    <row r="30" spans="1:11">
      <c r="B30" s="3"/>
      <c r="C30" s="3"/>
      <c r="D30" s="3"/>
      <c r="E30" s="3"/>
      <c r="F30" s="3"/>
      <c r="G30" s="3"/>
      <c r="H30" s="3"/>
      <c r="I30" s="3"/>
      <c r="J30" s="3"/>
      <c r="K30" s="3"/>
    </row>
    <row r="31" spans="1:11">
      <c r="B31" s="3"/>
      <c r="C31" s="15"/>
      <c r="D31" s="201"/>
      <c r="E31" s="3"/>
      <c r="F31" s="3"/>
      <c r="G31" s="3"/>
      <c r="H31" s="3"/>
      <c r="I31" s="3"/>
      <c r="J31" s="3"/>
      <c r="K31" s="3"/>
    </row>
    <row r="32" spans="1:11">
      <c r="B32" s="3"/>
      <c r="C32" s="15"/>
      <c r="D32" s="201"/>
      <c r="E32" s="3"/>
      <c r="F32" s="3"/>
      <c r="G32" s="3"/>
      <c r="H32" s="3"/>
      <c r="I32" s="3"/>
      <c r="J32" s="3"/>
      <c r="K32" s="3"/>
    </row>
    <row r="34" spans="5:5">
      <c r="E34" s="19"/>
    </row>
  </sheetData>
  <mergeCells count="21">
    <mergeCell ref="H26:I26"/>
    <mergeCell ref="C4:D4"/>
    <mergeCell ref="H29:I29"/>
    <mergeCell ref="B22:F22"/>
    <mergeCell ref="H22:K22"/>
    <mergeCell ref="E6:H6"/>
    <mergeCell ref="H27:I27"/>
    <mergeCell ref="H28:I28"/>
    <mergeCell ref="B8:F8"/>
    <mergeCell ref="I23:K23"/>
    <mergeCell ref="H25:K25"/>
    <mergeCell ref="I9:K9"/>
    <mergeCell ref="C9:F9"/>
    <mergeCell ref="C23:F23"/>
    <mergeCell ref="B2:K2"/>
    <mergeCell ref="D5:I5"/>
    <mergeCell ref="I4:J4"/>
    <mergeCell ref="I3:J3"/>
    <mergeCell ref="E3:H3"/>
    <mergeCell ref="E4:H4"/>
    <mergeCell ref="C3:D3"/>
  </mergeCells>
  <phoneticPr fontId="23" type="noConversion"/>
  <conditionalFormatting sqref="K27:K29">
    <cfRule type="cellIs" dxfId="17" priority="4" stopIfTrue="1" operator="greaterThan">
      <formula>J27</formula>
    </cfRule>
    <cfRule type="cellIs" dxfId="16" priority="5" stopIfTrue="1" operator="between">
      <formula>J27</formula>
      <formula>1</formula>
    </cfRule>
    <cfRule type="cellIs" dxfId="15" priority="6" stopIfTrue="1" operator="equal">
      <formula>0</formula>
    </cfRule>
  </conditionalFormatting>
  <conditionalFormatting sqref="C4:D4">
    <cfRule type="cellIs" dxfId="14" priority="1" stopIfTrue="1" operator="equal">
      <formula>"C"</formula>
    </cfRule>
    <cfRule type="cellIs" dxfId="13" priority="2" stopIfTrue="1" operator="equal">
      <formula>"B2"</formula>
    </cfRule>
    <cfRule type="cellIs" dxfId="12" priority="3" stopIfTrue="1" operator="equal">
      <formula>"B1"</formula>
    </cfRule>
  </conditionalFormatting>
  <pageMargins left="0.70866141732283472" right="0.70866141732283472" top="0.74803149606299213" bottom="0.74803149606299213" header="0.31496062992125984" footer="0.31496062992125984"/>
  <pageSetup paperSize="9" scale="68" orientation="portrait" r:id="rId1"/>
  <headerFooter>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view="pageBreakPreview" topLeftCell="A33" zoomScaleNormal="100" zoomScaleSheetLayoutView="100" workbookViewId="0">
      <selection activeCell="C9" sqref="C9:Q9"/>
    </sheetView>
  </sheetViews>
  <sheetFormatPr defaultColWidth="11" defaultRowHeight="15"/>
  <cols>
    <col min="1" max="1" width="9.42578125" style="407" customWidth="1"/>
    <col min="2" max="2" width="11.28515625" customWidth="1"/>
    <col min="3" max="3" width="16.140625" customWidth="1"/>
    <col min="4" max="4" width="17.28515625" customWidth="1"/>
    <col min="5" max="5" width="8" style="408" customWidth="1"/>
    <col min="6" max="6" width="11.5703125" style="408" customWidth="1"/>
    <col min="7" max="7" width="5.7109375" customWidth="1"/>
    <col min="8" max="8" width="6.28515625" customWidth="1"/>
    <col min="9" max="9" width="6" customWidth="1"/>
    <col min="10" max="10" width="4.140625" customWidth="1"/>
    <col min="11" max="11" width="12.42578125" customWidth="1"/>
    <col min="12" max="12" width="11.42578125" customWidth="1"/>
    <col min="13" max="13" width="5" customWidth="1"/>
    <col min="14" max="14" width="6.5703125" customWidth="1"/>
    <col min="15" max="15" width="4.140625" customWidth="1"/>
    <col min="16" max="16" width="10.7109375" customWidth="1"/>
    <col min="17" max="17" width="14.28515625" customWidth="1"/>
    <col min="18" max="18" width="6.5703125" customWidth="1"/>
  </cols>
  <sheetData>
    <row r="1" spans="1:35" ht="26.25" customHeight="1">
      <c r="A1" s="406"/>
      <c r="B1" s="3"/>
      <c r="C1" s="3"/>
      <c r="D1" s="3"/>
      <c r="E1" s="409"/>
      <c r="F1" s="409"/>
      <c r="G1" s="3"/>
      <c r="H1" s="3"/>
      <c r="I1" s="3"/>
      <c r="J1" s="3"/>
      <c r="K1" s="3"/>
      <c r="L1" s="3"/>
      <c r="M1" s="3"/>
      <c r="N1" s="3"/>
      <c r="O1" s="3"/>
      <c r="P1" s="3"/>
    </row>
    <row r="2" spans="1:35" ht="21.75" customHeight="1">
      <c r="A2" s="406"/>
      <c r="B2" s="807" t="str">
        <f>+"Tabel Programatic de Evaluare:  "&amp;"  "&amp;IF(+'Introducerea datelor'!C4="Please Select","",'Introducerea datelor'!C4&amp;" - ")&amp;IF('Introducerea datelor'!G6="Please Select","",'Introducerea datelor'!G6)</f>
        <v>Tabel Programatic de Evaluare:    Moldova - TB</v>
      </c>
      <c r="C2" s="807"/>
      <c r="D2" s="807"/>
      <c r="E2" s="807"/>
      <c r="F2" s="807"/>
      <c r="G2" s="807"/>
      <c r="H2" s="807"/>
      <c r="I2" s="807"/>
      <c r="J2" s="807"/>
      <c r="K2" s="807"/>
      <c r="L2" s="807"/>
      <c r="M2" s="807"/>
      <c r="N2" s="807"/>
      <c r="O2" s="807"/>
      <c r="P2" s="807"/>
      <c r="Q2" s="807"/>
    </row>
    <row r="3" spans="1:35" ht="18.75" customHeight="1">
      <c r="A3" s="406"/>
      <c r="B3" s="128" t="str">
        <f>+IF('Introducerea datelor'!G8="Please Select","",'Introducerea datelor'!G8)</f>
        <v/>
      </c>
      <c r="C3" s="794" t="str">
        <f>+IF('Introducerea datelor'!I8="Please Select","",'Introducerea datelor'!I8)</f>
        <v>Faza 2</v>
      </c>
      <c r="D3" s="794"/>
      <c r="E3" s="793"/>
      <c r="F3" s="793"/>
      <c r="G3" s="793"/>
      <c r="H3" s="793"/>
      <c r="I3" s="810"/>
      <c r="J3" s="810"/>
      <c r="K3" s="810"/>
      <c r="L3" s="3"/>
      <c r="M3" s="3"/>
      <c r="N3" s="840" t="str">
        <f>+'Introducerea datelor'!B16</f>
        <v>Perioada de Raportare:</v>
      </c>
      <c r="O3" s="781"/>
      <c r="P3" s="781"/>
      <c r="Q3" s="167" t="str">
        <f>+'Introducerea datelor'!C16</f>
        <v>P2</v>
      </c>
    </row>
    <row r="4" spans="1:35" ht="12" customHeight="1">
      <c r="A4" s="406"/>
      <c r="B4" s="128" t="str">
        <f>+'Introducerea datelor'!B12</f>
        <v>Ultimul Rating:</v>
      </c>
      <c r="C4" s="811" t="str">
        <f>+IF('Introducerea datelor'!C12="Please Select","",'Introducerea datelor'!C12)</f>
        <v>A1</v>
      </c>
      <c r="D4" s="811"/>
      <c r="E4" s="793" t="str">
        <f>+'Introducerea datelor'!C8</f>
        <v>IP UCIMP RSS</v>
      </c>
      <c r="F4" s="793"/>
      <c r="G4" s="793"/>
      <c r="H4" s="793"/>
      <c r="I4" s="793"/>
      <c r="J4" s="793"/>
      <c r="K4" s="793"/>
      <c r="L4" s="793"/>
      <c r="M4" s="3"/>
      <c r="O4" s="281"/>
      <c r="P4" s="128" t="str">
        <f>+'Introducerea datelor'!D16</f>
        <v>De la:</v>
      </c>
      <c r="Q4" s="449">
        <f>+IF(ISBLANK('Introducerea datelor'!E16),"",'Introducerea datelor'!E16)</f>
        <v>41456</v>
      </c>
      <c r="Y4" s="70"/>
      <c r="Z4" s="70"/>
      <c r="AA4" s="70"/>
      <c r="AB4" s="70"/>
      <c r="AC4" s="70"/>
    </row>
    <row r="5" spans="1:35" ht="15.75" customHeight="1">
      <c r="A5" s="406"/>
      <c r="B5" s="128"/>
      <c r="C5" s="128"/>
      <c r="D5" s="793" t="str">
        <f>+'Introducerea datelor'!G4</f>
        <v>Consolidarea controlului Tuberculozei în Republica Moldova</v>
      </c>
      <c r="E5" s="793"/>
      <c r="F5" s="793"/>
      <c r="G5" s="793"/>
      <c r="H5" s="793"/>
      <c r="I5" s="793"/>
      <c r="J5" s="793"/>
      <c r="K5" s="793"/>
      <c r="L5" s="793"/>
      <c r="M5" s="793"/>
      <c r="N5" s="793"/>
      <c r="P5" s="128" t="str">
        <f>+'Introducerea datelor'!F16</f>
        <v>Pînă la:</v>
      </c>
      <c r="Q5" s="449">
        <f>+IF(ISBLANK('Introducerea datelor'!G16),"",'Introducerea datelor'!G16)</f>
        <v>41639</v>
      </c>
      <c r="S5" s="192"/>
      <c r="T5" s="192"/>
      <c r="U5" s="192"/>
      <c r="V5" s="192"/>
      <c r="W5" s="192"/>
      <c r="X5" s="192"/>
      <c r="Y5" s="70"/>
      <c r="Z5" s="70"/>
      <c r="AA5" s="70" t="s">
        <v>23</v>
      </c>
      <c r="AB5" s="70"/>
      <c r="AC5" s="70" t="s">
        <v>214</v>
      </c>
      <c r="AD5" s="192"/>
      <c r="AE5" s="192"/>
      <c r="AF5" s="192"/>
      <c r="AG5" s="192"/>
      <c r="AH5" s="192"/>
      <c r="AI5" s="192"/>
    </row>
    <row r="6" spans="1:35" ht="15.75" customHeight="1">
      <c r="A6" s="406"/>
      <c r="B6" s="128"/>
      <c r="C6" s="128"/>
      <c r="D6" s="190"/>
      <c r="E6" s="190"/>
      <c r="F6" s="809" t="s">
        <v>403</v>
      </c>
      <c r="G6" s="809"/>
      <c r="H6" s="809"/>
      <c r="I6" s="809"/>
      <c r="J6" s="809"/>
      <c r="K6" s="809"/>
      <c r="L6" s="190"/>
      <c r="M6" s="3"/>
      <c r="N6" s="3"/>
      <c r="O6" s="169"/>
      <c r="P6" s="218"/>
      <c r="S6" s="192"/>
      <c r="T6" s="192"/>
      <c r="U6" s="192"/>
      <c r="V6" s="192"/>
      <c r="W6" s="192"/>
      <c r="X6" s="192"/>
      <c r="Y6" s="70"/>
      <c r="Z6" s="70"/>
      <c r="AA6" s="70"/>
      <c r="AB6" s="70"/>
      <c r="AC6" s="70"/>
      <c r="AD6" s="192"/>
      <c r="AE6" s="192"/>
      <c r="AF6" s="192"/>
      <c r="AG6" s="192"/>
      <c r="AH6" s="192"/>
      <c r="AI6" s="192"/>
    </row>
    <row r="7" spans="1:35" ht="3" customHeight="1">
      <c r="A7" s="406"/>
      <c r="B7" s="128"/>
      <c r="C7" s="128"/>
      <c r="D7" s="190"/>
      <c r="E7" s="190"/>
      <c r="F7" s="190"/>
      <c r="G7" s="190"/>
      <c r="H7" s="190"/>
      <c r="I7" s="190"/>
      <c r="J7" s="190"/>
      <c r="K7" s="190"/>
      <c r="L7" s="190"/>
      <c r="M7" s="3"/>
      <c r="N7" s="3"/>
      <c r="O7" s="169"/>
      <c r="P7" s="168"/>
      <c r="Q7" s="168"/>
      <c r="S7" s="192"/>
      <c r="T7" s="192"/>
      <c r="U7" s="192"/>
      <c r="V7" s="192"/>
      <c r="W7" s="192"/>
      <c r="X7" s="192"/>
      <c r="Y7" s="70"/>
      <c r="Z7" s="70"/>
      <c r="AA7" s="70"/>
      <c r="AB7" s="70"/>
      <c r="AC7" s="70"/>
      <c r="AD7" s="192"/>
      <c r="AE7" s="192"/>
      <c r="AF7" s="192"/>
      <c r="AG7" s="192"/>
      <c r="AH7" s="192"/>
      <c r="AI7" s="192"/>
    </row>
    <row r="8" spans="1:35" ht="42.75" customHeight="1">
      <c r="A8" s="406"/>
      <c r="B8" s="839" t="str">
        <f>+'Introducerea datelor'!B118</f>
        <v>Rata mortalităţii  - Numărul de decese cauzate de TB (toate formele) pe an, la 100,000 persoane</v>
      </c>
      <c r="C8" s="839"/>
      <c r="D8" s="839"/>
      <c r="E8" s="839"/>
      <c r="F8" s="839" t="str">
        <f>+'Introducerea datelor'!B120</f>
        <v xml:space="preserve">Numărul și procentul pacienţilor cu tuberculoză multirezistentă (confirmată în baza testului de laborator) tratați cu succes (care au urmat și terminat tratamentul), incluşi în tratamentul DOTS-Plus     </v>
      </c>
      <c r="G8" s="839"/>
      <c r="H8" s="839"/>
      <c r="I8" s="839"/>
      <c r="J8" s="839"/>
      <c r="K8" s="839"/>
      <c r="L8" s="808" t="str">
        <f>+'Introducerea datelor'!B122</f>
        <v>Prevalența TB MDR printre cazurile noi TB, %</v>
      </c>
      <c r="M8" s="808"/>
      <c r="N8" s="808"/>
      <c r="O8" s="808"/>
      <c r="P8" s="808"/>
      <c r="Q8" s="808"/>
      <c r="S8" s="192"/>
      <c r="T8" s="192"/>
      <c r="U8" s="192"/>
      <c r="V8" s="192"/>
      <c r="W8" s="192"/>
      <c r="X8" s="192"/>
      <c r="Y8" s="70"/>
      <c r="Z8" s="70"/>
      <c r="AA8" s="70"/>
      <c r="AB8" s="70"/>
      <c r="AC8" s="70"/>
      <c r="AD8" s="192"/>
      <c r="AE8" s="192"/>
      <c r="AF8" s="192"/>
      <c r="AG8" s="192"/>
      <c r="AH8" s="192"/>
      <c r="AI8" s="192"/>
    </row>
    <row r="9" spans="1:35" ht="161.25" customHeight="1">
      <c r="A9" s="406"/>
      <c r="B9" s="384" t="s">
        <v>398</v>
      </c>
      <c r="C9" s="970" t="s">
        <v>488</v>
      </c>
      <c r="D9" s="971"/>
      <c r="E9" s="972"/>
      <c r="F9" s="973" t="s">
        <v>399</v>
      </c>
      <c r="G9" s="974" t="s">
        <v>489</v>
      </c>
      <c r="H9" s="975"/>
      <c r="I9" s="975"/>
      <c r="J9" s="975"/>
      <c r="K9" s="976"/>
      <c r="L9" s="977" t="s">
        <v>400</v>
      </c>
      <c r="M9" s="974" t="s">
        <v>486</v>
      </c>
      <c r="N9" s="978"/>
      <c r="O9" s="978"/>
      <c r="P9" s="978"/>
      <c r="Q9" s="979"/>
      <c r="S9" s="503"/>
      <c r="T9" s="192"/>
      <c r="U9" s="192"/>
      <c r="V9" s="192"/>
      <c r="W9" s="192"/>
      <c r="X9" s="192"/>
      <c r="Y9" s="192"/>
      <c r="Z9" s="192"/>
      <c r="AA9" s="192"/>
      <c r="AB9" s="192"/>
      <c r="AC9" s="192"/>
      <c r="AD9" s="192"/>
      <c r="AE9" s="192"/>
      <c r="AF9" s="192"/>
      <c r="AG9" s="192"/>
      <c r="AH9" s="192"/>
      <c r="AI9" s="192"/>
    </row>
    <row r="10" spans="1:35" ht="18.75" customHeight="1">
      <c r="A10" s="406"/>
      <c r="B10" s="128"/>
      <c r="C10" s="128"/>
      <c r="D10" s="190"/>
      <c r="E10" s="190"/>
      <c r="F10" s="190"/>
      <c r="G10" s="190"/>
      <c r="H10" s="190"/>
      <c r="I10" s="190"/>
      <c r="J10" s="190"/>
      <c r="K10" s="190"/>
      <c r="L10" s="190"/>
      <c r="M10" s="3"/>
      <c r="N10" s="3"/>
      <c r="O10" s="169"/>
      <c r="P10" s="168"/>
      <c r="S10" s="192"/>
      <c r="T10" s="192"/>
      <c r="U10" s="192"/>
      <c r="V10" s="192"/>
      <c r="W10" s="192"/>
      <c r="X10" s="192"/>
      <c r="Y10" s="192"/>
      <c r="Z10" s="192"/>
      <c r="AA10" s="192"/>
      <c r="AB10" s="192"/>
      <c r="AC10" s="192"/>
      <c r="AD10" s="192"/>
      <c r="AE10" s="192"/>
      <c r="AF10" s="192"/>
      <c r="AG10" s="192"/>
      <c r="AH10" s="192"/>
      <c r="AI10" s="192"/>
    </row>
    <row r="11" spans="1:35" ht="18.75" customHeight="1">
      <c r="A11" s="406"/>
      <c r="B11" s="128"/>
      <c r="C11" s="128"/>
      <c r="D11" s="190"/>
      <c r="E11" s="190"/>
      <c r="F11" s="190"/>
      <c r="G11" s="190"/>
      <c r="H11" s="190"/>
      <c r="I11" s="190"/>
      <c r="J11" s="190"/>
      <c r="K11" s="190"/>
      <c r="L11" s="190"/>
      <c r="M11" s="3"/>
      <c r="N11" s="3"/>
      <c r="O11" s="169"/>
      <c r="P11" s="168"/>
      <c r="S11" s="192"/>
      <c r="T11" s="192"/>
      <c r="U11" s="192"/>
      <c r="V11" s="192"/>
      <c r="W11" s="192"/>
      <c r="X11" s="192"/>
      <c r="Y11" s="192"/>
      <c r="Z11" s="192"/>
      <c r="AA11" s="192"/>
      <c r="AB11" s="192"/>
      <c r="AC11" s="192"/>
      <c r="AD11" s="192"/>
      <c r="AE11" s="192"/>
      <c r="AF11" s="192"/>
      <c r="AG11" s="192"/>
      <c r="AH11" s="192"/>
      <c r="AI11" s="192"/>
    </row>
    <row r="12" spans="1:35" ht="18.75" customHeight="1">
      <c r="A12" s="406"/>
      <c r="B12" s="128"/>
      <c r="C12" s="128"/>
      <c r="D12" s="190"/>
      <c r="E12" s="190"/>
      <c r="F12" s="190"/>
      <c r="G12" s="190"/>
      <c r="H12" s="190"/>
      <c r="I12" s="190"/>
      <c r="J12" s="190"/>
      <c r="K12" s="190"/>
      <c r="L12" s="190"/>
      <c r="M12" s="3"/>
      <c r="N12" s="3"/>
      <c r="O12" s="169"/>
      <c r="P12" s="168"/>
      <c r="S12" s="192"/>
      <c r="T12" s="192"/>
      <c r="U12" s="192"/>
      <c r="V12" s="192"/>
      <c r="W12" s="192"/>
      <c r="X12" s="192"/>
      <c r="Y12" s="192"/>
      <c r="Z12" s="192"/>
      <c r="AA12" s="192"/>
      <c r="AB12" s="192"/>
      <c r="AC12" s="192"/>
      <c r="AD12" s="192"/>
      <c r="AE12" s="192"/>
      <c r="AF12" s="192"/>
      <c r="AG12" s="192"/>
      <c r="AH12" s="192"/>
      <c r="AI12" s="192"/>
    </row>
    <row r="13" spans="1:35" ht="18.75" customHeight="1">
      <c r="A13" s="406"/>
      <c r="B13" s="128"/>
      <c r="C13" s="128"/>
      <c r="D13" s="190"/>
      <c r="E13" s="190"/>
      <c r="F13" s="190"/>
      <c r="G13" s="190"/>
      <c r="H13" s="190"/>
      <c r="I13" s="190"/>
      <c r="J13" s="190"/>
      <c r="K13" s="190"/>
      <c r="L13" s="190"/>
      <c r="M13" s="3"/>
      <c r="N13" s="3"/>
      <c r="O13" s="169"/>
      <c r="P13" s="168"/>
      <c r="S13" s="192"/>
      <c r="T13" s="192"/>
      <c r="U13" s="192"/>
      <c r="V13" s="192"/>
      <c r="W13" s="192"/>
      <c r="X13" s="192"/>
      <c r="Y13" s="192"/>
      <c r="Z13" s="192"/>
      <c r="AA13" s="192"/>
      <c r="AB13" s="192"/>
      <c r="AC13" s="192"/>
      <c r="AD13" s="192"/>
      <c r="AE13" s="192"/>
      <c r="AF13" s="192"/>
      <c r="AG13" s="192"/>
      <c r="AH13" s="192"/>
      <c r="AI13" s="192"/>
    </row>
    <row r="14" spans="1:35" ht="18.75" customHeight="1">
      <c r="A14" s="406"/>
      <c r="B14" s="128"/>
      <c r="C14" s="128"/>
      <c r="D14" s="190"/>
      <c r="E14" s="190"/>
      <c r="F14" s="190"/>
      <c r="G14" s="190"/>
      <c r="H14" s="190"/>
      <c r="I14" s="190"/>
      <c r="J14" s="190"/>
      <c r="K14" s="190"/>
      <c r="L14" s="190"/>
      <c r="M14" s="3"/>
      <c r="N14" s="3"/>
      <c r="O14" s="169"/>
      <c r="P14" s="168"/>
      <c r="S14" s="192"/>
      <c r="T14" s="192"/>
      <c r="U14" s="192"/>
      <c r="V14" s="192"/>
      <c r="W14" s="192"/>
      <c r="X14" s="192"/>
      <c r="Y14" s="192"/>
      <c r="Z14" s="192"/>
      <c r="AA14" s="192"/>
      <c r="AB14" s="192"/>
      <c r="AC14" s="192"/>
      <c r="AD14" s="192"/>
      <c r="AE14" s="192"/>
      <c r="AF14" s="192"/>
      <c r="AG14" s="192"/>
      <c r="AH14" s="192"/>
      <c r="AI14" s="192"/>
    </row>
    <row r="15" spans="1:35" ht="18.75" customHeight="1">
      <c r="A15" s="406"/>
      <c r="B15" s="128"/>
      <c r="C15" s="128"/>
      <c r="D15" s="190"/>
      <c r="E15" s="190"/>
      <c r="F15" s="190"/>
      <c r="G15" s="190"/>
      <c r="H15" s="190"/>
      <c r="I15" s="190"/>
      <c r="J15" s="190"/>
      <c r="K15" s="190"/>
      <c r="L15" s="190"/>
      <c r="M15" s="3"/>
      <c r="N15" s="3"/>
      <c r="O15" s="169"/>
      <c r="P15" s="168"/>
      <c r="S15" s="192"/>
      <c r="T15" s="192"/>
      <c r="U15" s="192"/>
      <c r="V15" s="192"/>
      <c r="W15" s="192"/>
      <c r="X15" s="192"/>
      <c r="Y15" s="192"/>
      <c r="Z15" s="192"/>
      <c r="AA15" s="192"/>
      <c r="AB15" s="192"/>
      <c r="AC15" s="192"/>
      <c r="AD15" s="192"/>
      <c r="AE15" s="192"/>
      <c r="AF15" s="192"/>
      <c r="AG15" s="192"/>
      <c r="AH15" s="192"/>
      <c r="AI15" s="192"/>
    </row>
    <row r="16" spans="1:35" ht="18.75" customHeight="1">
      <c r="A16" s="406"/>
      <c r="B16" s="128"/>
      <c r="C16" s="128"/>
      <c r="D16" s="190"/>
      <c r="E16" s="190"/>
      <c r="F16" s="190"/>
      <c r="G16" s="190"/>
      <c r="H16" s="190"/>
      <c r="I16" s="190"/>
      <c r="J16" s="190"/>
      <c r="K16" s="190"/>
      <c r="L16" s="190"/>
      <c r="M16" s="3"/>
      <c r="N16" s="3"/>
      <c r="O16" s="169"/>
      <c r="P16" s="168"/>
      <c r="S16" s="192"/>
      <c r="T16" s="192"/>
      <c r="U16" s="192"/>
      <c r="V16" s="192"/>
      <c r="W16" s="192"/>
      <c r="X16" s="192"/>
      <c r="Y16" s="192"/>
      <c r="Z16" s="192"/>
      <c r="AA16" s="192"/>
      <c r="AB16" s="192"/>
      <c r="AC16" s="192"/>
      <c r="AD16" s="192"/>
      <c r="AE16" s="192"/>
      <c r="AF16" s="192"/>
      <c r="AG16" s="192"/>
      <c r="AH16" s="192"/>
      <c r="AI16" s="192"/>
    </row>
    <row r="17" spans="1:35" ht="17.25" customHeight="1">
      <c r="A17" s="406"/>
      <c r="B17" s="128"/>
      <c r="C17" s="128"/>
      <c r="D17" s="190"/>
      <c r="E17" s="190"/>
      <c r="F17" s="190"/>
      <c r="G17" s="190"/>
      <c r="H17" s="190"/>
      <c r="I17" s="190"/>
      <c r="J17" s="190"/>
      <c r="K17" s="190"/>
      <c r="L17" s="190"/>
      <c r="M17" s="3"/>
      <c r="N17" s="3"/>
      <c r="O17" s="169"/>
      <c r="P17" s="168"/>
      <c r="S17" s="192"/>
      <c r="T17" s="192"/>
      <c r="U17" s="192"/>
      <c r="V17" s="192"/>
      <c r="W17" s="192"/>
      <c r="X17" s="192"/>
      <c r="Y17" s="192"/>
      <c r="Z17" s="192"/>
      <c r="AA17" s="192"/>
      <c r="AB17" s="192"/>
      <c r="AC17" s="192"/>
      <c r="AD17" s="192"/>
      <c r="AE17" s="192"/>
      <c r="AF17" s="192"/>
      <c r="AG17" s="192"/>
      <c r="AH17" s="192"/>
      <c r="AI17" s="192"/>
    </row>
    <row r="18" spans="1:35" ht="6" customHeight="1">
      <c r="A18" s="406"/>
      <c r="B18" s="132"/>
      <c r="C18" s="128"/>
      <c r="D18" s="129"/>
      <c r="E18" s="822"/>
      <c r="F18" s="822"/>
      <c r="G18" s="822"/>
      <c r="H18" s="822"/>
      <c r="I18" s="822"/>
      <c r="J18" s="822"/>
      <c r="K18" s="822"/>
      <c r="L18" s="3"/>
      <c r="M18" s="3"/>
      <c r="N18" s="3"/>
      <c r="O18" s="3"/>
      <c r="P18" s="3"/>
      <c r="S18" s="192"/>
      <c r="T18" s="192"/>
      <c r="U18" s="192"/>
      <c r="V18" s="192"/>
      <c r="W18" s="192"/>
      <c r="X18" s="192"/>
      <c r="Y18" s="192"/>
      <c r="Z18" s="192"/>
      <c r="AA18" s="192"/>
      <c r="AB18" s="192"/>
      <c r="AC18" s="192"/>
      <c r="AD18" s="192"/>
      <c r="AE18" s="192"/>
      <c r="AF18" s="192"/>
      <c r="AG18" s="192"/>
      <c r="AH18" s="192"/>
      <c r="AI18" s="192"/>
    </row>
    <row r="19" spans="1:35" ht="24" customHeight="1">
      <c r="A19" s="406"/>
      <c r="B19" s="823" t="s">
        <v>401</v>
      </c>
      <c r="C19" s="823"/>
      <c r="D19" s="823"/>
      <c r="E19" s="138" t="s">
        <v>374</v>
      </c>
      <c r="F19" s="138" t="s">
        <v>375</v>
      </c>
      <c r="G19" s="818" t="s">
        <v>249</v>
      </c>
      <c r="H19" s="819"/>
      <c r="I19" s="820" t="s">
        <v>250</v>
      </c>
      <c r="J19" s="821"/>
      <c r="K19" s="280" t="s">
        <v>251</v>
      </c>
      <c r="L19" s="815" t="s">
        <v>402</v>
      </c>
      <c r="M19" s="816"/>
      <c r="N19" s="816"/>
      <c r="O19" s="816"/>
      <c r="P19" s="816"/>
      <c r="Q19" s="817"/>
      <c r="S19" s="64" t="s">
        <v>55</v>
      </c>
      <c r="T19" s="65">
        <v>0</v>
      </c>
      <c r="U19" s="66">
        <v>0.3</v>
      </c>
      <c r="V19" s="66">
        <v>0.6</v>
      </c>
      <c r="W19" s="66">
        <v>0.9</v>
      </c>
      <c r="X19" s="66">
        <v>1</v>
      </c>
      <c r="Y19" s="70"/>
      <c r="Z19" s="70"/>
      <c r="AA19" s="64" t="s">
        <v>55</v>
      </c>
      <c r="AB19" s="65">
        <v>0</v>
      </c>
      <c r="AC19" s="66">
        <v>0.2</v>
      </c>
      <c r="AD19" s="66">
        <v>0.4</v>
      </c>
      <c r="AE19" s="66">
        <v>0.6</v>
      </c>
      <c r="AF19" s="66">
        <v>0.8</v>
      </c>
      <c r="AG19" s="70"/>
      <c r="AH19" s="70"/>
      <c r="AI19" s="70"/>
    </row>
    <row r="20" spans="1:35" ht="78.75" customHeight="1">
      <c r="A20" s="446" t="s">
        <v>435</v>
      </c>
      <c r="B20" s="824" t="str">
        <f>+'Introducerea datelor'!B118</f>
        <v>Rata mortalităţii  - Numărul de decese cauzate de TB (toate formele) pe an, la 100,000 persoane</v>
      </c>
      <c r="C20" s="824"/>
      <c r="D20" s="824"/>
      <c r="E20" s="458">
        <f ca="1">OFFSET('Introducerea datelor'!$G$117,1,RIGHT('Introducerea datelor'!$C$16,LEN('Introducerea datelor'!$C$16)-1),1,1)</f>
        <v>11.6</v>
      </c>
      <c r="F20" s="458">
        <f ca="1">OFFSET('Introducerea datelor'!$G$117,2,RIGHT('Introducerea datelor'!$C$16,LEN('Introducerea datelor'!$C$16)-1),1,1)</f>
        <v>11.14</v>
      </c>
      <c r="G20" s="812">
        <f ca="1">+IF(ISERROR(E20/F20),0,E20/F20)</f>
        <v>1.0412926391382404</v>
      </c>
      <c r="H20" s="813"/>
      <c r="I20" s="813"/>
      <c r="J20" s="813"/>
      <c r="K20" s="814"/>
      <c r="L20" s="962" t="s">
        <v>487</v>
      </c>
      <c r="M20" s="963"/>
      <c r="N20" s="963"/>
      <c r="O20" s="963"/>
      <c r="P20" s="963"/>
      <c r="Q20" s="964"/>
      <c r="S20" s="64" t="s">
        <v>56</v>
      </c>
      <c r="T20" s="67">
        <v>0.3</v>
      </c>
      <c r="U20" s="66">
        <v>0.6</v>
      </c>
      <c r="V20" s="66">
        <v>0.9</v>
      </c>
      <c r="W20" s="66">
        <v>1</v>
      </c>
      <c r="X20" s="66">
        <v>2</v>
      </c>
      <c r="Y20" s="70"/>
      <c r="Z20" s="70"/>
      <c r="AA20" s="64" t="s">
        <v>56</v>
      </c>
      <c r="AB20" s="67">
        <v>0.2</v>
      </c>
      <c r="AC20" s="66">
        <v>0.4</v>
      </c>
      <c r="AD20" s="66">
        <v>0.6</v>
      </c>
      <c r="AE20" s="66">
        <v>0.8</v>
      </c>
      <c r="AF20" s="66">
        <v>1</v>
      </c>
      <c r="AG20" s="70"/>
      <c r="AH20" s="70"/>
      <c r="AI20" s="70"/>
    </row>
    <row r="21" spans="1:35" ht="106.5" customHeight="1">
      <c r="A21" s="446" t="s">
        <v>465</v>
      </c>
      <c r="B21" s="824" t="str">
        <f>+'Introducerea datelor'!B120</f>
        <v xml:space="preserve">Numărul și procentul pacienţilor cu tuberculoză multirezistentă (confirmată în baza testului de laborator) tratați cu succes (care au urmat și terminat tratamentul), incluşi în tratamentul DOTS-Plus     </v>
      </c>
      <c r="C21" s="824"/>
      <c r="D21" s="824"/>
      <c r="E21" s="458">
        <f ca="1">OFFSET('Introducerea datelor'!$G$117,3,RIGHT('Introducerea datelor'!$C$16,LEN('Introducerea datelor'!$C$16)-1),1,1)</f>
        <v>60</v>
      </c>
      <c r="F21" s="458">
        <f ca="1">OFFSET('Introducerea datelor'!$G$117,4,RIGHT('Introducerea datelor'!$C$16,LEN('Introducerea datelor'!$C$16)-1),1,1)</f>
        <v>49.3</v>
      </c>
      <c r="G21" s="812">
        <f ca="1">+IF(ISERROR(F21/E21),0,F21/E21)</f>
        <v>0.82166666666666666</v>
      </c>
      <c r="H21" s="813"/>
      <c r="I21" s="813"/>
      <c r="J21" s="813"/>
      <c r="K21" s="814"/>
      <c r="L21" s="962" t="s">
        <v>490</v>
      </c>
      <c r="M21" s="963"/>
      <c r="N21" s="963"/>
      <c r="O21" s="963"/>
      <c r="P21" s="963"/>
      <c r="Q21" s="964"/>
      <c r="S21" s="68"/>
      <c r="T21" s="69" t="str">
        <f>"de "&amp;T19&amp;" a "&amp;T20</f>
        <v>de 0 a 0,3</v>
      </c>
      <c r="U21" s="69" t="str">
        <f>"de "&amp;U19&amp;" a "&amp;U20</f>
        <v>de 0,3 a 0,6</v>
      </c>
      <c r="V21" s="69" t="str">
        <f>"de "&amp;V19&amp;" a "&amp;V20</f>
        <v>de 0,6 a 0,9</v>
      </c>
      <c r="W21" s="69" t="str">
        <f>"de "&amp;W19&amp;" a "&amp;W20</f>
        <v>de 0,9 a 1</v>
      </c>
      <c r="X21" s="69" t="str">
        <f>"de "&amp;X19&amp;" a "&amp;X20</f>
        <v>de 1 a 2</v>
      </c>
      <c r="Y21" s="70"/>
      <c r="Z21" s="70" t="s">
        <v>215</v>
      </c>
      <c r="AA21" s="68" t="s">
        <v>214</v>
      </c>
      <c r="AB21" s="69" t="str">
        <f>"de "&amp;AB19&amp;" a "&amp;AB20</f>
        <v>de 0 a 0,2</v>
      </c>
      <c r="AC21" s="69" t="str">
        <f>"de "&amp;AC19&amp;" a "&amp;AC20</f>
        <v>de 0,2 a 0,4</v>
      </c>
      <c r="AD21" s="69" t="str">
        <f>"de "&amp;AD19&amp;" a "&amp;AD20</f>
        <v>de 0,4 a 0,6</v>
      </c>
      <c r="AE21" s="69" t="str">
        <f>"de "&amp;AE19&amp;" a "&amp;AE20</f>
        <v>de 0,6 a 0,8</v>
      </c>
      <c r="AF21" s="69" t="str">
        <f>"de "&amp;AF19&amp;" a "&amp;AF20</f>
        <v>de 0,8 a 1</v>
      </c>
      <c r="AG21" s="70"/>
      <c r="AH21" s="70"/>
      <c r="AI21" s="70"/>
    </row>
    <row r="22" spans="1:35" ht="78.75" customHeight="1">
      <c r="A22" s="451" t="s">
        <v>463</v>
      </c>
      <c r="B22" s="824" t="str">
        <f>+'Introducerea datelor'!B122</f>
        <v>Prevalența TB MDR printre cazurile noi TB, %</v>
      </c>
      <c r="C22" s="824"/>
      <c r="D22" s="824"/>
      <c r="E22" s="458">
        <f ca="1">OFFSET('Introducerea datelor'!$G$117,5,RIGHT('Introducerea datelor'!$C$16,LEN('Introducerea datelor'!$C$16)-1),1,1)</f>
        <v>22</v>
      </c>
      <c r="F22" s="458">
        <f ca="1">OFFSET('Introducerea datelor'!$G$117,6,RIGHT('Introducerea datelor'!$C$16,LEN('Introducerea datelor'!$C$16)-1),1,1)</f>
        <v>24.8</v>
      </c>
      <c r="G22" s="812">
        <f ca="1">+IF(ISERROR(E22/F22),0,E22/F22)</f>
        <v>0.88709677419354838</v>
      </c>
      <c r="H22" s="813"/>
      <c r="I22" s="813"/>
      <c r="J22" s="813"/>
      <c r="K22" s="814"/>
      <c r="L22" s="962" t="s">
        <v>491</v>
      </c>
      <c r="M22" s="963"/>
      <c r="N22" s="963"/>
      <c r="O22" s="963"/>
      <c r="P22" s="963"/>
      <c r="Q22" s="964"/>
      <c r="S22" s="68"/>
      <c r="T22" s="66" t="e">
        <f t="shared" ref="T22:W33" si="0">IF($K20&gt;T$19,IF($K20&lt;=T$20,$K20,NA()),NA())</f>
        <v>#N/A</v>
      </c>
      <c r="U22" s="66" t="e">
        <f t="shared" si="0"/>
        <v>#N/A</v>
      </c>
      <c r="V22" s="66" t="e">
        <f t="shared" si="0"/>
        <v>#N/A</v>
      </c>
      <c r="W22" s="66" t="e">
        <f t="shared" si="0"/>
        <v>#N/A</v>
      </c>
      <c r="X22" s="66" t="e">
        <f>IF($K20&gt;X$19,IF($K20&lt;=X$20,1,NA()),NA())</f>
        <v>#N/A</v>
      </c>
      <c r="Y22" s="70"/>
      <c r="Z22" s="165" t="e">
        <f>+'Detail despre Grant'!#REF!</f>
        <v>#REF!</v>
      </c>
      <c r="AA22" s="66" t="e">
        <f>+IF(Z22="A1",1,IF(Z22="A2",0.8,IF(Z22="B1",0.6,IF(Z22="B2",0.4,0.2))))</f>
        <v>#REF!</v>
      </c>
      <c r="AB22" s="66" t="e">
        <f>IF($AA22&gt;AB$19,IF($AA22&lt;=AB$20,$AA22,NA()),NA())</f>
        <v>#REF!</v>
      </c>
      <c r="AC22" s="66" t="e">
        <f t="shared" ref="AC22:AF24" si="1">IF($AA22&gt;AC$19,IF($AA22&lt;=AC$20,$AA22,NA()),NA())</f>
        <v>#REF!</v>
      </c>
      <c r="AD22" s="66" t="e">
        <f t="shared" si="1"/>
        <v>#REF!</v>
      </c>
      <c r="AE22" s="66" t="e">
        <f t="shared" si="1"/>
        <v>#REF!</v>
      </c>
      <c r="AF22" s="66" t="e">
        <f t="shared" si="1"/>
        <v>#REF!</v>
      </c>
      <c r="AG22" s="70"/>
      <c r="AH22" s="70"/>
      <c r="AI22" s="70"/>
    </row>
    <row r="23" spans="1:35" ht="75" customHeight="1">
      <c r="A23" s="451" t="s">
        <v>466</v>
      </c>
      <c r="B23" s="824" t="str">
        <f>+'Introducerea datelor'!B124</f>
        <v xml:space="preserve">Prevalența TB-MDR printre cazurile TB anterior tratate, % </v>
      </c>
      <c r="C23" s="824"/>
      <c r="D23" s="824"/>
      <c r="E23" s="458">
        <f ca="1">OFFSET('Introducerea datelor'!$G$117,7,RIGHT('Introducerea datelor'!$C$16,LEN('Introducerea datelor'!$C$16)-1),1,1)</f>
        <v>57</v>
      </c>
      <c r="F23" s="458">
        <f ca="1">OFFSET('Introducerea datelor'!$G$117,8,RIGHT('Introducerea datelor'!$C$16,LEN('Introducerea datelor'!$C$16)-1),1,1)</f>
        <v>61.82</v>
      </c>
      <c r="G23" s="812">
        <f ca="1">+IF(ISERROR(E23/F23),0,E23/F23)</f>
        <v>0.92203170494985442</v>
      </c>
      <c r="H23" s="813"/>
      <c r="I23" s="813"/>
      <c r="J23" s="813"/>
      <c r="K23" s="814"/>
      <c r="L23" s="962" t="s">
        <v>492</v>
      </c>
      <c r="M23" s="963"/>
      <c r="N23" s="963"/>
      <c r="O23" s="963"/>
      <c r="P23" s="963"/>
      <c r="Q23" s="964"/>
      <c r="S23" s="68"/>
      <c r="T23" s="66" t="e">
        <f t="shared" si="0"/>
        <v>#N/A</v>
      </c>
      <c r="U23" s="66" t="e">
        <f t="shared" si="0"/>
        <v>#N/A</v>
      </c>
      <c r="V23" s="66" t="e">
        <f t="shared" si="0"/>
        <v>#N/A</v>
      </c>
      <c r="W23" s="66" t="e">
        <f t="shared" si="0"/>
        <v>#N/A</v>
      </c>
      <c r="X23" s="66" t="e">
        <f>IF($K21&gt;X$19,IF($K21&lt;=X$20,1,1),NA())</f>
        <v>#N/A</v>
      </c>
      <c r="Y23" s="70"/>
      <c r="Z23" s="165" t="e">
        <f>+'Detail despre Grant'!#REF!</f>
        <v>#REF!</v>
      </c>
      <c r="AA23" s="66" t="e">
        <f>+IF(Z23="A1",1,IF(Z23="A2",0.8,IF(Z23="B1",0.6,IF(Z23="B2",0.4,0.2))))</f>
        <v>#REF!</v>
      </c>
      <c r="AB23" s="66" t="e">
        <f>IF($AA23&gt;AB$19,IF($AA23&lt;=AB$20,$AA23,NA()),NA())</f>
        <v>#REF!</v>
      </c>
      <c r="AC23" s="66" t="e">
        <f t="shared" si="1"/>
        <v>#REF!</v>
      </c>
      <c r="AD23" s="66" t="e">
        <f t="shared" si="1"/>
        <v>#REF!</v>
      </c>
      <c r="AE23" s="66" t="e">
        <f t="shared" si="1"/>
        <v>#REF!</v>
      </c>
      <c r="AF23" s="66" t="e">
        <f t="shared" si="1"/>
        <v>#REF!</v>
      </c>
      <c r="AG23" s="70"/>
      <c r="AH23" s="70"/>
      <c r="AI23" s="70"/>
    </row>
    <row r="24" spans="1:35" ht="89.25" customHeight="1">
      <c r="A24" s="447">
        <v>1.1000000000000001</v>
      </c>
      <c r="B24" s="824" t="str">
        <f>+'Introducerea datelor'!B126</f>
        <v xml:space="preserve">Numărul pacienţilor cu tuberculoză multirezistentă (confirmată în baza testului de laborator) care beneficiază de tratamentul DOTS Plus             </v>
      </c>
      <c r="C24" s="824"/>
      <c r="D24" s="824"/>
      <c r="E24" s="428">
        <f ca="1">OFFSET('Introducerea datelor'!$G$117,9,RIGHT('Introducerea datelor'!$C$16,LEN('Introducerea datelor'!$C$16)-1),1,1)</f>
        <v>670</v>
      </c>
      <c r="F24" s="428">
        <f ca="1">OFFSET('Introducerea datelor'!$G$117,10,RIGHT('Introducerea datelor'!$C$16,LEN('Introducerea datelor'!$C$16)-1),1,1)</f>
        <v>898</v>
      </c>
      <c r="G24" s="812">
        <f ca="1">+IF(ISERROR(F24/E24),0,F24/E24)</f>
        <v>1.3402985074626865</v>
      </c>
      <c r="H24" s="813"/>
      <c r="I24" s="813"/>
      <c r="J24" s="813"/>
      <c r="K24" s="814"/>
      <c r="L24" s="962" t="s">
        <v>493</v>
      </c>
      <c r="M24" s="963"/>
      <c r="N24" s="963"/>
      <c r="O24" s="963"/>
      <c r="P24" s="963"/>
      <c r="Q24" s="964"/>
      <c r="S24" s="68"/>
      <c r="T24" s="66" t="e">
        <f t="shared" si="0"/>
        <v>#N/A</v>
      </c>
      <c r="U24" s="66" t="e">
        <f t="shared" si="0"/>
        <v>#N/A</v>
      </c>
      <c r="V24" s="66" t="e">
        <f t="shared" si="0"/>
        <v>#N/A</v>
      </c>
      <c r="W24" s="66" t="e">
        <f t="shared" si="0"/>
        <v>#N/A</v>
      </c>
      <c r="X24" s="66" t="e">
        <f t="shared" ref="X24:X33" si="2">IF($K22&gt;X$19,IF($K22&lt;=X$20,1,NA()),NA())</f>
        <v>#N/A</v>
      </c>
      <c r="Y24" s="70"/>
      <c r="Z24" s="165" t="e">
        <f>+'Detail despre Grant'!#REF!</f>
        <v>#REF!</v>
      </c>
      <c r="AA24" s="66" t="e">
        <f>+IF(Z24="A1",1,IF(Z24="A2",0.8,IF(Z24="B1",0.6,IF(Z24="B2",0.4,0.2))))</f>
        <v>#REF!</v>
      </c>
      <c r="AB24" s="66" t="e">
        <f>IF($AA24&gt;AB$19,IF($AA24&lt;=AB$20,$AA24,NA()),NA())</f>
        <v>#REF!</v>
      </c>
      <c r="AC24" s="66" t="e">
        <f t="shared" si="1"/>
        <v>#REF!</v>
      </c>
      <c r="AD24" s="66" t="e">
        <f t="shared" si="1"/>
        <v>#REF!</v>
      </c>
      <c r="AE24" s="66" t="e">
        <f t="shared" si="1"/>
        <v>#REF!</v>
      </c>
      <c r="AF24" s="66" t="e">
        <f t="shared" si="1"/>
        <v>#REF!</v>
      </c>
      <c r="AG24" s="70"/>
      <c r="AH24" s="70"/>
      <c r="AI24" s="70"/>
    </row>
    <row r="25" spans="1:35" ht="47.25" hidden="1" customHeight="1">
      <c r="A25" s="447">
        <v>1.4</v>
      </c>
      <c r="B25" s="824" t="str">
        <f>+'Introducerea datelor'!B126</f>
        <v xml:space="preserve">Numărul pacienţilor cu tuberculoză multirezistentă (confirmată în baza testului de laborator) care beneficiază de tratamentul DOTS Plus             </v>
      </c>
      <c r="C25" s="824"/>
      <c r="D25" s="824"/>
      <c r="E25" s="458">
        <f ca="1">OFFSET('Introducerea datelor'!$G$117,11,RIGHT('Introducerea datelor'!$C$16,LEN('Introducerea datelor'!$C$16)-1),1,1)</f>
        <v>67.5</v>
      </c>
      <c r="F25" s="458">
        <f ca="1">OFFSET('Introducerea datelor'!$G$117,12,RIGHT('Introducerea datelor'!$C$16,LEN('Introducerea datelor'!$C$16)-1),1,1)</f>
        <v>68.959999999999994</v>
      </c>
      <c r="G25" s="812">
        <f ca="1">+IF(ISERROR(F25/E25),0,F25/E25)</f>
        <v>1.0216296296296294</v>
      </c>
      <c r="H25" s="813"/>
      <c r="I25" s="813"/>
      <c r="J25" s="813"/>
      <c r="K25" s="814"/>
      <c r="L25" s="965" t="s">
        <v>446</v>
      </c>
      <c r="M25" s="965"/>
      <c r="N25" s="965"/>
      <c r="O25" s="965"/>
      <c r="P25" s="965"/>
      <c r="Q25" s="965"/>
      <c r="S25" s="68"/>
      <c r="T25" s="66" t="e">
        <f t="shared" si="0"/>
        <v>#N/A</v>
      </c>
      <c r="U25" s="66" t="e">
        <f t="shared" si="0"/>
        <v>#N/A</v>
      </c>
      <c r="V25" s="66" t="e">
        <f t="shared" si="0"/>
        <v>#N/A</v>
      </c>
      <c r="W25" s="66" t="e">
        <f t="shared" si="0"/>
        <v>#N/A</v>
      </c>
      <c r="X25" s="66" t="e">
        <f t="shared" si="2"/>
        <v>#N/A</v>
      </c>
      <c r="Y25" s="70"/>
      <c r="Z25" s="70"/>
      <c r="AA25" s="70"/>
      <c r="AB25" s="70"/>
      <c r="AC25" s="70"/>
      <c r="AD25" s="70"/>
      <c r="AE25" s="70"/>
      <c r="AF25" s="70"/>
      <c r="AG25" s="70"/>
      <c r="AH25" s="70"/>
      <c r="AI25" s="70"/>
    </row>
    <row r="26" spans="1:35" ht="51" customHeight="1">
      <c r="A26" s="447">
        <v>1.2</v>
      </c>
      <c r="B26" s="835" t="str">
        <f>+'Introducerea datelor'!B128</f>
        <v xml:space="preserve">Rezultatul interimar al tratamentului cazurilor MDR-TB, rata interimară a succesului  </v>
      </c>
      <c r="C26" s="836"/>
      <c r="D26" s="837"/>
      <c r="E26" s="458">
        <f ca="1">OFFSET('Introducerea datelor'!$G$117,11,RIGHT('Introducerea datelor'!$C$16,LEN('Introducerea datelor'!$C$16)-1),1,1)</f>
        <v>67.5</v>
      </c>
      <c r="F26" s="458">
        <f ca="1">OFFSET('Introducerea datelor'!$G$117,12,RIGHT('Introducerea datelor'!$C$16,LEN('Introducerea datelor'!$C$16)-1),1,1)</f>
        <v>68.959999999999994</v>
      </c>
      <c r="G26" s="812">
        <f ca="1">+IF(ISERROR(F25/E25),0,F25/E25)</f>
        <v>1.0216296296296294</v>
      </c>
      <c r="H26" s="813"/>
      <c r="I26" s="813"/>
      <c r="J26" s="813"/>
      <c r="K26" s="814"/>
      <c r="L26" s="966" t="s">
        <v>483</v>
      </c>
      <c r="M26" s="967"/>
      <c r="N26" s="967"/>
      <c r="O26" s="967"/>
      <c r="P26" s="967"/>
      <c r="Q26" s="968"/>
      <c r="S26" s="68"/>
      <c r="T26" s="66"/>
      <c r="U26" s="66"/>
      <c r="V26" s="66"/>
      <c r="W26" s="66"/>
      <c r="X26" s="66"/>
      <c r="Y26" s="70"/>
      <c r="Z26" s="70"/>
      <c r="AA26" s="70"/>
      <c r="AB26" s="70"/>
      <c r="AC26" s="70"/>
      <c r="AD26" s="70"/>
      <c r="AE26" s="70"/>
      <c r="AF26" s="70"/>
      <c r="AG26" s="70"/>
      <c r="AH26" s="70"/>
      <c r="AI26" s="70"/>
    </row>
    <row r="27" spans="1:35" ht="65.25" customHeight="1">
      <c r="A27" s="447">
        <v>1.3</v>
      </c>
      <c r="B27" s="824" t="str">
        <f>+'Introducerea datelor'!B130</f>
        <v>Rezultatul interimar de abandon al tratamentului cazurilor MDR-TB</v>
      </c>
      <c r="C27" s="824"/>
      <c r="D27" s="824"/>
      <c r="E27" s="458">
        <f ca="1">OFFSET('Introducerea datelor'!$G$117,13,RIGHT('Introducerea datelor'!$C$16,LEN('Introducerea datelor'!$C$16)-1),1,1)</f>
        <v>8.1</v>
      </c>
      <c r="F27" s="459">
        <f ca="1">OFFSET('Introducerea datelor'!$G$117,14,RIGHT('Introducerea datelor'!$C$16,LEN('Introducerea datelor'!$C$16)-1),1,1)</f>
        <v>7.5</v>
      </c>
      <c r="G27" s="812">
        <f ca="1">+IF(ISERROR(E27/F27),0,E27/F27)</f>
        <v>1.0799999999999998</v>
      </c>
      <c r="H27" s="813"/>
      <c r="I27" s="813"/>
      <c r="J27" s="813"/>
      <c r="K27" s="814"/>
      <c r="L27" s="965" t="s">
        <v>484</v>
      </c>
      <c r="M27" s="965"/>
      <c r="N27" s="965"/>
      <c r="O27" s="965"/>
      <c r="P27" s="965"/>
      <c r="Q27" s="965"/>
      <c r="S27" s="68"/>
      <c r="T27" s="66" t="e">
        <f t="shared" ref="T27:W28" si="3">IF($K24&gt;T$19,IF($K24&lt;=T$20,$K24,NA()),NA())</f>
        <v>#N/A</v>
      </c>
      <c r="U27" s="66" t="e">
        <f t="shared" si="3"/>
        <v>#N/A</v>
      </c>
      <c r="V27" s="66" t="e">
        <f t="shared" si="3"/>
        <v>#N/A</v>
      </c>
      <c r="W27" s="66" t="e">
        <f t="shared" si="3"/>
        <v>#N/A</v>
      </c>
      <c r="X27" s="66" t="e">
        <f>IF($K24&gt;X$19,IF($K24&lt;=X$20,1,NA()),NA())</f>
        <v>#N/A</v>
      </c>
      <c r="Y27" s="70"/>
      <c r="Z27" s="70"/>
      <c r="AA27" s="70"/>
      <c r="AB27" s="70"/>
      <c r="AC27" s="70"/>
      <c r="AD27" s="70"/>
      <c r="AE27" s="70"/>
      <c r="AF27" s="70"/>
      <c r="AG27" s="70"/>
      <c r="AH27" s="70"/>
      <c r="AI27" s="70"/>
    </row>
    <row r="28" spans="1:35" ht="59.25" customHeight="1">
      <c r="A28" s="447">
        <v>2.1</v>
      </c>
      <c r="B28" s="835" t="str">
        <f>+'Introducerea datelor'!B132</f>
        <v>Procentul deținuților testați pentru TB, la echipamentul radiologic digital mobil MRP</v>
      </c>
      <c r="C28" s="836"/>
      <c r="D28" s="837"/>
      <c r="E28" s="458">
        <f ca="1">OFFSET('Introducerea datelor'!$G$117,15,RIGHT('Introducerea datelor'!$C$16,LEN('Introducerea datelor'!$C$16)-1),1,1)</f>
        <v>95</v>
      </c>
      <c r="F28" s="458">
        <f ca="1">OFFSET('Introducerea datelor'!$G$117,16,RIGHT('Introducerea datelor'!$C$16,LEN('Introducerea datelor'!$C$16)-1),1,1)</f>
        <v>98.7</v>
      </c>
      <c r="G28" s="812">
        <f ca="1">+IF(ISERROR(F28/E28),0,F28/E28)</f>
        <v>1.0389473684210526</v>
      </c>
      <c r="H28" s="813"/>
      <c r="I28" s="813"/>
      <c r="J28" s="813"/>
      <c r="K28" s="814"/>
      <c r="L28" s="965" t="s">
        <v>494</v>
      </c>
      <c r="M28" s="965"/>
      <c r="N28" s="965"/>
      <c r="O28" s="965"/>
      <c r="P28" s="965"/>
      <c r="Q28" s="965"/>
      <c r="S28" s="68"/>
      <c r="T28" s="66" t="e">
        <f t="shared" si="3"/>
        <v>#N/A</v>
      </c>
      <c r="U28" s="66" t="e">
        <f t="shared" si="3"/>
        <v>#N/A</v>
      </c>
      <c r="V28" s="66" t="e">
        <f t="shared" si="3"/>
        <v>#N/A</v>
      </c>
      <c r="W28" s="66" t="e">
        <f t="shared" si="3"/>
        <v>#N/A</v>
      </c>
      <c r="X28" s="66" t="e">
        <f>IF($K25&gt;X$19,IF($K25&lt;=X$20,1,NA()),NA())</f>
        <v>#N/A</v>
      </c>
      <c r="Y28" s="70"/>
      <c r="Z28" s="70"/>
      <c r="AA28" s="70"/>
      <c r="AB28" s="70"/>
      <c r="AC28" s="70"/>
      <c r="AD28" s="70"/>
      <c r="AE28" s="70"/>
      <c r="AF28" s="70"/>
      <c r="AG28" s="70"/>
      <c r="AH28" s="70"/>
      <c r="AI28" s="70"/>
    </row>
    <row r="29" spans="1:35" ht="40.5" hidden="1" customHeight="1">
      <c r="A29" s="447"/>
      <c r="B29" s="838"/>
      <c r="C29" s="838"/>
      <c r="D29" s="838"/>
      <c r="E29" s="458">
        <f ca="1">OFFSET('Introducerea datelor'!$G$117,17,RIGHT('Introducerea datelor'!$C$16,LEN('Introducerea datelor'!$C$16)-1),1,1)</f>
        <v>0</v>
      </c>
      <c r="F29" s="458">
        <f ca="1">OFFSET('Introducerea datelor'!$G$117,18,RIGHT('Introducerea datelor'!$C$16,LEN('Introducerea datelor'!$C$16)-1),1,1)</f>
        <v>0</v>
      </c>
      <c r="G29" s="830">
        <f ca="1">+IF(ISERROR(F29/E29),0,F29/E29)</f>
        <v>0</v>
      </c>
      <c r="H29" s="831"/>
      <c r="I29" s="831"/>
      <c r="J29" s="831"/>
      <c r="K29" s="832"/>
      <c r="L29" s="966"/>
      <c r="M29" s="967"/>
      <c r="N29" s="967"/>
      <c r="O29" s="967"/>
      <c r="P29" s="967"/>
      <c r="Q29" s="968"/>
      <c r="S29" s="68"/>
      <c r="T29" s="66" t="e">
        <f t="shared" si="0"/>
        <v>#N/A</v>
      </c>
      <c r="U29" s="66" t="e">
        <f t="shared" si="0"/>
        <v>#N/A</v>
      </c>
      <c r="V29" s="66" t="e">
        <f t="shared" si="0"/>
        <v>#N/A</v>
      </c>
      <c r="W29" s="66" t="e">
        <f t="shared" si="0"/>
        <v>#N/A</v>
      </c>
      <c r="X29" s="66" t="e">
        <f t="shared" si="2"/>
        <v>#N/A</v>
      </c>
      <c r="Y29" s="70"/>
      <c r="Z29" s="70"/>
      <c r="AA29" s="70"/>
      <c r="AB29" s="70"/>
      <c r="AC29" s="70"/>
      <c r="AD29" s="70"/>
      <c r="AE29" s="70"/>
      <c r="AF29" s="70"/>
      <c r="AG29" s="70"/>
      <c r="AH29" s="70"/>
      <c r="AI29" s="70"/>
    </row>
    <row r="30" spans="1:35" ht="22.5" customHeight="1">
      <c r="A30" s="406"/>
      <c r="B30" s="834"/>
      <c r="C30" s="834"/>
      <c r="D30" s="834"/>
      <c r="E30" s="834"/>
      <c r="F30" s="833"/>
      <c r="G30" s="833"/>
      <c r="H30" s="833"/>
      <c r="I30" s="833"/>
      <c r="J30" s="833"/>
      <c r="K30" s="833"/>
      <c r="L30" s="969"/>
      <c r="M30" s="969"/>
      <c r="N30" s="969"/>
      <c r="O30" s="969"/>
      <c r="P30" s="969"/>
      <c r="Q30" s="957"/>
      <c r="S30" s="68"/>
      <c r="T30" s="66" t="e">
        <f>IF($K29&gt;T$19,IF($K29&lt;=T$20,$K29,NA()),NA())</f>
        <v>#N/A</v>
      </c>
      <c r="U30" s="66" t="e">
        <f>IF($K29&gt;U$19,IF($K29&lt;=U$20,$K29,NA()),NA())</f>
        <v>#N/A</v>
      </c>
      <c r="V30" s="66" t="e">
        <f>IF($K29&gt;V$19,IF($K29&lt;=V$20,$K29,NA()),NA())</f>
        <v>#N/A</v>
      </c>
      <c r="W30" s="66" t="e">
        <f>IF($K29&gt;W$19,IF($K29&lt;=W$20,$K29,NA()),NA())</f>
        <v>#N/A</v>
      </c>
      <c r="X30" s="66" t="e">
        <f>IF($K29&gt;X$19,IF($K29&lt;=X$20,1,NA()),NA())</f>
        <v>#N/A</v>
      </c>
      <c r="Y30" s="70"/>
      <c r="Z30" s="70"/>
      <c r="AA30" s="70"/>
      <c r="AB30" s="70"/>
      <c r="AC30" s="70"/>
      <c r="AD30" s="70"/>
      <c r="AE30" s="70"/>
      <c r="AF30" s="70"/>
      <c r="AG30" s="70"/>
      <c r="AH30" s="70"/>
      <c r="AI30" s="70"/>
    </row>
    <row r="31" spans="1:35" ht="22.5" customHeight="1">
      <c r="A31" s="406"/>
      <c r="B31" s="826"/>
      <c r="C31" s="826"/>
      <c r="D31" s="826"/>
      <c r="E31" s="827"/>
      <c r="F31" s="828"/>
      <c r="G31" s="829"/>
      <c r="H31" s="829"/>
      <c r="I31" s="829"/>
      <c r="J31" s="829"/>
      <c r="K31" s="827"/>
      <c r="L31" s="828"/>
      <c r="M31" s="829"/>
      <c r="N31" s="829"/>
      <c r="O31" s="829"/>
      <c r="P31" s="829"/>
      <c r="S31" s="68"/>
      <c r="T31" s="66" t="e">
        <f>IF(#REF!&gt;T$19,IF(#REF!&lt;=T$20,#REF!,NA()),NA())</f>
        <v>#REF!</v>
      </c>
      <c r="U31" s="66" t="e">
        <f>IF(#REF!&gt;U$19,IF(#REF!&lt;=U$20,#REF!,NA()),NA())</f>
        <v>#REF!</v>
      </c>
      <c r="V31" s="66" t="e">
        <f>IF(#REF!&gt;V$19,IF(#REF!&lt;=V$20,#REF!,NA()),NA())</f>
        <v>#REF!</v>
      </c>
      <c r="W31" s="66" t="e">
        <f>IF(#REF!&gt;W$19,IF(#REF!&lt;=W$20,#REF!,NA()),NA())</f>
        <v>#REF!</v>
      </c>
      <c r="X31" s="66" t="e">
        <f>IF(#REF!&gt;X$19,IF(#REF!&lt;=X$20,1,NA()),NA())</f>
        <v>#REF!</v>
      </c>
      <c r="Y31" s="70"/>
      <c r="Z31" s="70"/>
      <c r="AA31" s="70"/>
      <c r="AB31" s="70"/>
      <c r="AC31" s="70"/>
      <c r="AD31" s="70"/>
      <c r="AE31" s="70"/>
      <c r="AF31" s="70"/>
      <c r="AG31" s="70"/>
      <c r="AH31" s="70"/>
      <c r="AI31" s="70"/>
    </row>
    <row r="32" spans="1:35">
      <c r="A32" s="406"/>
      <c r="B32" s="193"/>
      <c r="C32" s="193"/>
      <c r="D32" s="193"/>
      <c r="E32" s="410"/>
      <c r="F32" s="410"/>
      <c r="G32" s="193"/>
      <c r="H32" s="194"/>
      <c r="I32" s="193"/>
      <c r="J32" s="193"/>
      <c r="K32" s="193"/>
      <c r="L32" s="193"/>
      <c r="M32" s="193"/>
      <c r="N32" s="193"/>
      <c r="O32" s="193"/>
      <c r="P32" s="193"/>
      <c r="S32" s="68"/>
      <c r="T32" s="66" t="e">
        <f t="shared" si="0"/>
        <v>#N/A</v>
      </c>
      <c r="U32" s="66" t="e">
        <f t="shared" si="0"/>
        <v>#N/A</v>
      </c>
      <c r="V32" s="66" t="e">
        <f t="shared" si="0"/>
        <v>#N/A</v>
      </c>
      <c r="W32" s="66" t="e">
        <f t="shared" si="0"/>
        <v>#N/A</v>
      </c>
      <c r="X32" s="66" t="e">
        <f t="shared" si="2"/>
        <v>#N/A</v>
      </c>
      <c r="Y32" s="70"/>
      <c r="Z32" s="70"/>
      <c r="AA32" s="70"/>
      <c r="AB32" s="70"/>
      <c r="AC32" s="70"/>
      <c r="AD32" s="70"/>
      <c r="AE32" s="70"/>
      <c r="AF32" s="70"/>
      <c r="AG32" s="70"/>
      <c r="AH32" s="70"/>
      <c r="AI32" s="70"/>
    </row>
    <row r="33" spans="1:35">
      <c r="A33" s="406"/>
      <c r="B33" s="825"/>
      <c r="C33" s="825"/>
      <c r="D33" s="825"/>
      <c r="E33" s="825"/>
      <c r="F33" s="825"/>
      <c r="G33" s="825"/>
      <c r="H33" s="825"/>
      <c r="I33" s="825"/>
      <c r="J33" s="825"/>
      <c r="K33" s="825"/>
      <c r="L33" s="193"/>
      <c r="M33" s="193"/>
      <c r="N33" s="193"/>
      <c r="O33" s="193"/>
      <c r="P33" s="193"/>
      <c r="S33" s="68"/>
      <c r="T33" s="66" t="e">
        <f t="shared" si="0"/>
        <v>#N/A</v>
      </c>
      <c r="U33" s="66" t="e">
        <f t="shared" si="0"/>
        <v>#N/A</v>
      </c>
      <c r="V33" s="66" t="e">
        <f t="shared" si="0"/>
        <v>#N/A</v>
      </c>
      <c r="W33" s="66" t="e">
        <f t="shared" si="0"/>
        <v>#N/A</v>
      </c>
      <c r="X33" s="66" t="e">
        <f t="shared" si="2"/>
        <v>#N/A</v>
      </c>
      <c r="Y33" s="70"/>
      <c r="Z33" s="70"/>
      <c r="AA33" s="70"/>
      <c r="AB33" s="70"/>
      <c r="AC33" s="70"/>
      <c r="AD33" s="70"/>
      <c r="AE33" s="70"/>
      <c r="AF33" s="70"/>
      <c r="AG33" s="70"/>
      <c r="AH33" s="70"/>
      <c r="AI33" s="70"/>
    </row>
    <row r="34" spans="1:35">
      <c r="A34" s="406"/>
      <c r="B34" s="825"/>
      <c r="C34" s="825"/>
      <c r="D34" s="825"/>
      <c r="E34" s="825"/>
      <c r="F34" s="825"/>
      <c r="G34" s="825"/>
      <c r="H34" s="825"/>
      <c r="I34" s="825"/>
      <c r="J34" s="825"/>
      <c r="K34" s="825"/>
      <c r="L34" s="193"/>
      <c r="M34" s="193"/>
      <c r="N34" s="193"/>
      <c r="O34" s="193"/>
      <c r="P34" s="193"/>
      <c r="S34" s="70"/>
      <c r="T34" s="70"/>
      <c r="U34" s="70"/>
      <c r="V34" s="70"/>
      <c r="W34" s="70"/>
      <c r="X34" s="70"/>
      <c r="Y34" s="70"/>
      <c r="Z34" s="70"/>
      <c r="AA34" s="70"/>
      <c r="AB34" s="70"/>
      <c r="AC34" s="70"/>
      <c r="AD34" s="70"/>
      <c r="AE34" s="70"/>
      <c r="AF34" s="70"/>
      <c r="AG34" s="70"/>
      <c r="AH34" s="70"/>
      <c r="AI34" s="70"/>
    </row>
    <row r="35" spans="1:35">
      <c r="A35" s="406"/>
      <c r="B35" s="3"/>
      <c r="C35" s="3"/>
      <c r="D35" s="3"/>
      <c r="E35" s="409"/>
      <c r="F35" s="409"/>
      <c r="G35" s="3"/>
      <c r="H35" s="3"/>
      <c r="I35" s="98"/>
      <c r="J35" s="98"/>
      <c r="K35" s="98"/>
      <c r="L35" s="3"/>
      <c r="M35" s="3"/>
      <c r="N35" s="3"/>
      <c r="O35" s="3"/>
      <c r="P35" s="3"/>
      <c r="S35" s="70"/>
      <c r="T35" s="70"/>
      <c r="U35" s="70"/>
      <c r="V35" s="70"/>
      <c r="W35" s="70"/>
      <c r="X35" s="70"/>
      <c r="Y35" s="70"/>
      <c r="Z35" s="70"/>
      <c r="AA35" s="70"/>
      <c r="AB35" s="70"/>
      <c r="AC35" s="70"/>
      <c r="AD35" s="70"/>
      <c r="AE35" s="70"/>
      <c r="AF35" s="70"/>
      <c r="AG35" s="70"/>
      <c r="AH35" s="70"/>
      <c r="AI35" s="70"/>
    </row>
    <row r="36" spans="1:35">
      <c r="A36" s="406"/>
      <c r="B36" s="3"/>
      <c r="C36" s="3"/>
      <c r="D36" s="3"/>
      <c r="E36" s="409"/>
      <c r="F36" s="409"/>
      <c r="G36" s="3"/>
      <c r="H36" s="3"/>
      <c r="I36" s="139"/>
      <c r="J36" s="140"/>
      <c r="K36" s="140"/>
      <c r="L36" s="3"/>
      <c r="M36" s="3"/>
      <c r="N36" s="3"/>
      <c r="O36" s="3"/>
      <c r="P36" s="3"/>
      <c r="S36" s="70"/>
      <c r="T36" s="70"/>
      <c r="U36" s="70"/>
      <c r="V36" s="70"/>
      <c r="W36" s="70"/>
      <c r="X36" s="70"/>
      <c r="Y36" s="70"/>
      <c r="Z36" s="70"/>
      <c r="AA36" s="70"/>
      <c r="AB36" s="70"/>
      <c r="AC36" s="70"/>
      <c r="AD36" s="70"/>
      <c r="AE36" s="70"/>
      <c r="AF36" s="70"/>
      <c r="AG36" s="70"/>
      <c r="AH36" s="70"/>
      <c r="AI36" s="70"/>
    </row>
    <row r="37" spans="1:35">
      <c r="A37" s="406"/>
      <c r="B37" s="3"/>
      <c r="C37" s="3"/>
      <c r="D37" s="3"/>
      <c r="E37" s="409"/>
      <c r="F37" s="409"/>
      <c r="G37" s="3"/>
      <c r="H37" s="3"/>
      <c r="I37" s="141"/>
      <c r="J37" s="142"/>
      <c r="K37" s="100"/>
      <c r="L37" s="3"/>
      <c r="M37" s="3"/>
      <c r="N37" s="3"/>
      <c r="O37" s="3"/>
      <c r="P37" s="3"/>
      <c r="S37" s="70"/>
      <c r="T37" s="70"/>
      <c r="U37" s="70"/>
      <c r="V37" s="70"/>
      <c r="W37" s="70"/>
      <c r="X37" s="70"/>
      <c r="Y37" s="70"/>
      <c r="Z37" s="70"/>
      <c r="AA37" s="70"/>
      <c r="AB37" s="70"/>
      <c r="AC37" s="70"/>
      <c r="AD37" s="70"/>
      <c r="AE37" s="70"/>
      <c r="AF37" s="70"/>
      <c r="AG37" s="70"/>
      <c r="AH37" s="70"/>
      <c r="AI37" s="70"/>
    </row>
    <row r="38" spans="1:35">
      <c r="A38" s="406"/>
      <c r="B38" s="3"/>
      <c r="C38" s="3"/>
      <c r="D38" s="3"/>
      <c r="E38" s="409"/>
      <c r="F38" s="409"/>
      <c r="G38" s="3"/>
      <c r="H38" s="3"/>
      <c r="I38" s="143"/>
      <c r="J38" s="142"/>
      <c r="K38" s="100"/>
      <c r="L38" s="3"/>
      <c r="M38" s="3"/>
      <c r="N38" s="3"/>
      <c r="O38" s="3"/>
      <c r="P38" s="3"/>
      <c r="S38" s="70"/>
      <c r="T38" s="70"/>
      <c r="U38" s="70"/>
      <c r="V38" s="70"/>
      <c r="W38" s="70"/>
      <c r="X38" s="70"/>
      <c r="Y38" s="70"/>
      <c r="Z38" s="70"/>
      <c r="AA38" s="70"/>
      <c r="AB38" s="70"/>
      <c r="AC38" s="70"/>
      <c r="AD38" s="70"/>
      <c r="AE38" s="70"/>
      <c r="AF38" s="70"/>
      <c r="AG38" s="70"/>
      <c r="AH38" s="70"/>
      <c r="AI38" s="70"/>
    </row>
    <row r="39" spans="1:35">
      <c r="A39" s="406"/>
      <c r="B39" s="3"/>
      <c r="C39" s="3"/>
      <c r="D39" s="3"/>
      <c r="E39" s="409"/>
      <c r="F39" s="409"/>
      <c r="G39" s="3"/>
      <c r="H39" s="3"/>
      <c r="I39" s="141"/>
      <c r="J39" s="142"/>
      <c r="K39" s="100"/>
      <c r="L39" s="3"/>
      <c r="M39" s="3"/>
      <c r="N39" s="3"/>
      <c r="O39" s="3"/>
      <c r="P39" s="3"/>
      <c r="S39" s="70"/>
      <c r="T39" s="70"/>
      <c r="U39" s="70"/>
      <c r="V39" s="70"/>
      <c r="W39" s="70"/>
      <c r="X39" s="70"/>
      <c r="Y39" s="70"/>
      <c r="Z39" s="70"/>
      <c r="AA39" s="70"/>
      <c r="AB39" s="70"/>
      <c r="AC39" s="70"/>
      <c r="AD39" s="70"/>
      <c r="AE39" s="70"/>
      <c r="AF39" s="70"/>
      <c r="AG39" s="70"/>
      <c r="AH39" s="70"/>
      <c r="AI39" s="70"/>
    </row>
    <row r="40" spans="1:35">
      <c r="A40" s="406"/>
      <c r="B40" s="3"/>
      <c r="C40" s="3"/>
      <c r="D40" s="3"/>
      <c r="E40" s="409"/>
      <c r="F40" s="409"/>
      <c r="G40" s="3"/>
      <c r="H40" s="3"/>
      <c r="I40" s="3"/>
      <c r="J40" s="3"/>
      <c r="K40" s="3"/>
      <c r="L40" s="3"/>
      <c r="M40" s="3"/>
      <c r="N40" s="3"/>
      <c r="O40" s="3"/>
      <c r="P40" s="3"/>
      <c r="S40" s="70"/>
      <c r="T40" s="70"/>
      <c r="U40" s="70"/>
      <c r="V40" s="70"/>
      <c r="W40" s="70"/>
      <c r="X40" s="70"/>
      <c r="Y40" s="70"/>
      <c r="Z40" s="70"/>
      <c r="AA40" s="70"/>
      <c r="AB40" s="70"/>
      <c r="AC40" s="70"/>
      <c r="AD40" s="70"/>
      <c r="AE40" s="70"/>
      <c r="AF40" s="70"/>
      <c r="AG40" s="70"/>
      <c r="AH40" s="70"/>
      <c r="AI40" s="70"/>
    </row>
    <row r="41" spans="1:35">
      <c r="A41" s="406"/>
      <c r="B41" s="3"/>
      <c r="C41" s="3"/>
      <c r="D41" s="3"/>
      <c r="E41" s="409"/>
      <c r="F41" s="409"/>
      <c r="G41" s="3"/>
      <c r="H41" s="3"/>
      <c r="I41" s="3"/>
      <c r="J41" s="3"/>
      <c r="K41" s="3"/>
      <c r="L41" s="3"/>
      <c r="M41" s="3"/>
      <c r="N41" s="3"/>
      <c r="O41" s="3"/>
      <c r="P41" s="3"/>
      <c r="S41" s="70"/>
      <c r="T41" s="70"/>
      <c r="U41" s="70"/>
      <c r="V41" s="70"/>
      <c r="W41" s="70"/>
      <c r="X41" s="70"/>
      <c r="Y41" s="70"/>
      <c r="Z41" s="70"/>
      <c r="AA41" s="70"/>
      <c r="AB41" s="70"/>
      <c r="AC41" s="70"/>
      <c r="AD41" s="70"/>
      <c r="AE41" s="70"/>
      <c r="AF41" s="70"/>
      <c r="AG41" s="70"/>
      <c r="AH41" s="70"/>
      <c r="AI41" s="70"/>
    </row>
    <row r="42" spans="1:35">
      <c r="A42" s="406"/>
      <c r="B42" s="3"/>
      <c r="C42" s="3"/>
      <c r="D42" s="3"/>
      <c r="E42" s="409"/>
      <c r="F42" s="409"/>
      <c r="G42" s="3"/>
      <c r="H42" s="3"/>
      <c r="I42" s="3"/>
      <c r="J42" s="3"/>
      <c r="K42" s="3"/>
      <c r="L42" s="3"/>
      <c r="M42" s="3"/>
      <c r="N42" s="3"/>
      <c r="O42" s="3"/>
      <c r="P42" s="3"/>
      <c r="S42" s="63"/>
      <c r="T42" s="63"/>
      <c r="U42" s="63"/>
      <c r="V42" s="63"/>
      <c r="W42" s="63"/>
      <c r="X42" s="63"/>
      <c r="Y42" s="63"/>
      <c r="Z42" s="63"/>
      <c r="AA42" s="63"/>
      <c r="AB42" s="63"/>
    </row>
    <row r="43" spans="1:35">
      <c r="S43" s="63"/>
      <c r="T43" s="63"/>
      <c r="U43" s="63"/>
      <c r="V43" s="63"/>
      <c r="W43" s="63"/>
      <c r="X43" s="63"/>
      <c r="Y43" s="63"/>
      <c r="Z43" s="63"/>
      <c r="AA43" s="63"/>
      <c r="AB43" s="63"/>
    </row>
    <row r="44" spans="1:35">
      <c r="S44" s="63"/>
      <c r="T44" s="63"/>
      <c r="U44" s="63"/>
      <c r="V44" s="63"/>
      <c r="W44" s="63"/>
      <c r="X44" s="63"/>
      <c r="Y44" s="63"/>
      <c r="Z44" s="63"/>
      <c r="AA44" s="63"/>
      <c r="AB44" s="63"/>
    </row>
    <row r="45" spans="1:35">
      <c r="S45" s="63"/>
      <c r="T45" s="63"/>
      <c r="U45" s="63"/>
      <c r="V45" s="63"/>
      <c r="W45" s="63"/>
      <c r="X45" s="63"/>
      <c r="Y45" s="63"/>
      <c r="Z45" s="63"/>
      <c r="AA45" s="63"/>
      <c r="AB45" s="63"/>
    </row>
    <row r="46" spans="1:35">
      <c r="S46" s="63"/>
      <c r="T46" s="63"/>
      <c r="U46" s="63"/>
      <c r="V46" s="63"/>
      <c r="W46" s="63"/>
      <c r="X46" s="63"/>
      <c r="Y46" s="63"/>
      <c r="Z46" s="63"/>
      <c r="AA46" s="63"/>
      <c r="AB46" s="63"/>
    </row>
  </sheetData>
  <mergeCells count="58">
    <mergeCell ref="C9:E9"/>
    <mergeCell ref="G9:K9"/>
    <mergeCell ref="M9:Q9"/>
    <mergeCell ref="C3:D3"/>
    <mergeCell ref="E4:L4"/>
    <mergeCell ref="B8:E8"/>
    <mergeCell ref="F8:K8"/>
    <mergeCell ref="N3:P3"/>
    <mergeCell ref="F30:K30"/>
    <mergeCell ref="B30:E30"/>
    <mergeCell ref="B28:D28"/>
    <mergeCell ref="B29:D29"/>
    <mergeCell ref="G26:K26"/>
    <mergeCell ref="B26:D26"/>
    <mergeCell ref="B27:D27"/>
    <mergeCell ref="G28:K28"/>
    <mergeCell ref="L31:P31"/>
    <mergeCell ref="L20:Q20"/>
    <mergeCell ref="L21:Q21"/>
    <mergeCell ref="L22:Q22"/>
    <mergeCell ref="L29:Q29"/>
    <mergeCell ref="L30:P30"/>
    <mergeCell ref="L23:Q23"/>
    <mergeCell ref="L24:Q24"/>
    <mergeCell ref="L28:Q28"/>
    <mergeCell ref="E18:K18"/>
    <mergeCell ref="B19:D19"/>
    <mergeCell ref="B20:D20"/>
    <mergeCell ref="G20:K20"/>
    <mergeCell ref="B33:D34"/>
    <mergeCell ref="E33:G34"/>
    <mergeCell ref="H33:K34"/>
    <mergeCell ref="B23:D23"/>
    <mergeCell ref="B24:D24"/>
    <mergeCell ref="B25:D25"/>
    <mergeCell ref="B22:D22"/>
    <mergeCell ref="G21:K21"/>
    <mergeCell ref="B31:E31"/>
    <mergeCell ref="F31:K31"/>
    <mergeCell ref="B21:D21"/>
    <mergeCell ref="G29:K29"/>
    <mergeCell ref="G23:K23"/>
    <mergeCell ref="G24:K24"/>
    <mergeCell ref="G25:K25"/>
    <mergeCell ref="G27:K27"/>
    <mergeCell ref="L19:Q19"/>
    <mergeCell ref="L25:Q25"/>
    <mergeCell ref="L27:Q27"/>
    <mergeCell ref="G22:K22"/>
    <mergeCell ref="G19:H19"/>
    <mergeCell ref="I19:J19"/>
    <mergeCell ref="L26:Q26"/>
    <mergeCell ref="B2:Q2"/>
    <mergeCell ref="D5:N5"/>
    <mergeCell ref="L8:Q8"/>
    <mergeCell ref="F6:K6"/>
    <mergeCell ref="E3:K3"/>
    <mergeCell ref="C4:D4"/>
  </mergeCells>
  <phoneticPr fontId="23" type="noConversion"/>
  <conditionalFormatting sqref="C4:D4">
    <cfRule type="cellIs" dxfId="11" priority="56" stopIfTrue="1" operator="equal">
      <formula>"C"</formula>
    </cfRule>
    <cfRule type="cellIs" dxfId="10" priority="57" stopIfTrue="1" operator="equal">
      <formula>"B2"</formula>
    </cfRule>
    <cfRule type="cellIs" dxfId="9" priority="58" stopIfTrue="1" operator="equal">
      <formula>"B1"</formula>
    </cfRule>
  </conditionalFormatting>
  <conditionalFormatting sqref="G20:G29">
    <cfRule type="cellIs" dxfId="8" priority="62" stopIfTrue="1" operator="between">
      <formula>0</formula>
      <formula>0.599</formula>
    </cfRule>
    <cfRule type="cellIs" dxfId="7" priority="63" stopIfTrue="1" operator="between">
      <formula>0.6</formula>
      <formula>0.899</formula>
    </cfRule>
    <cfRule type="cellIs" dxfId="6" priority="64" stopIfTrue="1" operator="greaterThanOrEqual">
      <formula>0.9</formula>
    </cfRule>
  </conditionalFormatting>
  <pageMargins left="0.70866141732283472" right="0.70866141732283472" top="0.74803149606299213" bottom="0.74803149606299213" header="0.31496062992125984" footer="0.31496062992125984"/>
  <pageSetup paperSize="9" scale="51" orientation="portrait" r:id="rId1"/>
  <headerFooter alignWithMargins="0">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T42"/>
  <sheetViews>
    <sheetView showGridLines="0" view="pageBreakPreview" topLeftCell="A25" zoomScale="75" zoomScaleNormal="90" zoomScaleSheetLayoutView="75" workbookViewId="0">
      <selection activeCell="Q39" sqref="Q39"/>
    </sheetView>
  </sheetViews>
  <sheetFormatPr defaultRowHeight="11.25"/>
  <cols>
    <col min="1" max="1" width="1.140625" style="30" customWidth="1"/>
    <col min="2" max="2" width="19.28515625" style="30" customWidth="1"/>
    <col min="3" max="3" width="1.140625" style="30" customWidth="1"/>
    <col min="4" max="4" width="17.140625" style="30" customWidth="1"/>
    <col min="5" max="5" width="17.5703125" style="30" customWidth="1"/>
    <col min="6" max="6" width="9.7109375" style="30" customWidth="1"/>
    <col min="7" max="7" width="38.140625" style="30" customWidth="1"/>
    <col min="8" max="8" width="4.28515625" style="30" customWidth="1"/>
    <col min="9" max="9" width="15.85546875" style="30" customWidth="1"/>
    <col min="10" max="10" width="3.5703125" style="30" customWidth="1"/>
    <col min="11" max="11" width="7.5703125" style="31" customWidth="1"/>
    <col min="12" max="12" width="14.28515625" style="30" customWidth="1"/>
    <col min="13" max="13" width="12" style="30" customWidth="1"/>
    <col min="14" max="14" width="5.42578125" style="30" customWidth="1"/>
    <col min="15" max="15" width="2.5703125" style="30" customWidth="1"/>
    <col min="16" max="16384" width="9.140625" style="30"/>
  </cols>
  <sheetData>
    <row r="1" spans="1:15" ht="38.25" customHeight="1">
      <c r="A1" s="145"/>
      <c r="B1" s="145"/>
      <c r="C1" s="145"/>
      <c r="D1" s="145"/>
      <c r="E1" s="145"/>
      <c r="F1" s="145"/>
      <c r="G1" s="145"/>
      <c r="H1" s="145"/>
      <c r="I1" s="145"/>
      <c r="J1" s="145"/>
      <c r="K1" s="146"/>
      <c r="L1" s="145"/>
      <c r="M1" s="145"/>
      <c r="N1" s="145"/>
    </row>
    <row r="2" spans="1:15" customFormat="1" ht="27.75" customHeight="1">
      <c r="A2" s="3"/>
      <c r="B2" s="807" t="str">
        <f>+"Tabel Programatic de evaluare:  "&amp;"  "&amp;IF(+'Introducerea datelor'!C4="Please Select","",'Introducerea datelor'!C4&amp;" - ")&amp;IF('Introducerea datelor'!G6="Please Select","",'Introducerea datelor'!G6)</f>
        <v>Tabel Programatic de evaluare:    Moldova - TB</v>
      </c>
      <c r="C2" s="807"/>
      <c r="D2" s="807"/>
      <c r="E2" s="807"/>
      <c r="F2" s="807"/>
      <c r="G2" s="807"/>
      <c r="H2" s="807"/>
      <c r="I2" s="807"/>
      <c r="J2" s="807"/>
      <c r="K2" s="807"/>
      <c r="L2" s="807"/>
      <c r="M2" s="807"/>
      <c r="N2" s="807"/>
      <c r="O2" s="72"/>
    </row>
    <row r="3" spans="1:15" customFormat="1" ht="18.75">
      <c r="A3" s="3"/>
      <c r="B3" s="128" t="str">
        <f>+IF('Introducerea datelor'!G8="Please Select","",'Introducerea datelor'!G8)</f>
        <v/>
      </c>
      <c r="C3" s="794" t="str">
        <f>+IF('Introducerea datelor'!I8="Please Select","",'Introducerea datelor'!I8)</f>
        <v>Faza 2</v>
      </c>
      <c r="D3" s="794"/>
      <c r="E3" s="395"/>
      <c r="F3" s="395"/>
      <c r="G3" s="395"/>
      <c r="H3" s="395"/>
      <c r="I3" s="395"/>
      <c r="J3" s="395"/>
      <c r="K3" s="395"/>
      <c r="L3" s="128" t="str">
        <f>+'Introducerea datelor'!B16</f>
        <v>Perioada de Raportare:</v>
      </c>
      <c r="M3" s="167" t="str">
        <f>+'Introducerea datelor'!C16</f>
        <v>P2</v>
      </c>
      <c r="N3" s="167"/>
      <c r="O3" s="30"/>
    </row>
    <row r="4" spans="1:15" customFormat="1" ht="15">
      <c r="A4" s="3"/>
      <c r="B4" s="128" t="str">
        <f>+'Introducerea datelor'!B12</f>
        <v>Ultimul Rating:</v>
      </c>
      <c r="C4" s="811" t="str">
        <f>+IF('Introducerea datelor'!C12="Please Select","",'Introducerea datelor'!C12)</f>
        <v>A1</v>
      </c>
      <c r="D4" s="811"/>
      <c r="E4" s="793" t="str">
        <f>+'Introducerea datelor'!C8</f>
        <v>IP UCIMP RSS</v>
      </c>
      <c r="F4" s="793"/>
      <c r="G4" s="793"/>
      <c r="H4" s="793"/>
      <c r="I4" s="793"/>
      <c r="J4" s="793"/>
      <c r="K4" s="793"/>
      <c r="L4" s="128" t="str">
        <f>+'Introducerea datelor'!D16</f>
        <v>De la:</v>
      </c>
      <c r="M4" s="168">
        <f>+IF(ISBLANK('Introducerea datelor'!E16),"",'Introducerea datelor'!E16)</f>
        <v>41456</v>
      </c>
      <c r="N4" s="168"/>
      <c r="O4" s="30"/>
    </row>
    <row r="5" spans="1:15" customFormat="1" ht="18.75" customHeight="1">
      <c r="A5" s="3"/>
      <c r="B5" s="128"/>
      <c r="C5" s="128"/>
      <c r="D5" s="129"/>
      <c r="E5" s="793" t="str">
        <f>+'Introducerea datelor'!G4</f>
        <v>Consolidarea controlului Tuberculozei în Republica Moldova</v>
      </c>
      <c r="F5" s="793"/>
      <c r="G5" s="793"/>
      <c r="H5" s="793"/>
      <c r="I5" s="793"/>
      <c r="J5" s="793"/>
      <c r="K5" s="793"/>
      <c r="L5" s="128" t="str">
        <f>+'Introducerea datelor'!F16</f>
        <v>Pînă la:</v>
      </c>
      <c r="M5" s="168">
        <f>+IF(ISBLANK('Introducerea datelor'!G16),"",'Introducerea datelor'!G16)</f>
        <v>41639</v>
      </c>
      <c r="N5" s="168"/>
    </row>
    <row r="6" spans="1:15" customFormat="1" ht="22.5" customHeight="1">
      <c r="A6" s="3"/>
      <c r="B6" s="133"/>
      <c r="C6" s="134"/>
      <c r="D6" s="135"/>
      <c r="E6" s="861" t="s">
        <v>404</v>
      </c>
      <c r="F6" s="861"/>
      <c r="G6" s="861"/>
      <c r="H6" s="861"/>
      <c r="I6" s="861"/>
      <c r="J6" s="861"/>
      <c r="K6" s="861"/>
      <c r="L6" s="2"/>
      <c r="M6" s="2"/>
      <c r="N6" s="2"/>
    </row>
    <row r="7" spans="1:15" s="32" customFormat="1" ht="4.5" customHeight="1">
      <c r="A7" s="147"/>
      <c r="B7" s="148"/>
      <c r="C7" s="148"/>
      <c r="D7" s="148"/>
      <c r="E7" s="148"/>
      <c r="F7" s="148"/>
      <c r="G7" s="148"/>
      <c r="H7" s="148"/>
      <c r="I7" s="148"/>
      <c r="J7" s="148"/>
      <c r="K7" s="148"/>
      <c r="L7" s="149"/>
      <c r="M7" s="149"/>
      <c r="N7" s="150"/>
    </row>
    <row r="8" spans="1:15" s="32" customFormat="1" ht="21" customHeight="1" thickBot="1">
      <c r="A8" s="147"/>
      <c r="B8" s="860" t="s">
        <v>410</v>
      </c>
      <c r="C8" s="860"/>
      <c r="D8" s="860"/>
      <c r="E8" s="860"/>
      <c r="F8" s="860"/>
      <c r="G8" s="860"/>
      <c r="H8" s="860"/>
      <c r="I8" s="860"/>
      <c r="J8" s="860"/>
      <c r="K8" s="860"/>
      <c r="L8" s="860"/>
      <c r="M8" s="860"/>
      <c r="N8" s="860"/>
    </row>
    <row r="9" spans="1:15" s="32" customFormat="1" ht="3.75" customHeight="1" thickBot="1">
      <c r="A9" s="147"/>
      <c r="B9" s="148"/>
      <c r="C9" s="148"/>
      <c r="D9" s="148"/>
      <c r="E9" s="148"/>
      <c r="F9" s="148"/>
      <c r="G9" s="148"/>
      <c r="H9" s="148"/>
      <c r="I9" s="148"/>
      <c r="J9" s="148"/>
      <c r="K9" s="148"/>
      <c r="L9" s="149"/>
      <c r="M9" s="149"/>
      <c r="N9" s="150"/>
    </row>
    <row r="10" spans="1:15" s="33" customFormat="1" ht="25.5" customHeight="1" thickBot="1">
      <c r="A10" s="151"/>
      <c r="B10" s="854" t="s">
        <v>405</v>
      </c>
      <c r="C10" s="853"/>
      <c r="D10" s="841" t="s">
        <v>406</v>
      </c>
      <c r="E10" s="842"/>
      <c r="F10" s="842"/>
      <c r="G10" s="843"/>
      <c r="H10" s="152"/>
      <c r="I10" s="841" t="s">
        <v>404</v>
      </c>
      <c r="J10" s="842"/>
      <c r="K10" s="842"/>
      <c r="L10" s="842"/>
      <c r="M10" s="842"/>
      <c r="N10" s="843"/>
    </row>
    <row r="11" spans="1:15" s="33" customFormat="1" ht="28.5" customHeight="1">
      <c r="A11" s="151"/>
      <c r="B11" s="415" t="s">
        <v>58</v>
      </c>
      <c r="C11" s="416"/>
      <c r="D11" s="980" t="str">
        <f>IF(ISBLANK(Financiar!C9),"",(Financiar!C9))</f>
        <v xml:space="preserve">Fondul Global a debursat în avans intreaga sumă a grantului </v>
      </c>
      <c r="E11" s="980"/>
      <c r="F11" s="980"/>
      <c r="G11" s="981"/>
      <c r="H11" s="982"/>
      <c r="I11" s="855"/>
      <c r="J11" s="856"/>
      <c r="K11" s="856"/>
      <c r="L11" s="856"/>
      <c r="M11" s="856"/>
      <c r="N11" s="857"/>
    </row>
    <row r="12" spans="1:15" s="33" customFormat="1" ht="128.25" customHeight="1">
      <c r="A12" s="151"/>
      <c r="B12" s="419" t="s">
        <v>59</v>
      </c>
      <c r="C12" s="420"/>
      <c r="D12" s="983" t="str">
        <f>IF(ISBLANK(Financiar!C23),"",(Financiar!C23))</f>
        <v>În perioada raportată activităţile implementate în cadrul celor două obiective -  1: Fortificarea implicării comunității și a parteneriatelor pentru un control eficient al TB prin ameliorarea diagnosticului de TB prin identificare și screening activ (ameliorarea diagnosticului TB în sectorul penitenciar prin suportul efectuării screening-ului deținuților la TB) și 2: Asigurarea accesului universal la diagnosticul şi tratamentul cazurilor de TB drogrezistentă, au facut posibile obţinerea unor economii în suma totala de 484,5 mii EUR, care au fost propuse CNC şi aprobate de către acesta şi de către Secretaritul FG pentru utilizarea la procurarea cantităţilor adiţionale de medicamente antituberculoase de linia a doua pentru un număr suplimentar de 60 pacienţi cu TB-MDR.</v>
      </c>
      <c r="E12" s="983"/>
      <c r="F12" s="983"/>
      <c r="G12" s="984"/>
      <c r="H12" s="982"/>
      <c r="I12" s="855"/>
      <c r="J12" s="856"/>
      <c r="K12" s="856"/>
      <c r="L12" s="856"/>
      <c r="M12" s="856"/>
      <c r="N12" s="857"/>
    </row>
    <row r="13" spans="1:15" s="33" customFormat="1" ht="69" customHeight="1">
      <c r="A13" s="151"/>
      <c r="B13" s="419" t="s">
        <v>60</v>
      </c>
      <c r="C13" s="420"/>
      <c r="D13" s="983" t="str">
        <f>IF(ISBLANK(Financiar!I9),"",(Financiar!I9))</f>
        <v>RP are angajamente financiare în volum de aprx. 23,2 mii EUR în mare parte pentru achitarea consumabilelor și reactivelor pentru investigațiile de cultură, DST și HEPA filtrelor pentru boxele de protecţie a personalului din Laboratoarele de Referinţă; și salariile restante pentru o lună a personalului de la Depozitul IFP şi şoferilor pentru transportarea sputei.</v>
      </c>
      <c r="E13" s="983"/>
      <c r="F13" s="983"/>
      <c r="G13" s="984"/>
      <c r="H13" s="982"/>
      <c r="I13" s="855"/>
      <c r="J13" s="856"/>
      <c r="K13" s="856"/>
      <c r="L13" s="856"/>
      <c r="M13" s="856"/>
      <c r="N13" s="857"/>
    </row>
    <row r="14" spans="1:15" s="33" customFormat="1" ht="39.75" customHeight="1" thickBot="1">
      <c r="A14" s="151"/>
      <c r="B14" s="417" t="s">
        <v>61</v>
      </c>
      <c r="C14" s="418"/>
      <c r="D14" s="985" t="str">
        <f>IF(ISBLANK(Financiar!I23),"",(Financiar!I23))</f>
        <v>Raportul de Progres pentru semestrul II.2013 a fost remis către Agentul Local şi Secretariatul Fondului Global la 21 Februarie 2014.</v>
      </c>
      <c r="E14" s="985"/>
      <c r="F14" s="985"/>
      <c r="G14" s="986"/>
      <c r="H14" s="982"/>
      <c r="I14" s="862"/>
      <c r="J14" s="863"/>
      <c r="K14" s="863"/>
      <c r="L14" s="863"/>
      <c r="M14" s="863"/>
      <c r="N14" s="864"/>
    </row>
    <row r="15" spans="1:15" s="33" customFormat="1" ht="4.5" customHeight="1">
      <c r="A15" s="151"/>
      <c r="B15" s="156"/>
      <c r="C15" s="157"/>
      <c r="D15" s="987"/>
      <c r="E15" s="987"/>
      <c r="F15" s="987"/>
      <c r="G15" s="987"/>
      <c r="H15" s="982"/>
      <c r="I15" s="988"/>
      <c r="J15" s="988"/>
      <c r="K15" s="988"/>
      <c r="L15" s="988"/>
      <c r="M15" s="988"/>
      <c r="N15" s="988"/>
      <c r="O15" s="74"/>
    </row>
    <row r="16" spans="1:15" s="32" customFormat="1" ht="21" customHeight="1" thickBot="1">
      <c r="A16" s="147"/>
      <c r="B16" s="860" t="s">
        <v>409</v>
      </c>
      <c r="C16" s="860"/>
      <c r="D16" s="860"/>
      <c r="E16" s="860"/>
      <c r="F16" s="860"/>
      <c r="G16" s="860"/>
      <c r="H16" s="860"/>
      <c r="I16" s="860"/>
      <c r="J16" s="860"/>
      <c r="K16" s="860"/>
      <c r="L16" s="860"/>
      <c r="M16" s="860"/>
      <c r="N16" s="860"/>
    </row>
    <row r="17" spans="1:20" s="33" customFormat="1" ht="3.75" customHeight="1" thickBot="1">
      <c r="A17" s="151"/>
      <c r="B17" s="989"/>
      <c r="C17" s="154"/>
      <c r="D17" s="990"/>
      <c r="E17" s="991"/>
      <c r="F17" s="992"/>
      <c r="G17" s="992"/>
      <c r="H17" s="993"/>
      <c r="I17" s="155"/>
      <c r="J17" s="994"/>
      <c r="K17" s="995"/>
      <c r="L17" s="996"/>
      <c r="M17" s="153"/>
      <c r="N17" s="997"/>
    </row>
    <row r="18" spans="1:20" s="33" customFormat="1" ht="22.5" customHeight="1" thickBot="1">
      <c r="A18" s="151"/>
      <c r="B18" s="998" t="s">
        <v>57</v>
      </c>
      <c r="C18" s="999"/>
      <c r="D18" s="865" t="s">
        <v>406</v>
      </c>
      <c r="E18" s="866"/>
      <c r="F18" s="866"/>
      <c r="G18" s="867"/>
      <c r="H18" s="1000"/>
      <c r="I18" s="858" t="s">
        <v>404</v>
      </c>
      <c r="J18" s="859"/>
      <c r="K18" s="859"/>
      <c r="L18" s="859"/>
      <c r="M18" s="1001"/>
      <c r="N18" s="1001"/>
    </row>
    <row r="19" spans="1:20" s="33" customFormat="1" ht="45.75" customHeight="1">
      <c r="A19" s="151"/>
      <c r="B19" s="421" t="s">
        <v>66</v>
      </c>
      <c r="C19" s="422"/>
      <c r="D19" s="1002" t="str">
        <f>IF(ISBLANK(Management!C8),"",(Management!C8))</f>
        <v>Totae cele patru condiții precedente stipulate în Acordul de Grant au fost îndeplinite de către RP</v>
      </c>
      <c r="E19" s="1002"/>
      <c r="F19" s="1002"/>
      <c r="G19" s="1003"/>
      <c r="H19" s="1004"/>
      <c r="I19" s="844"/>
      <c r="J19" s="845"/>
      <c r="K19" s="845"/>
      <c r="L19" s="845"/>
      <c r="M19" s="845"/>
      <c r="N19" s="846"/>
    </row>
    <row r="20" spans="1:20" ht="31.5" customHeight="1">
      <c r="A20" s="145"/>
      <c r="B20" s="425" t="s">
        <v>67</v>
      </c>
      <c r="C20" s="426"/>
      <c r="D20" s="983" t="str">
        <f>IF(ISBLANK(Management!I8),"",(Management!I8))</f>
        <v>Nu sunt posturi libere în cadrul echipei ce gestionează Grantul Consolidat TB</v>
      </c>
      <c r="E20" s="983" t="e">
        <f>+'Introducerea datelor'!D73/'Introducerea datelor'!G73</f>
        <v>#DIV/0!</v>
      </c>
      <c r="F20" s="983" t="e">
        <f>+('Introducerea datelor'!E73+'Introducerea datelor'!F73)/'Introducerea datelor'!G73</f>
        <v>#DIV/0!</v>
      </c>
      <c r="G20" s="1005"/>
      <c r="H20" s="1004"/>
      <c r="I20" s="850"/>
      <c r="J20" s="851"/>
      <c r="K20" s="851"/>
      <c r="L20" s="851"/>
      <c r="M20" s="851"/>
      <c r="N20" s="852"/>
      <c r="O20" s="34"/>
    </row>
    <row r="21" spans="1:20" ht="44.25" customHeight="1">
      <c r="A21" s="145"/>
      <c r="B21" s="427" t="s">
        <v>68</v>
      </c>
      <c r="C21" s="426"/>
      <c r="D21" s="983" t="str">
        <f>IF(ISBLANK(Management!C16),"",(Management!C16))</f>
        <v>În perioada doi de implementare a Grantului Consolidat IP UCIMP RSS nu are aranjamentele contractuale cu SR pentru realizarea activităților în perioada raportată</v>
      </c>
      <c r="E21" s="983"/>
      <c r="F21" s="983"/>
      <c r="G21" s="1005"/>
      <c r="H21" s="1004"/>
      <c r="I21" s="850"/>
      <c r="J21" s="851"/>
      <c r="K21" s="851"/>
      <c r="L21" s="851"/>
      <c r="M21" s="851"/>
      <c r="N21" s="852"/>
      <c r="O21" s="34"/>
    </row>
    <row r="22" spans="1:20" ht="29.25" customHeight="1">
      <c r="A22" s="145"/>
      <c r="B22" s="427" t="s">
        <v>69</v>
      </c>
      <c r="C22" s="426"/>
      <c r="D22" s="983" t="str">
        <f>IF(ISBLANK(Management!I16),"",(Management!I16))</f>
        <v>N/A</v>
      </c>
      <c r="E22" s="983"/>
      <c r="F22" s="983"/>
      <c r="G22" s="1005"/>
      <c r="H22" s="1004"/>
      <c r="I22" s="850"/>
      <c r="J22" s="851"/>
      <c r="K22" s="851"/>
      <c r="L22" s="851"/>
      <c r="M22" s="851"/>
      <c r="N22" s="852"/>
      <c r="O22" s="34"/>
    </row>
    <row r="23" spans="1:20" ht="48.75" customHeight="1">
      <c r="A23" s="145"/>
      <c r="B23" s="427" t="s">
        <v>70</v>
      </c>
      <c r="C23" s="426"/>
      <c r="D23" s="983" t="str">
        <f>IF(ISBLANK(Management!C27),"",(Management!C27))</f>
        <v>RP are angajamente financiare semnate în volum de aprx. 21 mii EUR pentru achitarea consumabilelor și reactivelor pentru investigațiile de cultură, DST și HEPA filtrelor pentru boxele de protecţie a personalului din Laboratoarele de Referinţă.</v>
      </c>
      <c r="E23" s="983"/>
      <c r="F23" s="983"/>
      <c r="G23" s="1005"/>
      <c r="H23" s="1004"/>
      <c r="I23" s="850"/>
      <c r="J23" s="851"/>
      <c r="K23" s="851"/>
      <c r="L23" s="851"/>
      <c r="M23" s="851"/>
      <c r="N23" s="852"/>
      <c r="O23" s="34"/>
    </row>
    <row r="24" spans="1:20" ht="102" customHeight="1" thickBot="1">
      <c r="A24" s="145"/>
      <c r="B24" s="423" t="s">
        <v>71</v>
      </c>
      <c r="C24" s="424"/>
      <c r="D24" s="1006" t="str">
        <f>IF(ISBLANK(Management!I27),"",(Management!I27))</f>
        <v>Analiza stocului (la data de 31 decembrie 2013) a medicamentelor de linia a II, a numărului de pacienți în tratament la aceeași dată, precum si a livrarilor planificate arata prezența unui stock buffer între 5 și 11 luni ce previne riscul lipsei de preparate.</v>
      </c>
      <c r="E24" s="1006"/>
      <c r="F24" s="1006"/>
      <c r="G24" s="1007"/>
      <c r="H24" s="1004"/>
      <c r="I24" s="847"/>
      <c r="J24" s="848"/>
      <c r="K24" s="848"/>
      <c r="L24" s="848"/>
      <c r="M24" s="848"/>
      <c r="N24" s="849"/>
      <c r="O24" s="34"/>
      <c r="T24" s="504"/>
    </row>
    <row r="25" spans="1:20" ht="4.5" customHeight="1">
      <c r="A25" s="147"/>
      <c r="B25" s="1008"/>
      <c r="C25" s="1009"/>
      <c r="D25" s="1010"/>
      <c r="E25" s="1011"/>
      <c r="F25" s="1012"/>
      <c r="G25" s="1012"/>
      <c r="H25" s="1000"/>
      <c r="I25" s="1011"/>
      <c r="J25" s="1013"/>
      <c r="K25" s="995"/>
      <c r="L25" s="996"/>
      <c r="M25" s="153"/>
      <c r="N25" s="997"/>
      <c r="O25" s="34"/>
    </row>
    <row r="26" spans="1:20" s="32" customFormat="1" ht="21" customHeight="1" thickBot="1">
      <c r="A26" s="147"/>
      <c r="B26" s="860" t="s">
        <v>408</v>
      </c>
      <c r="C26" s="860"/>
      <c r="D26" s="860"/>
      <c r="E26" s="860"/>
      <c r="F26" s="860"/>
      <c r="G26" s="860"/>
      <c r="H26" s="860"/>
      <c r="I26" s="860"/>
      <c r="J26" s="860"/>
      <c r="K26" s="860"/>
      <c r="L26" s="860"/>
      <c r="M26" s="860"/>
      <c r="N26" s="860"/>
      <c r="R26" s="505"/>
    </row>
    <row r="27" spans="1:20" ht="3.75" customHeight="1" thickBot="1">
      <c r="A27" s="147"/>
      <c r="B27" s="1008"/>
      <c r="C27" s="1009"/>
      <c r="D27" s="1010"/>
      <c r="E27" s="1011"/>
      <c r="F27" s="1012"/>
      <c r="G27" s="1012"/>
      <c r="H27" s="1000"/>
      <c r="I27" s="1011"/>
      <c r="J27" s="1013"/>
      <c r="K27" s="995"/>
      <c r="L27" s="996"/>
      <c r="M27" s="153"/>
      <c r="N27" s="997"/>
      <c r="O27" s="34"/>
    </row>
    <row r="28" spans="1:20" ht="21.75" customHeight="1" thickBot="1">
      <c r="A28" s="145"/>
      <c r="B28" s="1014" t="s">
        <v>407</v>
      </c>
      <c r="C28" s="999"/>
      <c r="D28" s="871" t="s">
        <v>406</v>
      </c>
      <c r="E28" s="872"/>
      <c r="F28" s="872"/>
      <c r="G28" s="873"/>
      <c r="H28" s="1000"/>
      <c r="I28" s="871" t="s">
        <v>404</v>
      </c>
      <c r="J28" s="872"/>
      <c r="K28" s="872"/>
      <c r="L28" s="872"/>
      <c r="M28" s="872"/>
      <c r="N28" s="873"/>
      <c r="O28" s="34"/>
    </row>
    <row r="29" spans="1:20" ht="63" customHeight="1">
      <c r="A29" s="145"/>
      <c r="B29" s="1015" t="s">
        <v>244</v>
      </c>
      <c r="C29" s="1016"/>
      <c r="D29" s="1017" t="str">
        <f>IF(ISBLANK(Programatic!C9),"",(Programatic!C9))</f>
        <v xml:space="preserve">Date preliminare pentru anul 2013: 454 pacienţi cu TB au decedat în anul 2013.                                                                                                              Notă 1: Se constată o reducere a ratei mortalităţii pacienţilor cu TB cu 22,8%, comparativ cu datele anului 2012 (588 pacienţi cu TB decedaţi).                                                                                                       Notă 2: Ţinta indicatorului a fost atinsă.                 </v>
      </c>
      <c r="E29" s="1018"/>
      <c r="F29" s="1018"/>
      <c r="G29" s="1019"/>
      <c r="H29" s="1004"/>
      <c r="I29" s="874"/>
      <c r="J29" s="1020"/>
      <c r="K29" s="1020"/>
      <c r="L29" s="1020"/>
      <c r="M29" s="1020"/>
      <c r="N29" s="1021"/>
      <c r="O29" s="34"/>
    </row>
    <row r="30" spans="1:20" ht="113.25" customHeight="1">
      <c r="A30" s="145"/>
      <c r="B30" s="1022" t="s">
        <v>245</v>
      </c>
      <c r="C30" s="1023"/>
      <c r="D30" s="1024" t="str">
        <f>IF(ISBLANK(Programatic!G9),"",(Programatic!G9))</f>
        <v xml:space="preserve">Date preliminare pentru cohorta MDR-TB a anului 2010: 391 cazuri confirmate de TB MDR au fost tratate cu succes (vindecate și tratamente încheiate), din 793 înregistrate sub DOTS Plus în 2010.                                                                                               Notă: Rata de succes terapeutic în rândul pacienţilor TB-MDR incluşi în tratamentul DOTS-Plus în 2010  a constituit 49,3%, ceva mai joasă decât rata succesului a cohortei anului 2009 (51,5%), precum şi comparatriv cu ținta prestabilită în  Acordul de grant de 60,0% pentru perioada raportată. Nivelul jos al ratei succesului a fost influenţat de către 10,34% eşecuri, 27,36 % abandonuri şi 12,74% decese.                             </v>
      </c>
      <c r="E30" s="869"/>
      <c r="F30" s="869"/>
      <c r="G30" s="870"/>
      <c r="H30" s="1004"/>
      <c r="I30" s="875"/>
      <c r="J30" s="1025"/>
      <c r="K30" s="1025"/>
      <c r="L30" s="1025"/>
      <c r="M30" s="1025"/>
      <c r="N30" s="1026"/>
      <c r="O30" s="34"/>
    </row>
    <row r="31" spans="1:20" ht="87.75" customHeight="1">
      <c r="A31" s="145"/>
      <c r="B31" s="1022" t="s">
        <v>246</v>
      </c>
      <c r="C31" s="1023"/>
      <c r="D31" s="1024" t="str">
        <f>IF(ISBLANK(Programatic!M9),"",(Programatic!M9))</f>
        <v>Date preliminare pentru anul 2013: 315 cazuri noi TB cu cultura pozitivă, testate la DST pentru preparatele de linia I, din 1,270 investigate în 2013, au fost diagnosticate cu MDR (24,8%).                                                                                                                                                       Notă. Comparativ cu datele pentru anul 2012 de 23,7% de TB-MDR printre cazurile noi, se constată o creştere a datelor indicatorului cu 4,6%. Totodată, nu a fost atinsă şi ţinta indicatorului de 22,0% stipulată în Acordul de Grant.</v>
      </c>
      <c r="E31" s="869"/>
      <c r="F31" s="869"/>
      <c r="G31" s="870"/>
      <c r="H31" s="1004"/>
      <c r="I31" s="875"/>
      <c r="J31" s="1025"/>
      <c r="K31" s="1025"/>
      <c r="L31" s="1025"/>
      <c r="M31" s="1025"/>
      <c r="N31" s="1026"/>
      <c r="O31" s="34"/>
    </row>
    <row r="32" spans="1:20" ht="83.25" hidden="1" customHeight="1">
      <c r="A32" s="145"/>
      <c r="B32" s="1027" t="s">
        <v>62</v>
      </c>
      <c r="C32" s="1023"/>
      <c r="D32" s="868" t="str">
        <f>IF(ISBLANK(Programatic!L20),"",(Programatic!L20))</f>
        <v xml:space="preserve">Date preliminare pentru anul 2013: 454 pacienţi cu TB au decedat în anul 2013.                                                                                                                                                             Notă 1: Se constată o reducere a ratei mortalităţii pacienţilor cu TB cu 22,8%, comparativ cu datele anului 2012 (588 pacienţi cu TB decedaţi).                                                                                                       Notă 2: Ţinta indicatorului a fost atinsă.                 </v>
      </c>
      <c r="E32" s="869"/>
      <c r="F32" s="869"/>
      <c r="G32" s="870"/>
      <c r="H32" s="1004"/>
      <c r="I32" s="875"/>
      <c r="J32" s="1025"/>
      <c r="K32" s="1025"/>
      <c r="L32" s="1025"/>
      <c r="M32" s="1025"/>
      <c r="N32" s="1026"/>
      <c r="O32" s="34"/>
    </row>
    <row r="33" spans="1:15" ht="90.75" hidden="1" customHeight="1">
      <c r="A33" s="145"/>
      <c r="B33" s="1027" t="s">
        <v>63</v>
      </c>
      <c r="C33" s="1023"/>
      <c r="D33" s="868" t="str">
        <f>IF(ISBLANK(Programatic!L21),"",(Programatic!L21))</f>
        <v xml:space="preserve">Date preliminare pentru cohorta MDR-TB a anului 2010: 391 cazuri confirmate de TB MDR au fost tratate cu succes (vindecate și tratamente încheiate), din 793 înregistrate sub DOTS Plus în 2010.                                                                                               Notă: Rata de succes terapeutic în rândul pacienţilor TB-MDR incluşi în tratamentul DOTS-Plus în 2010,  a constituit 49,3%, fiind ceva mai joasă decât rata succesului a cohortei anului 2009 (51,5%), precum şi comparativ cu ținta prestabilită în  Acordul de grant de 60,0% pentru perioada raportată. Nivelul jos al ratei succesului a fost influenţat de către 10,34% eşecuri, 27,36 % abandonuri şi 12,74% decese.    </v>
      </c>
      <c r="E33" s="869"/>
      <c r="F33" s="869"/>
      <c r="G33" s="870"/>
      <c r="H33" s="1004"/>
      <c r="I33" s="875"/>
      <c r="J33" s="1025"/>
      <c r="K33" s="1025"/>
      <c r="L33" s="1025"/>
      <c r="M33" s="1025"/>
      <c r="N33" s="1026"/>
      <c r="O33" s="34"/>
    </row>
    <row r="34" spans="1:15" ht="132" hidden="1" customHeight="1">
      <c r="A34" s="145"/>
      <c r="B34" s="1027" t="s">
        <v>64</v>
      </c>
      <c r="C34" s="1023"/>
      <c r="D34" s="868" t="str">
        <f>IF(ISBLANK(Programatic!L22),"",(Programatic!L22))</f>
        <v xml:space="preserve">Date preliminare pentru anul 2013: 315 cazuri noi TB cu cultura pozitivă, testate la DST pentru preparatele de linia I, din 1,270 investigate în 2013, au fost diagnosticate cu MDR (24,8%).                                                                                                                                                       Notă. Comparativ cu datele pentru anul 2012 de 23,7% de TB-MDR printre cazurile noi, se constată o creştere a datelor indicatorului cu 4,6%. </v>
      </c>
      <c r="E34" s="869"/>
      <c r="F34" s="869"/>
      <c r="G34" s="870"/>
      <c r="H34" s="1004"/>
      <c r="I34" s="875"/>
      <c r="J34" s="1025"/>
      <c r="K34" s="1025"/>
      <c r="L34" s="1025"/>
      <c r="M34" s="1025"/>
      <c r="N34" s="1026"/>
      <c r="O34" s="34"/>
    </row>
    <row r="35" spans="1:15" ht="82.5" customHeight="1">
      <c r="A35" s="145"/>
      <c r="B35" s="1027" t="s">
        <v>65</v>
      </c>
      <c r="C35" s="1028"/>
      <c r="D35" s="868" t="str">
        <f>IF(ISBLANK(Programatic!L23),"",(Programatic!L23))</f>
        <v xml:space="preserve">Date preliminare pentru anul 2013: 510 cazuri TB cu cultura pozitivă, anterior tratate, testate la DST pentru preparatele de linia I, din 825 investigate în 2013, au fost diagnosticate cu MDR (61,82%).                                                                                                                                                                       Notă. Comparativ cu datele pentru anul 2012 de 62,76% de TB-MDR printre cazurile anterior tratate de TB, se constată o reducere nesemnificativă a datelor indicatorului cu 1,5%.     </v>
      </c>
      <c r="E35" s="869"/>
      <c r="F35" s="869"/>
      <c r="G35" s="870"/>
      <c r="H35" s="1004"/>
      <c r="I35" s="875"/>
      <c r="J35" s="1025"/>
      <c r="K35" s="1025"/>
      <c r="L35" s="1025"/>
      <c r="M35" s="1025"/>
      <c r="N35" s="1026"/>
      <c r="O35" s="34"/>
    </row>
    <row r="36" spans="1:15" ht="85.5" customHeight="1">
      <c r="A36" s="145"/>
      <c r="B36" s="1027" t="s">
        <v>72</v>
      </c>
      <c r="C36" s="1028"/>
      <c r="D36" s="868" t="str">
        <f>IF(ISBLANK(Programatic!L24),"",(Programatic!L24))</f>
        <v xml:space="preserve">Pe parcursul anului 2013, un număr de 898 pacienți TB-MDR au fost incluși în tratamentul DOTS Plus.                                                                                                                                                                                          Nota: În perioada raportată, a fost implementată practica anterioară de includere în tratamentul DOTS-Plus a unui număr mai mare de pacienți, astfel, înlocuindu-se cazurile de eșec, deces sau abandon înregistrate imediat după inițierea administrării medicamentelor, atunci cînd medicamentele în cauză rămîn a fi încă disponibile.       </v>
      </c>
      <c r="E36" s="869"/>
      <c r="F36" s="869"/>
      <c r="G36" s="870"/>
      <c r="H36" s="1004"/>
      <c r="I36" s="875"/>
      <c r="J36" s="1025"/>
      <c r="K36" s="1025"/>
      <c r="L36" s="1025"/>
      <c r="M36" s="1025"/>
      <c r="N36" s="1026"/>
      <c r="O36" s="34"/>
    </row>
    <row r="37" spans="1:15" ht="60" customHeight="1">
      <c r="A37" s="145"/>
      <c r="B37" s="1027" t="s">
        <v>73</v>
      </c>
      <c r="C37" s="1028"/>
      <c r="D37" s="868" t="str">
        <f>IF(ISBLANK(Programatic!L26),"",(Programatic!L26))</f>
        <v>589 pacienți din 854 incluși în tratamentul DOTS Plus în anul 2012, au obținut un test de cultură negativ, după 6 luni de tratament DOTS Plus.                                                                                                                                   Notă: Rezultatul acestui indicator depăşeşte puţin ținta preconizată pentru această perioadă cu 2,2%.</v>
      </c>
      <c r="E37" s="869"/>
      <c r="F37" s="869"/>
      <c r="G37" s="870"/>
      <c r="H37" s="1004"/>
      <c r="I37" s="875"/>
      <c r="J37" s="1025"/>
      <c r="K37" s="1025"/>
      <c r="L37" s="1025"/>
      <c r="M37" s="1025"/>
      <c r="N37" s="1026"/>
      <c r="O37" s="34"/>
    </row>
    <row r="38" spans="1:15" ht="74.25" customHeight="1">
      <c r="A38" s="145"/>
      <c r="B38" s="1027" t="s">
        <v>74</v>
      </c>
      <c r="C38" s="1028"/>
      <c r="D38" s="868" t="str">
        <f>IF(ISBLANK(Programatic!L27),"",(Programatic!L27))</f>
        <v xml:space="preserve">64 pacienți din 854 incluși în tratamentul DOTS Plus în anul 2012, au abandonat tratamentul după 6 luni de tratament DOTS Plus.                                                                                                                                   Notă: Se observă o descreștere a rezultatului interimar de abandon al tratamentului cazurilor MDR-TB atît în comparație cu rata a. 2011 (36,4%), cît și  în comparație cu ținta stabilită pentru anul 2013 - cu 8,0%.   </v>
      </c>
      <c r="E38" s="869"/>
      <c r="F38" s="869"/>
      <c r="G38" s="870"/>
      <c r="H38" s="1004"/>
      <c r="I38" s="875"/>
      <c r="J38" s="1025"/>
      <c r="K38" s="1025"/>
      <c r="L38" s="1025"/>
      <c r="M38" s="1025"/>
      <c r="N38" s="1026"/>
      <c r="O38" s="34"/>
    </row>
    <row r="39" spans="1:15" ht="39.75" customHeight="1">
      <c r="A39" s="145"/>
      <c r="B39" s="1027" t="s">
        <v>75</v>
      </c>
      <c r="C39" s="1028"/>
      <c r="D39" s="868" t="str">
        <f>IF(ISBLANK(Programatic!L28),"",(Programatic!L28))</f>
        <v xml:space="preserve">În perioada raportată, 3,802 deținuți au fost testați  pentru TB la echipamentul radiologic digital mobil MRP, din 3,852 deținuti care necesitau această examinare. </v>
      </c>
      <c r="E39" s="869"/>
      <c r="F39" s="869"/>
      <c r="G39" s="870"/>
      <c r="H39" s="1004"/>
      <c r="I39" s="875"/>
      <c r="J39" s="1025"/>
      <c r="K39" s="1025"/>
      <c r="L39" s="1025"/>
      <c r="M39" s="1025"/>
      <c r="N39" s="1026"/>
      <c r="O39" s="34"/>
    </row>
    <row r="40" spans="1:15" ht="13.5" customHeight="1">
      <c r="A40" s="145"/>
      <c r="B40" s="352"/>
      <c r="C40" s="199"/>
      <c r="D40" s="868" t="str">
        <f>IF(ISBLANK(Programatic!L29),"",(Programatic!L29))</f>
        <v/>
      </c>
      <c r="E40" s="869"/>
      <c r="F40" s="869"/>
      <c r="G40" s="870"/>
      <c r="H40" s="158"/>
      <c r="I40" s="500"/>
      <c r="J40" s="506"/>
      <c r="K40" s="506"/>
      <c r="L40" s="506"/>
      <c r="M40" s="506"/>
      <c r="N40" s="501"/>
      <c r="O40" s="34"/>
    </row>
    <row r="41" spans="1:15" ht="13.5" customHeight="1" thickBot="1">
      <c r="A41" s="145"/>
      <c r="B41" s="352"/>
      <c r="C41" s="159"/>
      <c r="D41" s="868" t="str">
        <f>IF(ISBLANK(Programatic!L30),"",(Programatic!L30))</f>
        <v/>
      </c>
      <c r="E41" s="869"/>
      <c r="F41" s="869"/>
      <c r="G41" s="870"/>
      <c r="H41" s="158"/>
      <c r="I41" s="507"/>
      <c r="J41" s="508"/>
      <c r="K41" s="508"/>
      <c r="L41" s="508"/>
      <c r="M41" s="508"/>
      <c r="N41" s="509"/>
      <c r="O41" s="34"/>
    </row>
    <row r="42" spans="1:15" ht="14.25">
      <c r="A42" s="145"/>
      <c r="B42" s="160"/>
      <c r="C42" s="160"/>
      <c r="D42" s="161"/>
      <c r="E42" s="145"/>
      <c r="F42" s="160"/>
      <c r="G42" s="160"/>
      <c r="H42" s="145"/>
      <c r="I42" s="162"/>
      <c r="J42" s="145"/>
      <c r="K42" s="163"/>
      <c r="L42" s="163"/>
      <c r="M42" s="163"/>
      <c r="N42" s="163"/>
      <c r="O42" s="34"/>
    </row>
  </sheetData>
  <mergeCells count="62">
    <mergeCell ref="I39:N39"/>
    <mergeCell ref="I34:N34"/>
    <mergeCell ref="I35:N35"/>
    <mergeCell ref="I36:N36"/>
    <mergeCell ref="I37:N37"/>
    <mergeCell ref="I38:N38"/>
    <mergeCell ref="D41:G41"/>
    <mergeCell ref="I28:N28"/>
    <mergeCell ref="D40:G40"/>
    <mergeCell ref="D34:G34"/>
    <mergeCell ref="D29:G29"/>
    <mergeCell ref="D28:G28"/>
    <mergeCell ref="D35:G35"/>
    <mergeCell ref="D32:G32"/>
    <mergeCell ref="D39:G39"/>
    <mergeCell ref="D38:G38"/>
    <mergeCell ref="I29:N29"/>
    <mergeCell ref="I30:N30"/>
    <mergeCell ref="I31:N31"/>
    <mergeCell ref="I32:N32"/>
    <mergeCell ref="I33:N33"/>
    <mergeCell ref="D37:G37"/>
    <mergeCell ref="D36:G36"/>
    <mergeCell ref="D30:G30"/>
    <mergeCell ref="D31:G31"/>
    <mergeCell ref="D33:G33"/>
    <mergeCell ref="D18:G18"/>
    <mergeCell ref="D20:G20"/>
    <mergeCell ref="D19:G19"/>
    <mergeCell ref="D21:G21"/>
    <mergeCell ref="D22:G22"/>
    <mergeCell ref="B28:C28"/>
    <mergeCell ref="D24:G24"/>
    <mergeCell ref="B26:N26"/>
    <mergeCell ref="B2:N2"/>
    <mergeCell ref="E5:K5"/>
    <mergeCell ref="E6:K6"/>
    <mergeCell ref="C4:D4"/>
    <mergeCell ref="E4:K4"/>
    <mergeCell ref="C3:D3"/>
    <mergeCell ref="I14:N14"/>
    <mergeCell ref="I21:N21"/>
    <mergeCell ref="I22:N22"/>
    <mergeCell ref="I23:N23"/>
    <mergeCell ref="B16:N16"/>
    <mergeCell ref="B8:N8"/>
    <mergeCell ref="I10:N10"/>
    <mergeCell ref="I19:N19"/>
    <mergeCell ref="I24:N24"/>
    <mergeCell ref="I20:N20"/>
    <mergeCell ref="B18:C18"/>
    <mergeCell ref="B10:C10"/>
    <mergeCell ref="D10:G10"/>
    <mergeCell ref="I12:N12"/>
    <mergeCell ref="D12:G12"/>
    <mergeCell ref="I11:N11"/>
    <mergeCell ref="D23:G23"/>
    <mergeCell ref="I18:N18"/>
    <mergeCell ref="D11:G11"/>
    <mergeCell ref="D13:G13"/>
    <mergeCell ref="I13:N13"/>
    <mergeCell ref="D14:G14"/>
  </mergeCells>
  <phoneticPr fontId="23"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46" orientation="portrait"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opLeftCell="A27" zoomScaleNormal="100" zoomScaleSheetLayoutView="100" workbookViewId="0">
      <selection activeCell="F38" sqref="A38:XFD39"/>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773" t="str">
        <f>+"Tabel Programatic de Evaluare:  "&amp;"  "&amp;IF(+'Introducerea datelor'!C4="Please Select","",'Introducerea datelor'!C4&amp;" - ")&amp;IF('Introducerea datelor'!G6="Please Select","",'Introducerea datelor'!G6)</f>
        <v>Tabel Programatic de Evaluare:    Moldova - TB</v>
      </c>
      <c r="C2" s="773"/>
      <c r="D2" s="773"/>
      <c r="E2" s="773"/>
      <c r="F2" s="773"/>
      <c r="G2" s="773"/>
      <c r="H2" s="773"/>
      <c r="I2" s="773"/>
      <c r="J2" s="773"/>
      <c r="K2" s="773"/>
      <c r="L2" s="773"/>
    </row>
    <row r="3" spans="1:13">
      <c r="B3" s="23" t="str">
        <f>+IF('Introducerea datelor'!G8="Please Select","",'Introducerea datelor'!G8)</f>
        <v/>
      </c>
      <c r="C3" s="778" t="str">
        <f>+IF('Introducerea datelor'!I8="Please Select","",'Introducerea datelor'!I8)</f>
        <v>Faza 2</v>
      </c>
      <c r="D3" s="778"/>
      <c r="E3" s="776"/>
      <c r="F3" s="776"/>
      <c r="G3" s="776"/>
      <c r="H3" s="776"/>
      <c r="I3" s="776"/>
      <c r="J3" s="777" t="str">
        <f>+'Introducerea datelor'!B16</f>
        <v>Perioada de Raportare:</v>
      </c>
      <c r="K3" s="777"/>
      <c r="L3" s="167" t="str">
        <f>+'Introducerea datelor'!C16</f>
        <v>P2</v>
      </c>
      <c r="M3" s="84"/>
    </row>
    <row r="4" spans="1:13">
      <c r="B4" s="23" t="str">
        <f>+'Introducerea datelor'!B12</f>
        <v>Ultimul Rating:</v>
      </c>
      <c r="C4" s="932" t="str">
        <f>+IF('Introducerea datelor'!C12="Please Select","",'Introducerea datelor'!C12)</f>
        <v>A1</v>
      </c>
      <c r="D4" s="932"/>
      <c r="E4" s="776" t="str">
        <f>+'Introducerea datelor'!C8</f>
        <v>IP UCIMP RSS</v>
      </c>
      <c r="F4" s="776"/>
      <c r="G4" s="776"/>
      <c r="H4" s="776"/>
      <c r="I4" s="776"/>
      <c r="J4" s="777" t="str">
        <f>+'Introducerea datelor'!D16</f>
        <v>De la:</v>
      </c>
      <c r="K4" s="779"/>
      <c r="L4" s="168">
        <f>+IF(ISBLANK('Introducerea datelor'!E16),"",'Introducerea datelor'!E16)</f>
        <v>41456</v>
      </c>
    </row>
    <row r="5" spans="1:13" ht="18.75" customHeight="1">
      <c r="B5" s="23"/>
      <c r="C5" s="23"/>
      <c r="D5" s="776" t="str">
        <f>+'Introducerea datelor'!G4</f>
        <v>Consolidarea controlului Tuberculozei în Republica Moldova</v>
      </c>
      <c r="E5" s="776"/>
      <c r="F5" s="776"/>
      <c r="G5" s="776"/>
      <c r="H5" s="776"/>
      <c r="I5" s="776"/>
      <c r="J5" s="776"/>
      <c r="K5" s="23" t="str">
        <f>+'Introducerea datelor'!F16</f>
        <v>Pînă la:</v>
      </c>
      <c r="L5" s="168">
        <f>+IF(ISBLANK('Introducerea datelor'!G16),"",'Introducerea datelor'!G16)</f>
        <v>41639</v>
      </c>
    </row>
    <row r="6" spans="1:13" ht="18.75">
      <c r="B6" s="22"/>
      <c r="C6" s="23"/>
      <c r="D6" s="24"/>
      <c r="E6" s="775" t="s">
        <v>411</v>
      </c>
      <c r="F6" s="775"/>
      <c r="G6" s="775"/>
      <c r="H6" s="775"/>
      <c r="I6" s="775"/>
    </row>
    <row r="7" spans="1:13" ht="18.75">
      <c r="E7" s="71"/>
      <c r="F7" s="71"/>
      <c r="G7" s="71"/>
      <c r="H7" s="71"/>
      <c r="I7" s="71"/>
    </row>
    <row r="8" spans="1:13" s="32" customFormat="1" ht="21" customHeight="1" thickBot="1">
      <c r="B8" s="75" t="s">
        <v>412</v>
      </c>
      <c r="C8" s="75"/>
      <c r="D8" s="75"/>
      <c r="E8" s="75"/>
      <c r="F8" s="75"/>
      <c r="G8" s="75"/>
      <c r="H8" s="75"/>
      <c r="I8" s="75"/>
      <c r="J8" s="75"/>
      <c r="K8" s="75"/>
      <c r="L8" s="75"/>
    </row>
    <row r="9" spans="1:13" ht="6" customHeight="1">
      <c r="B9" s="73"/>
    </row>
    <row r="10" spans="1:13" ht="19.5" customHeight="1">
      <c r="B10" s="934"/>
      <c r="C10" s="935"/>
      <c r="D10" s="935"/>
      <c r="E10" s="935"/>
      <c r="F10" s="935"/>
      <c r="G10" s="935"/>
      <c r="H10" s="935"/>
      <c r="I10" s="935"/>
      <c r="J10" s="935"/>
      <c r="K10" s="935"/>
      <c r="L10" s="936"/>
    </row>
    <row r="11" spans="1:13" ht="18" customHeight="1">
      <c r="B11" s="937"/>
      <c r="C11" s="938"/>
      <c r="D11" s="938"/>
      <c r="E11" s="938"/>
      <c r="F11" s="938"/>
      <c r="G11" s="938"/>
      <c r="H11" s="938"/>
      <c r="I11" s="938"/>
      <c r="J11" s="938"/>
      <c r="K11" s="938"/>
      <c r="L11" s="939"/>
    </row>
    <row r="12" spans="1:13" ht="15.75" thickBot="1"/>
    <row r="13" spans="1:13" ht="26.25" customHeight="1" thickBot="1">
      <c r="B13" s="927" t="s">
        <v>413</v>
      </c>
      <c r="C13" s="928"/>
      <c r="D13" s="928"/>
      <c r="E13" s="929"/>
      <c r="F13" s="76"/>
      <c r="G13" s="931" t="s">
        <v>414</v>
      </c>
      <c r="H13" s="906"/>
      <c r="I13" s="906"/>
      <c r="J13" s="77" t="s">
        <v>415</v>
      </c>
      <c r="K13" s="906" t="s">
        <v>416</v>
      </c>
      <c r="L13" s="907"/>
    </row>
    <row r="14" spans="1:13" ht="39.75" customHeight="1">
      <c r="A14" s="876" t="s">
        <v>417</v>
      </c>
      <c r="B14" s="922"/>
      <c r="C14" s="923"/>
      <c r="D14" s="923"/>
      <c r="E14" s="924"/>
      <c r="F14" s="45"/>
      <c r="G14" s="921"/>
      <c r="H14" s="909"/>
      <c r="I14" s="909"/>
      <c r="J14" s="909"/>
      <c r="K14" s="909"/>
      <c r="L14" s="933"/>
    </row>
    <row r="15" spans="1:13" ht="39.75" customHeight="1">
      <c r="A15" s="877"/>
      <c r="B15" s="913"/>
      <c r="C15" s="914"/>
      <c r="D15" s="914"/>
      <c r="E15" s="915"/>
      <c r="F15" s="45"/>
      <c r="G15" s="918"/>
      <c r="H15" s="896"/>
      <c r="I15" s="896"/>
      <c r="J15" s="896"/>
      <c r="K15" s="896"/>
      <c r="L15" s="897"/>
    </row>
    <row r="16" spans="1:13" ht="45" customHeight="1">
      <c r="A16" s="877"/>
      <c r="B16" s="910"/>
      <c r="C16" s="911"/>
      <c r="D16" s="911"/>
      <c r="E16" s="912"/>
      <c r="F16" s="45"/>
      <c r="G16" s="918"/>
      <c r="H16" s="896"/>
      <c r="I16" s="896"/>
      <c r="J16" s="896"/>
      <c r="K16" s="896"/>
      <c r="L16" s="897"/>
    </row>
    <row r="17" spans="1:12" ht="33" customHeight="1">
      <c r="A17" s="877"/>
      <c r="B17" s="913"/>
      <c r="C17" s="914"/>
      <c r="D17" s="914"/>
      <c r="E17" s="915"/>
      <c r="F17" s="45"/>
      <c r="G17" s="918"/>
      <c r="H17" s="896"/>
      <c r="I17" s="896"/>
      <c r="J17" s="896"/>
      <c r="K17" s="896"/>
      <c r="L17" s="897"/>
    </row>
    <row r="18" spans="1:12" ht="26.25" customHeight="1">
      <c r="A18" s="877"/>
      <c r="B18" s="910"/>
      <c r="C18" s="911"/>
      <c r="D18" s="911"/>
      <c r="E18" s="912"/>
      <c r="F18" s="45"/>
      <c r="G18" s="898"/>
      <c r="H18" s="899"/>
      <c r="I18" s="900"/>
      <c r="J18" s="896"/>
      <c r="K18" s="896"/>
      <c r="L18" s="897"/>
    </row>
    <row r="19" spans="1:12" ht="28.5" customHeight="1">
      <c r="A19" s="877"/>
      <c r="B19" s="913"/>
      <c r="C19" s="914"/>
      <c r="D19" s="914"/>
      <c r="E19" s="915"/>
      <c r="F19" s="45"/>
      <c r="G19" s="892"/>
      <c r="H19" s="893"/>
      <c r="I19" s="901"/>
      <c r="J19" s="896"/>
      <c r="K19" s="896"/>
      <c r="L19" s="897"/>
    </row>
    <row r="20" spans="1:12">
      <c r="A20" s="877"/>
      <c r="B20" s="916"/>
      <c r="C20" s="916"/>
      <c r="D20" s="916"/>
      <c r="E20" s="917"/>
      <c r="F20" s="45"/>
      <c r="G20" s="918"/>
      <c r="H20" s="896"/>
      <c r="I20" s="896"/>
      <c r="J20" s="896"/>
      <c r="K20" s="896"/>
      <c r="L20" s="897"/>
    </row>
    <row r="21" spans="1:12">
      <c r="A21" s="877"/>
      <c r="B21" s="916"/>
      <c r="C21" s="916"/>
      <c r="D21" s="916"/>
      <c r="E21" s="917"/>
      <c r="F21" s="45"/>
      <c r="G21" s="918"/>
      <c r="H21" s="896"/>
      <c r="I21" s="896"/>
      <c r="J21" s="896"/>
      <c r="K21" s="896"/>
      <c r="L21" s="897"/>
    </row>
    <row r="22" spans="1:12">
      <c r="A22" s="877"/>
      <c r="B22" s="916"/>
      <c r="C22" s="916"/>
      <c r="D22" s="916"/>
      <c r="E22" s="917"/>
      <c r="F22" s="45"/>
      <c r="G22" s="918"/>
      <c r="H22" s="896"/>
      <c r="I22" s="896"/>
      <c r="J22" s="896"/>
      <c r="K22" s="896"/>
      <c r="L22" s="897"/>
    </row>
    <row r="23" spans="1:12">
      <c r="A23" s="877"/>
      <c r="B23" s="916"/>
      <c r="C23" s="916"/>
      <c r="D23" s="916"/>
      <c r="E23" s="917"/>
      <c r="F23" s="45"/>
      <c r="G23" s="918"/>
      <c r="H23" s="896"/>
      <c r="I23" s="896"/>
      <c r="J23" s="896"/>
      <c r="K23" s="896"/>
      <c r="L23" s="897"/>
    </row>
    <row r="24" spans="1:12">
      <c r="A24" s="877"/>
      <c r="B24" s="916"/>
      <c r="C24" s="916"/>
      <c r="D24" s="916"/>
      <c r="E24" s="917"/>
      <c r="F24" s="45"/>
      <c r="G24" s="918"/>
      <c r="H24" s="896"/>
      <c r="I24" s="896"/>
      <c r="J24" s="896"/>
      <c r="K24" s="896"/>
      <c r="L24" s="897"/>
    </row>
    <row r="25" spans="1:12" ht="15.75" thickBot="1">
      <c r="A25" s="878"/>
      <c r="B25" s="919"/>
      <c r="C25" s="919"/>
      <c r="D25" s="919"/>
      <c r="E25" s="920"/>
      <c r="F25" s="45"/>
      <c r="G25" s="930"/>
      <c r="H25" s="902"/>
      <c r="I25" s="902"/>
      <c r="J25" s="902"/>
      <c r="K25" s="902"/>
      <c r="L25" s="903"/>
    </row>
    <row r="27" spans="1:12" ht="18.75">
      <c r="E27" s="926" t="s">
        <v>418</v>
      </c>
      <c r="F27" s="926"/>
      <c r="G27" s="926"/>
      <c r="H27" s="926"/>
      <c r="I27" s="926"/>
    </row>
    <row r="28" spans="1:12" ht="6" customHeight="1">
      <c r="E28" s="71"/>
      <c r="F28" s="71"/>
      <c r="G28" s="71"/>
      <c r="H28" s="71"/>
      <c r="I28" s="71"/>
    </row>
    <row r="29" spans="1:12" s="32" customFormat="1" ht="21" customHeight="1" thickBot="1">
      <c r="B29" s="75" t="s">
        <v>419</v>
      </c>
      <c r="C29" s="75"/>
      <c r="D29" s="75"/>
      <c r="E29" s="75"/>
      <c r="F29" s="75"/>
      <c r="G29" s="75"/>
      <c r="H29" s="75"/>
      <c r="I29" s="75"/>
      <c r="J29" s="75"/>
      <c r="K29" s="75"/>
      <c r="L29" s="75"/>
    </row>
    <row r="30" spans="1:12" ht="6" customHeight="1" thickBot="1">
      <c r="B30" s="73"/>
    </row>
    <row r="31" spans="1:12" ht="38.25" customHeight="1" thickBot="1">
      <c r="B31" s="927" t="s">
        <v>414</v>
      </c>
      <c r="C31" s="928"/>
      <c r="D31" s="928"/>
      <c r="E31" s="929"/>
      <c r="F31" s="76"/>
      <c r="G31" s="931" t="s">
        <v>420</v>
      </c>
      <c r="H31" s="906"/>
      <c r="I31" s="906"/>
      <c r="J31" s="77" t="s">
        <v>421</v>
      </c>
      <c r="K31" s="906" t="s">
        <v>416</v>
      </c>
      <c r="L31" s="907"/>
    </row>
    <row r="32" spans="1:12" ht="24" customHeight="1">
      <c r="A32" s="876" t="s">
        <v>422</v>
      </c>
      <c r="B32" s="889"/>
      <c r="C32" s="890"/>
      <c r="D32" s="890"/>
      <c r="E32" s="891"/>
      <c r="F32" s="45"/>
      <c r="G32" s="925"/>
      <c r="H32" s="895"/>
      <c r="I32" s="895"/>
      <c r="J32" s="895"/>
      <c r="K32" s="895"/>
      <c r="L32" s="908"/>
    </row>
    <row r="33" spans="1:12" ht="26.25" customHeight="1">
      <c r="A33" s="877"/>
      <c r="B33" s="892"/>
      <c r="C33" s="893"/>
      <c r="D33" s="893"/>
      <c r="E33" s="894"/>
      <c r="F33" s="45"/>
      <c r="G33" s="885"/>
      <c r="H33" s="886"/>
      <c r="I33" s="886"/>
      <c r="J33" s="886"/>
      <c r="K33" s="886"/>
      <c r="L33" s="904"/>
    </row>
    <row r="34" spans="1:12">
      <c r="A34" s="877"/>
      <c r="B34" s="879" t="str">
        <f>IF(Recomandari!I43="","",Recomandari!I43)</f>
        <v/>
      </c>
      <c r="C34" s="880"/>
      <c r="D34" s="880"/>
      <c r="E34" s="881"/>
      <c r="F34" s="45"/>
      <c r="G34" s="885"/>
      <c r="H34" s="886"/>
      <c r="I34" s="886"/>
      <c r="J34" s="886"/>
      <c r="K34" s="886"/>
      <c r="L34" s="904"/>
    </row>
    <row r="35" spans="1:12" ht="20.25" customHeight="1">
      <c r="A35" s="877"/>
      <c r="B35" s="879"/>
      <c r="C35" s="880"/>
      <c r="D35" s="880"/>
      <c r="E35" s="881"/>
      <c r="F35" s="45"/>
      <c r="G35" s="885"/>
      <c r="H35" s="886"/>
      <c r="I35" s="886"/>
      <c r="J35" s="886"/>
      <c r="K35" s="886"/>
      <c r="L35" s="904"/>
    </row>
    <row r="36" spans="1:12" ht="21.75" customHeight="1">
      <c r="A36" s="877"/>
      <c r="B36" s="879" t="str">
        <f>+IF(Recomandari!I53="","",Recomandari!I53)</f>
        <v/>
      </c>
      <c r="C36" s="880"/>
      <c r="D36" s="880"/>
      <c r="E36" s="881"/>
      <c r="F36" s="45"/>
      <c r="G36" s="885"/>
      <c r="H36" s="886"/>
      <c r="I36" s="886"/>
      <c r="J36" s="886"/>
      <c r="K36" s="886"/>
      <c r="L36" s="904"/>
    </row>
    <row r="37" spans="1:12" ht="21" customHeight="1">
      <c r="A37" s="877"/>
      <c r="B37" s="879"/>
      <c r="C37" s="880"/>
      <c r="D37" s="880"/>
      <c r="E37" s="881"/>
      <c r="F37" s="45"/>
      <c r="G37" s="885"/>
      <c r="H37" s="886"/>
      <c r="I37" s="886"/>
      <c r="J37" s="886"/>
      <c r="K37" s="886"/>
      <c r="L37" s="904"/>
    </row>
    <row r="38" spans="1:12" ht="21" customHeight="1">
      <c r="A38" s="877"/>
      <c r="B38" s="879"/>
      <c r="C38" s="880"/>
      <c r="D38" s="880"/>
      <c r="E38" s="881"/>
      <c r="F38" s="45"/>
      <c r="G38" s="885"/>
      <c r="H38" s="886"/>
      <c r="I38" s="886"/>
      <c r="J38" s="886"/>
      <c r="K38" s="886"/>
      <c r="L38" s="904"/>
    </row>
    <row r="39" spans="1:12" ht="21" customHeight="1">
      <c r="A39" s="877"/>
      <c r="B39" s="879"/>
      <c r="C39" s="880"/>
      <c r="D39" s="880"/>
      <c r="E39" s="881"/>
      <c r="F39" s="45"/>
      <c r="G39" s="885"/>
      <c r="H39" s="886"/>
      <c r="I39" s="886"/>
      <c r="J39" s="886"/>
      <c r="K39" s="886"/>
      <c r="L39" s="904"/>
    </row>
    <row r="40" spans="1:12">
      <c r="A40" s="877"/>
      <c r="B40" s="879"/>
      <c r="C40" s="880"/>
      <c r="D40" s="880"/>
      <c r="E40" s="881"/>
      <c r="F40" s="45"/>
      <c r="G40" s="885"/>
      <c r="H40" s="886"/>
      <c r="I40" s="886"/>
      <c r="J40" s="886"/>
      <c r="K40" s="886"/>
      <c r="L40" s="904"/>
    </row>
    <row r="41" spans="1:12">
      <c r="A41" s="877"/>
      <c r="B41" s="879"/>
      <c r="C41" s="880"/>
      <c r="D41" s="880"/>
      <c r="E41" s="881"/>
      <c r="F41" s="45"/>
      <c r="G41" s="885"/>
      <c r="H41" s="886"/>
      <c r="I41" s="886"/>
      <c r="J41" s="886"/>
      <c r="K41" s="886"/>
      <c r="L41" s="904"/>
    </row>
    <row r="42" spans="1:12">
      <c r="A42" s="877"/>
      <c r="B42" s="879"/>
      <c r="C42" s="880"/>
      <c r="D42" s="880"/>
      <c r="E42" s="881"/>
      <c r="F42" s="45"/>
      <c r="G42" s="885"/>
      <c r="H42" s="886"/>
      <c r="I42" s="886"/>
      <c r="J42" s="886"/>
      <c r="K42" s="886"/>
      <c r="L42" s="904"/>
    </row>
    <row r="43" spans="1:12" ht="15.75" thickBot="1">
      <c r="A43" s="878"/>
      <c r="B43" s="882"/>
      <c r="C43" s="883"/>
      <c r="D43" s="883"/>
      <c r="E43" s="884"/>
      <c r="F43" s="45"/>
      <c r="G43" s="887"/>
      <c r="H43" s="888"/>
      <c r="I43" s="888"/>
      <c r="J43" s="888"/>
      <c r="K43" s="888"/>
      <c r="L43" s="905"/>
    </row>
  </sheetData>
  <mergeCells count="67">
    <mergeCell ref="B10:L11"/>
    <mergeCell ref="K13:L13"/>
    <mergeCell ref="G13:I13"/>
    <mergeCell ref="G24:I25"/>
    <mergeCell ref="G31:I31"/>
    <mergeCell ref="J24:J25"/>
    <mergeCell ref="J38:J39"/>
    <mergeCell ref="B2:L2"/>
    <mergeCell ref="C4:D4"/>
    <mergeCell ref="K14:L15"/>
    <mergeCell ref="K16:L17"/>
    <mergeCell ref="E3:I3"/>
    <mergeCell ref="J3:K3"/>
    <mergeCell ref="E4:I4"/>
    <mergeCell ref="J4:K4"/>
    <mergeCell ref="E6:I6"/>
    <mergeCell ref="C3:D3"/>
    <mergeCell ref="D5:J5"/>
    <mergeCell ref="B13:E13"/>
    <mergeCell ref="J34:J35"/>
    <mergeCell ref="J36:J37"/>
    <mergeCell ref="G32:I33"/>
    <mergeCell ref="E27:I27"/>
    <mergeCell ref="B31:E31"/>
    <mergeCell ref="A14:A25"/>
    <mergeCell ref="J18:J19"/>
    <mergeCell ref="J16:J17"/>
    <mergeCell ref="J14:J15"/>
    <mergeCell ref="B16:E17"/>
    <mergeCell ref="B20:E21"/>
    <mergeCell ref="G20:I21"/>
    <mergeCell ref="G22:I23"/>
    <mergeCell ref="J20:J21"/>
    <mergeCell ref="B24:E25"/>
    <mergeCell ref="B22:E23"/>
    <mergeCell ref="G16:I17"/>
    <mergeCell ref="B18:E19"/>
    <mergeCell ref="G14:I15"/>
    <mergeCell ref="B14:E15"/>
    <mergeCell ref="J22:J23"/>
    <mergeCell ref="J42:J43"/>
    <mergeCell ref="G40:I41"/>
    <mergeCell ref="J32:J33"/>
    <mergeCell ref="K18:L19"/>
    <mergeCell ref="G18:I19"/>
    <mergeCell ref="K20:L21"/>
    <mergeCell ref="K22:L23"/>
    <mergeCell ref="K24:L25"/>
    <mergeCell ref="K34:L35"/>
    <mergeCell ref="K40:L41"/>
    <mergeCell ref="K42:L43"/>
    <mergeCell ref="K36:L37"/>
    <mergeCell ref="K31:L31"/>
    <mergeCell ref="K38:L39"/>
    <mergeCell ref="K32:L33"/>
    <mergeCell ref="J40:J41"/>
    <mergeCell ref="A32:A43"/>
    <mergeCell ref="B42:E43"/>
    <mergeCell ref="G42:I43"/>
    <mergeCell ref="G38:I39"/>
    <mergeCell ref="B38:E39"/>
    <mergeCell ref="B40:E41"/>
    <mergeCell ref="B34:E35"/>
    <mergeCell ref="G34:I35"/>
    <mergeCell ref="B36:E37"/>
    <mergeCell ref="G36:I37"/>
    <mergeCell ref="B32:E33"/>
  </mergeCells>
  <phoneticPr fontId="23"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62" orientation="portrait" r:id="rId1"/>
  <headerFooter alignWithMargins="0">
    <oddFooter>&amp;L&amp;F&amp;C&amp;A&amp;RV1.0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23</vt:i4>
      </vt:variant>
    </vt:vector>
  </HeadingPairs>
  <TitlesOfParts>
    <vt:vector size="34" baseType="lpstr">
      <vt:lpstr>Meniu</vt:lpstr>
      <vt:lpstr>Lista Indicatorilor</vt:lpstr>
      <vt:lpstr>Introducerea datelor</vt:lpstr>
      <vt:lpstr>Detail despre Grant</vt:lpstr>
      <vt:lpstr>Management</vt:lpstr>
      <vt:lpstr>Financiar</vt:lpstr>
      <vt:lpstr>Programatic</vt:lpstr>
      <vt:lpstr>Recomandari</vt:lpstr>
      <vt:lpstr>Actiuni</vt:lpstr>
      <vt:lpstr>Setup</vt:lpstr>
      <vt:lpstr>Sheet1</vt:lpstr>
      <vt:lpstr>Component</vt:lpstr>
      <vt:lpstr>Countries</vt:lpstr>
      <vt:lpstr>Currency</vt:lpstr>
      <vt:lpstr>LFA</vt:lpstr>
      <vt:lpstr>Medicaments</vt:lpstr>
      <vt:lpstr>PERIOD</vt:lpstr>
      <vt:lpstr>Phase</vt:lpstr>
      <vt:lpstr>Actiuni!Print_Area</vt:lpstr>
      <vt:lpstr>Financiar!Print_Area</vt:lpstr>
      <vt:lpstr>'Introducerea datelor'!Print_Area</vt:lpstr>
      <vt:lpstr>Management!Print_Area</vt:lpstr>
      <vt:lpstr>Programatic!Print_Area</vt:lpstr>
      <vt:lpstr>PrintA</vt:lpstr>
      <vt:lpstr>PrintDataF</vt:lpstr>
      <vt:lpstr>PrintDataM</vt:lpstr>
      <vt:lpstr>PrintF</vt:lpstr>
      <vt:lpstr>PrintGD</vt:lpstr>
      <vt:lpstr>Actiuni!PrintM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Victor Burinschi</cp:lastModifiedBy>
  <cp:lastPrinted>2014-05-21T05:57:03Z</cp:lastPrinted>
  <dcterms:created xsi:type="dcterms:W3CDTF">2011-10-24T05:51:11Z</dcterms:created>
  <dcterms:modified xsi:type="dcterms:W3CDTF">2014-05-23T10:59:36Z</dcterms:modified>
</cp:coreProperties>
</file>