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Sabina\Desktop\"/>
    </mc:Choice>
  </mc:AlternateContent>
  <bookViews>
    <workbookView xWindow="0" yWindow="0" windowWidth="28800" windowHeight="12585" tabRatio="72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externalReferences>
    <externalReference r:id="rId11"/>
    <externalReference r:id="rId12"/>
  </externalReference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PrintA">Actions!$A$2:$L$34</definedName>
    <definedName name="PrintDataF">'Data Entry'!$B$25:$J$61</definedName>
    <definedName name="PrintDataM">'Data Entry'!$B$63:$H$107</definedName>
    <definedName name="PrintF">Finance!$A$2:$K$31</definedName>
    <definedName name="PrintGD">'Grant Detail'!$A$2:$J$13</definedName>
    <definedName name="PrintM" localSheetId="8">Actions!$A$2:$L$6</definedName>
    <definedName name="PrintM">Management!$A$2:$L$36</definedName>
    <definedName name="PrintP">Programmatic!$A$2:$P$29</definedName>
    <definedName name="PrintR">Recommendations!$A$2:$N$41</definedName>
    <definedName name="Rating">Setup!$G$9:$G$14</definedName>
    <definedName name="Round">Setup!$D$9:$D$21</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I11" i="27" l="1"/>
  <c r="C4" i="30"/>
  <c r="H27" i="30"/>
  <c r="B22" i="37"/>
  <c r="E49" i="29"/>
  <c r="F34" i="29"/>
  <c r="G34" i="29"/>
  <c r="H34" i="29"/>
  <c r="I34" i="29"/>
  <c r="J34" i="29"/>
  <c r="K34" i="29"/>
  <c r="L34" i="29"/>
  <c r="M34" i="29"/>
  <c r="F33" i="29"/>
  <c r="R32" i="29"/>
  <c r="AA136" i="29"/>
  <c r="AB136" i="29"/>
  <c r="AA137" i="29"/>
  <c r="AB137" i="29"/>
  <c r="AA138" i="29"/>
  <c r="AB138" i="29"/>
  <c r="AA139" i="29"/>
  <c r="AB139" i="29"/>
  <c r="AA140" i="29"/>
  <c r="AB140" i="29"/>
  <c r="AA141" i="29"/>
  <c r="AB141" i="29"/>
  <c r="AA142" i="29"/>
  <c r="AB142" i="29"/>
  <c r="G9" i="37"/>
  <c r="D30" i="42"/>
  <c r="E85" i="29"/>
  <c r="G28" i="37"/>
  <c r="B28" i="37"/>
  <c r="E27" i="37"/>
  <c r="G27" i="37"/>
  <c r="B27" i="37"/>
  <c r="G26" i="37"/>
  <c r="B26" i="37"/>
  <c r="E25" i="37"/>
  <c r="G25" i="37"/>
  <c r="B25" i="37"/>
  <c r="G24" i="37"/>
  <c r="B24" i="37"/>
  <c r="G23" i="37"/>
  <c r="B23" i="37"/>
  <c r="G22" i="37"/>
  <c r="G21" i="37"/>
  <c r="B21" i="37"/>
  <c r="G20" i="37"/>
  <c r="Z142" i="29"/>
  <c r="Y142" i="29"/>
  <c r="Z141" i="29"/>
  <c r="Y141" i="29"/>
  <c r="Z140" i="29"/>
  <c r="Y140" i="29"/>
  <c r="Z139" i="29"/>
  <c r="Y139" i="29"/>
  <c r="Z138" i="29"/>
  <c r="Y138" i="29"/>
  <c r="Z137" i="29"/>
  <c r="Y137" i="29"/>
  <c r="Z136" i="29"/>
  <c r="Y136" i="29"/>
  <c r="Z129" i="29"/>
  <c r="Z121" i="29"/>
  <c r="E50" i="29"/>
  <c r="D43" i="29"/>
  <c r="C43" i="29"/>
  <c r="E51" i="29"/>
  <c r="E48" i="29"/>
  <c r="V136" i="29"/>
  <c r="W136" i="29"/>
  <c r="X136" i="29"/>
  <c r="V137" i="29"/>
  <c r="W137" i="29"/>
  <c r="X137" i="29"/>
  <c r="V138" i="29"/>
  <c r="W138" i="29"/>
  <c r="X138" i="29"/>
  <c r="V139" i="29"/>
  <c r="W139" i="29"/>
  <c r="X139" i="29"/>
  <c r="V140" i="29"/>
  <c r="W140" i="29"/>
  <c r="X140" i="29"/>
  <c r="V141" i="29"/>
  <c r="W141" i="29"/>
  <c r="X141" i="29"/>
  <c r="V142" i="29"/>
  <c r="W142" i="29"/>
  <c r="X142" i="29"/>
  <c r="M9" i="37"/>
  <c r="D31" i="42"/>
  <c r="C9" i="37"/>
  <c r="D29" i="42"/>
  <c r="I127" i="29"/>
  <c r="J127" i="29"/>
  <c r="K127" i="29"/>
  <c r="L127" i="29"/>
  <c r="M127" i="29"/>
  <c r="N127" i="29"/>
  <c r="O127" i="29"/>
  <c r="P127" i="29"/>
  <c r="Q127" i="29"/>
  <c r="U136" i="29"/>
  <c r="T136" i="29"/>
  <c r="T137" i="29"/>
  <c r="U137" i="29"/>
  <c r="T138" i="29"/>
  <c r="U138" i="29"/>
  <c r="T139" i="29"/>
  <c r="U139" i="29"/>
  <c r="T140" i="29"/>
  <c r="U140" i="29"/>
  <c r="T141" i="29"/>
  <c r="U141" i="29"/>
  <c r="T142" i="29"/>
  <c r="U142" i="29"/>
  <c r="E86" i="29"/>
  <c r="E75" i="29"/>
  <c r="G69" i="29"/>
  <c r="E20" i="42"/>
  <c r="F20" i="42"/>
  <c r="G68" i="29"/>
  <c r="B2" i="45"/>
  <c r="B141" i="29"/>
  <c r="B137" i="29"/>
  <c r="C35" i="29"/>
  <c r="D35" i="29"/>
  <c r="E35" i="29"/>
  <c r="B22" i="45"/>
  <c r="B2" i="39"/>
  <c r="B2" i="42"/>
  <c r="B2" i="37"/>
  <c r="B2" i="35"/>
  <c r="K5" i="30"/>
  <c r="K4" i="30"/>
  <c r="L5" i="35"/>
  <c r="L4" i="35"/>
  <c r="Q5" i="37"/>
  <c r="Q4" i="37"/>
  <c r="M5" i="42"/>
  <c r="M4" i="42"/>
  <c r="L5" i="39"/>
  <c r="L4" i="39"/>
  <c r="C4" i="39"/>
  <c r="C3" i="39"/>
  <c r="B3" i="39"/>
  <c r="C4" i="42"/>
  <c r="C3" i="42"/>
  <c r="B3" i="42"/>
  <c r="C4" i="37"/>
  <c r="C3" i="37"/>
  <c r="B3" i="37"/>
  <c r="C4" i="35"/>
  <c r="C3" i="35"/>
  <c r="B3" i="35"/>
  <c r="C3" i="30"/>
  <c r="B3" i="30"/>
  <c r="B2" i="30"/>
  <c r="I9" i="27"/>
  <c r="G9" i="27"/>
  <c r="G13" i="27"/>
  <c r="G11" i="27"/>
  <c r="D11" i="27"/>
  <c r="B12" i="27"/>
  <c r="D10" i="27"/>
  <c r="B10" i="27"/>
  <c r="B9" i="27"/>
  <c r="B6" i="27"/>
  <c r="B3" i="27"/>
  <c r="B3" i="32"/>
  <c r="B4" i="1"/>
  <c r="D11" i="42"/>
  <c r="J3" i="35"/>
  <c r="L3" i="35"/>
  <c r="B7" i="35"/>
  <c r="I3" i="30"/>
  <c r="K3" i="30"/>
  <c r="B22" i="30"/>
  <c r="D33" i="42"/>
  <c r="D34" i="42"/>
  <c r="D35" i="42"/>
  <c r="D36" i="42"/>
  <c r="D37" i="42"/>
  <c r="D38" i="42"/>
  <c r="D39" i="42"/>
  <c r="D40" i="42"/>
  <c r="D41" i="42"/>
  <c r="D32" i="42"/>
  <c r="E105" i="29"/>
  <c r="G105" i="29"/>
  <c r="I105" i="29"/>
  <c r="J31" i="35"/>
  <c r="E104" i="29"/>
  <c r="G104" i="29"/>
  <c r="I104" i="29"/>
  <c r="E106" i="29"/>
  <c r="G106" i="29"/>
  <c r="I106" i="29"/>
  <c r="E107" i="29"/>
  <c r="G107" i="29"/>
  <c r="I107" i="29"/>
  <c r="K30" i="35"/>
  <c r="K31" i="35"/>
  <c r="K32" i="35"/>
  <c r="K33" i="35"/>
  <c r="L138" i="29"/>
  <c r="M138" i="29"/>
  <c r="N138" i="29"/>
  <c r="O138" i="29"/>
  <c r="P138" i="29"/>
  <c r="Q138" i="29"/>
  <c r="R138" i="29"/>
  <c r="S138" i="29"/>
  <c r="L139" i="29"/>
  <c r="M139" i="29"/>
  <c r="N139" i="29"/>
  <c r="O139" i="29"/>
  <c r="P139" i="29"/>
  <c r="Q139" i="29"/>
  <c r="R139" i="29"/>
  <c r="S139" i="29"/>
  <c r="L140" i="29"/>
  <c r="M140" i="29"/>
  <c r="N140" i="29"/>
  <c r="O140" i="29"/>
  <c r="P140" i="29"/>
  <c r="Q140" i="29"/>
  <c r="R140" i="29"/>
  <c r="S140" i="29"/>
  <c r="L141" i="29"/>
  <c r="M141" i="29"/>
  <c r="N141" i="29"/>
  <c r="O141" i="29"/>
  <c r="P141" i="29"/>
  <c r="Q141" i="29"/>
  <c r="R141" i="29"/>
  <c r="S141" i="29"/>
  <c r="L142" i="29"/>
  <c r="M142" i="29"/>
  <c r="N142" i="29"/>
  <c r="O142" i="29"/>
  <c r="P142" i="29"/>
  <c r="Q142" i="29"/>
  <c r="R142" i="29"/>
  <c r="S142" i="29"/>
  <c r="M137" i="29"/>
  <c r="N137" i="29"/>
  <c r="O137" i="29"/>
  <c r="P137" i="29"/>
  <c r="Q137" i="29"/>
  <c r="R137" i="29"/>
  <c r="S137" i="29"/>
  <c r="F139" i="29"/>
  <c r="F141" i="29"/>
  <c r="F137" i="29"/>
  <c r="E139" i="29"/>
  <c r="E141" i="29"/>
  <c r="E137" i="29"/>
  <c r="B139" i="29"/>
  <c r="B32" i="29"/>
  <c r="D38" i="29"/>
  <c r="C38" i="29"/>
  <c r="B31" i="29"/>
  <c r="E47" i="29"/>
  <c r="H29" i="30"/>
  <c r="H28" i="30"/>
  <c r="D24" i="42"/>
  <c r="D23" i="42"/>
  <c r="D22" i="42"/>
  <c r="D21" i="42"/>
  <c r="D20" i="42"/>
  <c r="D19" i="42"/>
  <c r="D14" i="42"/>
  <c r="D13" i="42"/>
  <c r="D12" i="42"/>
  <c r="B25" i="45"/>
  <c r="B23" i="45"/>
  <c r="B21" i="45"/>
  <c r="B20" i="45"/>
  <c r="B19" i="45"/>
  <c r="B11" i="45"/>
  <c r="B10" i="45"/>
  <c r="B9" i="45"/>
  <c r="B8" i="45"/>
  <c r="B4" i="37"/>
  <c r="B4" i="35"/>
  <c r="B4" i="30"/>
  <c r="G12" i="27"/>
  <c r="H4" i="1"/>
  <c r="K142" i="29"/>
  <c r="K141" i="29"/>
  <c r="K140" i="29"/>
  <c r="K139" i="29"/>
  <c r="K138" i="29"/>
  <c r="K137" i="29"/>
  <c r="C94" i="29"/>
  <c r="D94" i="29"/>
  <c r="E94" i="29"/>
  <c r="F94" i="29"/>
  <c r="G94" i="29"/>
  <c r="H94" i="29"/>
  <c r="I94" i="29"/>
  <c r="J94" i="29"/>
  <c r="K94" i="29"/>
  <c r="L94" i="29"/>
  <c r="M94" i="29"/>
  <c r="N94"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96" i="29"/>
  <c r="D96" i="29"/>
  <c r="E96" i="29"/>
  <c r="F96" i="29"/>
  <c r="G96" i="29"/>
  <c r="H96" i="29"/>
  <c r="I96" i="29"/>
  <c r="J96" i="29"/>
  <c r="K96" i="29"/>
  <c r="L96" i="29"/>
  <c r="M96" i="29"/>
  <c r="N96" i="29"/>
  <c r="C95" i="29"/>
  <c r="D95" i="29"/>
  <c r="E95" i="29"/>
  <c r="F95" i="29"/>
  <c r="G95" i="29"/>
  <c r="H95" i="29"/>
  <c r="I95" i="29"/>
  <c r="J95" i="29"/>
  <c r="K95" i="29"/>
  <c r="L95" i="29"/>
  <c r="M95" i="29"/>
  <c r="N95" i="29"/>
  <c r="D5" i="35"/>
  <c r="E4" i="35"/>
  <c r="K5" i="35"/>
  <c r="J4" i="35"/>
  <c r="D5" i="37"/>
  <c r="P5" i="37"/>
  <c r="P4" i="37"/>
  <c r="O3" i="37"/>
  <c r="J5" i="30"/>
  <c r="D5" i="30"/>
  <c r="I4" i="30"/>
  <c r="E4" i="30"/>
  <c r="L8" i="37"/>
  <c r="F8" i="37"/>
  <c r="B8" i="37"/>
  <c r="L137" i="29"/>
  <c r="J142" i="29"/>
  <c r="J141" i="29"/>
  <c r="J140" i="29"/>
  <c r="J139" i="29"/>
  <c r="J138" i="29"/>
  <c r="J137" i="29"/>
  <c r="I142" i="29"/>
  <c r="I141" i="29"/>
  <c r="I140" i="29"/>
  <c r="I139" i="29"/>
  <c r="I138" i="29"/>
  <c r="I137" i="29"/>
  <c r="H142" i="29"/>
  <c r="H141" i="29"/>
  <c r="H140" i="29"/>
  <c r="H139" i="29"/>
  <c r="H138" i="29"/>
  <c r="H137" i="29"/>
  <c r="S136" i="29"/>
  <c r="R136" i="29"/>
  <c r="Q136" i="29"/>
  <c r="P136" i="29"/>
  <c r="O136" i="29"/>
  <c r="N136" i="29"/>
  <c r="M136" i="29"/>
  <c r="L136" i="29"/>
  <c r="K136" i="29"/>
  <c r="J136" i="29"/>
  <c r="I136" i="29"/>
  <c r="H136" i="29"/>
  <c r="B36" i="39"/>
  <c r="B34" i="39"/>
  <c r="B34" i="35"/>
  <c r="R29" i="29"/>
  <c r="Z24" i="37"/>
  <c r="AA24" i="37"/>
  <c r="AF24" i="37"/>
  <c r="Z23" i="37"/>
  <c r="AA23" i="37"/>
  <c r="AC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7" i="37"/>
  <c r="U27" i="37"/>
  <c r="V27" i="37"/>
  <c r="W27" i="37"/>
  <c r="X27" i="37"/>
  <c r="T28" i="37"/>
  <c r="V28" i="37"/>
  <c r="X28" i="37"/>
  <c r="T30" i="37"/>
  <c r="T29" i="37"/>
  <c r="U29" i="37"/>
  <c r="V29" i="37"/>
  <c r="W29" i="37"/>
  <c r="X29" i="37"/>
  <c r="U30" i="37"/>
  <c r="W30" i="37"/>
  <c r="T31" i="37"/>
  <c r="U31" i="37"/>
  <c r="V31" i="37"/>
  <c r="W31" i="37"/>
  <c r="X31" i="37"/>
  <c r="T32" i="37"/>
  <c r="U32" i="37"/>
  <c r="V32" i="37"/>
  <c r="W32" i="37"/>
  <c r="X32" i="37"/>
  <c r="X30" i="37"/>
  <c r="V30" i="37"/>
  <c r="W28" i="37"/>
  <c r="R30" i="29"/>
  <c r="R31" i="29"/>
  <c r="AE24" i="37"/>
  <c r="AD24" i="37"/>
  <c r="B2" i="1"/>
  <c r="AF23" i="37"/>
  <c r="AB23" i="37"/>
  <c r="AB24" i="37"/>
  <c r="AC24" i="37"/>
  <c r="F35" i="29"/>
  <c r="G33" i="29"/>
  <c r="H33" i="29"/>
  <c r="R33" i="29"/>
  <c r="G35" i="29"/>
  <c r="H7" i="35"/>
  <c r="B15" i="35"/>
  <c r="H26" i="35"/>
  <c r="I33" i="29"/>
  <c r="H35" i="29"/>
  <c r="R34" i="29"/>
  <c r="K106" i="29"/>
  <c r="L32" i="35"/>
  <c r="J32" i="35"/>
  <c r="J30" i="35"/>
  <c r="K104" i="29"/>
  <c r="L30" i="35"/>
  <c r="AD22" i="37"/>
  <c r="AE22" i="37"/>
  <c r="AB22" i="37"/>
  <c r="AF22" i="37"/>
  <c r="AC22" i="37"/>
  <c r="K107" i="29"/>
  <c r="L33" i="35"/>
  <c r="J33" i="35"/>
  <c r="N34" i="29"/>
  <c r="H15" i="35"/>
  <c r="B8" i="30"/>
  <c r="AE23" i="37"/>
  <c r="AD23" i="37"/>
  <c r="H22" i="30"/>
  <c r="K105" i="29"/>
  <c r="L31" i="35"/>
  <c r="H8" i="30"/>
  <c r="R35" i="29"/>
  <c r="J33" i="29"/>
  <c r="I35" i="29"/>
  <c r="J35" i="29"/>
  <c r="R45" i="29"/>
  <c r="K33" i="29"/>
  <c r="K35" i="29"/>
  <c r="L33" i="29"/>
  <c r="R46" i="29"/>
  <c r="M33" i="29"/>
  <c r="L35" i="29"/>
  <c r="N33" i="29"/>
  <c r="M35" i="29"/>
  <c r="Q47" i="29"/>
  <c r="O31" i="29"/>
  <c r="N35" i="29"/>
  <c r="F43" i="29"/>
</calcChain>
</file>

<file path=xl/comments1.xml><?xml version="1.0" encoding="utf-8"?>
<comments xmlns="http://schemas.openxmlformats.org/spreadsheetml/2006/main">
  <authors>
    <author>molszak</author>
    <author>mgleixner</author>
  </authors>
  <commentList>
    <comment ref="B68" authorId="0" shapeId="0">
      <text>
        <r>
          <rPr>
            <b/>
            <sz val="8"/>
            <color indexed="81"/>
            <rFont val="Tahoma"/>
            <family val="2"/>
          </rPr>
          <t xml:space="preserve">If data are not available, do not enter zeros; rather, leave the cells in the table blank. </t>
        </r>
      </text>
    </comment>
    <comment ref="B69" authorId="0" shapeId="0">
      <text>
        <r>
          <rPr>
            <b/>
            <sz val="8"/>
            <color indexed="81"/>
            <rFont val="Tahoma"/>
            <family val="2"/>
          </rPr>
          <t>If data are not available, do not enter zeros; rather, leave the cells in this table blank.</t>
        </r>
      </text>
    </comment>
    <comment ref="B75" authorId="1" shapeId="0">
      <text>
        <r>
          <rPr>
            <sz val="8"/>
            <color indexed="81"/>
            <rFont val="Tahoma"/>
            <family val="2"/>
          </rPr>
          <t xml:space="preserve">If data are not available, do not enter zeros; rather, leave the cells in this table blank. </t>
        </r>
      </text>
    </comment>
    <comment ref="B90" authorId="1"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<sst xmlns="http://schemas.openxmlformats.org/spreadsheetml/2006/main" count="671" uniqueCount="510">
  <si>
    <t>Definition  (from M&amp;E Plan, September 2009)</t>
  </si>
  <si>
    <t>Planning and administration</t>
  </si>
  <si>
    <t>Target (cumulative over program term)</t>
  </si>
  <si>
    <t>Achieved (cumulative over program term)</t>
  </si>
  <si>
    <t>N/A</t>
  </si>
  <si>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</si>
  <si>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</si>
  <si>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</si>
  <si>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</si>
  <si>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</si>
  <si>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</si>
  <si>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</si>
  <si>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</si>
  <si>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</si>
  <si>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</si>
  <si>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</si>
  <si>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</si>
  <si>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</si>
  <si>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</si>
  <si>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</si>
  <si>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</si>
  <si>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</si>
  <si>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</si>
  <si>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</si>
  <si>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</si>
  <si>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</si>
  <si>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</si>
  <si>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</si>
  <si>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</si>
  <si>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</si>
  <si>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</si>
  <si>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</si>
  <si>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</si>
  <si>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</si>
  <si>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</si>
  <si>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</si>
  <si>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</si>
  <si>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</si>
  <si>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</si>
  <si>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</si>
  <si>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</si>
  <si>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</si>
  <si>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</si>
  <si>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</si>
  <si>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</si>
  <si>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</si>
  <si>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</si>
  <si>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</si>
  <si>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</si>
  <si>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</si>
  <si>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</si>
  <si>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</si>
  <si>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</si>
  <si>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</si>
  <si>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</si>
  <si>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</si>
  <si>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</si>
  <si>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</si>
  <si>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</si>
  <si>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</si>
  <si>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</si>
  <si>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</si>
  <si>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</si>
  <si>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</si>
  <si>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</si>
  <si>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</si>
  <si>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</si>
  <si>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</si>
  <si>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</si>
  <si>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</si>
  <si>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</si>
  <si>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</si>
  <si>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</si>
  <si>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</si>
  <si>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</si>
  <si>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</si>
  <si>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</si>
  <si>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</si>
  <si>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</si>
  <si>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</si>
  <si>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</si>
  <si>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</si>
  <si>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</si>
  <si>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</si>
  <si>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</si>
  <si>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</si>
  <si>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</si>
  <si>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</si>
  <si>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</si>
  <si>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</si>
  <si>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</si>
  <si>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</si>
  <si>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</si>
  <si>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</si>
  <si>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</si>
  <si>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</si>
  <si>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</si>
  <si>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</si>
  <si>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</si>
  <si>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</si>
  <si>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</si>
  <si>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</si>
  <si>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</si>
  <si>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</si>
  <si>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</si>
  <si>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</si>
  <si>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</si>
  <si>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</si>
  <si>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</si>
  <si>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</si>
  <si>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</si>
  <si>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</si>
  <si>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</si>
  <si>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</si>
  <si>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</si>
  <si>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</si>
  <si>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</si>
  <si>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</si>
  <si>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</si>
  <si>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</si>
  <si>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</si>
  <si>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</si>
  <si>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</si>
  <si>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</si>
  <si>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</si>
  <si>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</si>
  <si>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</si>
  <si>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</si>
  <si>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</si>
  <si>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</si>
  <si>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</si>
  <si>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</si>
  <si>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</si>
  <si>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</si>
  <si>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</si>
  <si>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</si>
  <si>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</si>
  <si>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</si>
  <si>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</si>
  <si>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</si>
  <si>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</si>
  <si>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</si>
  <si>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</si>
  <si>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</si>
  <si>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</si>
  <si>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</si>
  <si>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</si>
  <si>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</si>
  <si>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</si>
  <si>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</si>
  <si>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</si>
  <si>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</si>
  <si>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</si>
  <si>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</si>
  <si>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</si>
  <si>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</si>
  <si>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</si>
  <si>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</si>
  <si>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</si>
  <si>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</si>
  <si>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</si>
  <si>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</si>
  <si>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</si>
  <si>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</si>
  <si>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</si>
  <si>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</si>
  <si>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</si>
  <si>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</si>
  <si>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</si>
  <si>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</si>
  <si>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</si>
  <si>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</si>
  <si>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</si>
  <si>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</si>
  <si>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</si>
  <si>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</si>
  <si>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</si>
  <si>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</si>
  <si>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</si>
  <si>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</si>
  <si>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</si>
  <si>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</si>
  <si>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</si>
  <si>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</si>
  <si>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</si>
  <si>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</si>
  <si>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</si>
  <si>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</si>
  <si>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</si>
  <si>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</si>
  <si>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</si>
  <si>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</si>
  <si>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</si>
  <si>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</si>
  <si>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</si>
  <si>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</si>
  <si>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</si>
  <si>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</si>
  <si>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</si>
  <si>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</si>
  <si>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</si>
  <si>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</si>
  <si>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</si>
  <si>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</si>
  <si>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</si>
  <si>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</si>
  <si>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</si>
  <si>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</si>
  <si>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</si>
  <si>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</si>
  <si>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</si>
  <si>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</si>
  <si>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</si>
  <si>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</si>
  <si>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</si>
  <si>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</si>
  <si>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</si>
  <si>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</si>
  <si>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</si>
  <si>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</si>
  <si>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</si>
  <si>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</si>
  <si>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</si>
  <si>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</si>
  <si>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</si>
  <si>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</si>
  <si>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</si>
  <si>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</si>
  <si>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</si>
  <si>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</si>
  <si>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</si>
  <si>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</si>
  <si>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</si>
  <si>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</si>
  <si>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</si>
  <si>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</si>
  <si>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</si>
  <si>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</si>
  <si>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</si>
  <si>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</si>
  <si>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</si>
  <si>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</si>
  <si>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</si>
  <si>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</si>
  <si>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</si>
  <si>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</si>
  <si>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</si>
  <si>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</si>
  <si>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</si>
  <si>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</si>
  <si>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</si>
  <si>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</si>
  <si>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</si>
  <si>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</si>
  <si>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</si>
  <si>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</si>
  <si>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</si>
  <si>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</si>
  <si>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</si>
  <si>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</si>
  <si>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</si>
  <si>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</si>
  <si>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</si>
  <si>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</si>
  <si>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</si>
  <si>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</si>
  <si>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</si>
  <si>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</si>
  <si>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</si>
  <si>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</si>
  <si>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</si>
  <si>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</si>
  <si>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</si>
  <si>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</si>
  <si>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</si>
  <si>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</si>
  <si>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</si>
  <si>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</si>
  <si>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</si>
  <si>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</si>
  <si>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</si>
  <si>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</si>
  <si>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</si>
  <si>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</si>
  <si>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</si>
  <si>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</si>
  <si>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</si>
  <si>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</si>
  <si>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</si>
  <si>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</si>
  <si>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</si>
  <si>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</si>
  <si>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</si>
  <si>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</si>
  <si>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</si>
  <si>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</si>
  <si>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</si>
  <si>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</si>
  <si>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</si>
  <si>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</si>
  <si>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</si>
  <si>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</si>
  <si>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</si>
  <si>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</si>
  <si>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</si>
  <si>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</si>
  <si>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</si>
  <si>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</si>
  <si>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</si>
  <si>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</si>
  <si>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</si>
  <si>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</si>
  <si>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</si>
  <si>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</si>
  <si>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</si>
  <si>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</si>
  <si>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</si>
  <si>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</si>
  <si>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</si>
  <si>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</si>
  <si>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</si>
  <si>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</si>
  <si>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</si>
  <si>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</si>
  <si>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</si>
  <si>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</si>
  <si>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</si>
  <si>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</si>
  <si>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</si>
  <si>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</si>
  <si>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</si>
  <si>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</si>
  <si>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</si>
  <si>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</si>
  <si>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</si>
  <si>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</si>
  <si>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</si>
  <si>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</si>
  <si>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</si>
  <si>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</si>
  <si>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</si>
  <si>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</si>
  <si>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</si>
  <si>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</si>
  <si>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</si>
  <si>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</si>
  <si>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</si>
  <si>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</si>
  <si>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</si>
  <si>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</si>
  <si>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</si>
  <si>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</si>
  <si>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</si>
  <si>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</si>
  <si>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</si>
  <si>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</si>
  <si>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</si>
  <si>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</si>
  <si>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</si>
  <si>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</si>
  <si>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</si>
  <si>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</si>
  <si>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</si>
  <si>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</si>
  <si>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</si>
  <si>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</si>
  <si>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</si>
  <si>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</si>
  <si>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</si>
  <si>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</si>
  <si>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</si>
  <si>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</si>
  <si>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</si>
  <si>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</si>
  <si>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</si>
  <si>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</si>
  <si>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</si>
  <si>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</si>
  <si>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</si>
  <si>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</si>
  <si>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</si>
  <si>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</si>
  <si>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</si>
  <si>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</si>
  <si>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</si>
  <si>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</si>
  <si>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</si>
  <si>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</si>
  <si>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</si>
  <si>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</si>
  <si>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</si>
  <si>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</si>
  <si>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</si>
  <si>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</si>
  <si>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</si>
  <si>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</si>
  <si>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</si>
  <si>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</si>
  <si>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</si>
  <si>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</si>
  <si>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</si>
  <si>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</si>
  <si>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</si>
  <si>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</si>
  <si>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</si>
  <si>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</si>
  <si>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</si>
  <si>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</si>
  <si>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</si>
  <si>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</si>
  <si>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</si>
  <si>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</si>
  <si>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</si>
  <si>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</si>
  <si>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</si>
  <si>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</si>
  <si>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</si>
  <si>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</si>
  <si>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PAS Center</t>
  </si>
  <si>
    <t>January 01, 2010</t>
  </si>
  <si>
    <t>Number of people living with HIV/AIDS reached with care and support services</t>
  </si>
  <si>
    <t>Number of children infected and affected by HIV/AIDS who receive social support</t>
  </si>
  <si>
    <t>Number of medical (doctors and nurses) and non-medical staff (psychologists, social assistants, peer consultants) trained in HIV/AIDS</t>
  </si>
  <si>
    <t>Number and percentage of individuals currently on OST who have been on OST continuously at least 6 months for the past 12 months</t>
  </si>
  <si>
    <t>n/a</t>
  </si>
  <si>
    <t>Reducing HIV-related burden in the Republic of Moldova</t>
  </si>
  <si>
    <t>SSF (Round 8)</t>
  </si>
  <si>
    <t>Tatiana Vinichenko</t>
  </si>
  <si>
    <t>Programul este implementat în conformitate cu planul de lucru şi prevederile contractuale. Rata cumulativă de absobţie din buget este de 95.68%, iar performanța medie a indicatorilor de 104.9%.  Raiting-ul general acordate de Fondul Global grantului HIV implementate de Centrul PAS este A1.</t>
  </si>
  <si>
    <t>Indicator refers to training of ART and MDT medical specialists, infectious diseases and PHC specialists, social assistants and MDT non-medical specialists. 
This is a composite indicator, related activities: 3.1.1., 3.1.2., 3.1.4. &amp; 3.1.5</t>
  </si>
  <si>
    <t>A person is considered trained if he/she has attended the course not less than 80% and signed the list of participation at training (people signed the list of attendance twice a day along the course).</t>
  </si>
  <si>
    <t>Training records (daily attendance lists signed by trainees)</t>
  </si>
  <si>
    <t>Number of PLHIV receiving food parcels to improve ARV treatment adherence</t>
  </si>
  <si>
    <t>Patients on ART treatment will receive quarterly incentives (food parcels) for better adherence to treatment, in both civilian and penitentiary sectors. A PLHIV is considered "reached" if s/he has received a food package per quarter at least one quarter. Quarterly will be distributed 800 food parcels based on the socio-economic vulnerability criteria. Targets for this indicator are annual and have been calculated based on an estimated quarterly increase by 10% in the number of new beneficiaries.  
Related activity: 4.1.1</t>
  </si>
  <si>
    <t xml:space="preserve">New persons who received a food package per quarter at least quart. </t>
  </si>
  <si>
    <t xml:space="preserve">Register of people reached and SR program reports </t>
  </si>
  <si>
    <t xml:space="preserve">The beneficiaries are provided with the following services: psycho-social counseling and support, medical counseling and refferal, distribution of information materials, peer counseling, self-support groups and food support, etc. The beneficiary is considered "reached" if s/he has received at least one of the listed services. Related activity 4.1.2,4.1.3 &amp; 4.4.1-4.4.3. Target include baseline. </t>
  </si>
  <si>
    <t>The beneficiaries are provided with the following services: psycho-social counseling and support, medical counseling and referral, distribution of information materials and peer counseling. The beneficiary is considered "reached" if he/she has received at least one of the listed services.</t>
  </si>
  <si>
    <t>The social support includes food parcels and clothing and school supplies for HIV infected children and food support for children born from HIV positive mothers with unknown status. Quarterly will be distributed 230 food parcels. Targets for this indicator are annual and have been calculated based on an estimated quarterly increase by 10% in number of new born to HIV positive mothers. 
It is a composite indicator, related activities: 4.3.1.&amp; 4.3.2.</t>
  </si>
  <si>
    <t>A child is considered "reached" if she/he has received a social support (food parcels and clothing and school supplies for HIV infected children and food support for children born from HIV positive mothers with unknown status) per quarter at least quart.</t>
  </si>
  <si>
    <t>Register of people reached and SR program reports</t>
  </si>
  <si>
    <t>Number of Injecting drug users on oppoid substitution therapy that receive at least 3 support services from NGOs working in DUs rehabilitation</t>
  </si>
  <si>
    <t xml:space="preserve">The beneficiary is considered "reached" if s/he has received at least three of the services listed (psycho-social support, self-support groups, peer to peer education, distributions of information materials, food support,etc.). Related activity 4.2.1-4.2.3 Target include baseline. </t>
  </si>
  <si>
    <t>The beneficiary is considered "reached" if he/she has received at least three of the services listed (psycho-social support, self-support groups, peer to peer education, distributions of information materials, food support, etc.).</t>
  </si>
  <si>
    <t xml:space="preserve">Numerator: number of individuals completing at least 6 months of continuous treatment on OST that initiated treatment 6-12 months prior to the end of the reporting period.  
Denominator:  total number of individuals that initiated treatment 6-12 months prior to the end of reporting period. 
The indicator is linked to percentage and absolute numbers will be provided when reporting results. The targets refer to the patient cohort (both new and repeated cases) that initiated treatment in the first 6 months of the last 12 months period. NOTE: PAS Center is responsible for data collection and validation. </t>
  </si>
  <si>
    <t xml:space="preserve">Determine the number of people who initiated OST (first or repeated) in the first six months of the last 12 months and evaluated how many of these people remained in OST at least 6 months continuously. 6 months cohort based evaluations. </t>
  </si>
  <si>
    <t>OST centers administrative records (RND, Balti municipal hospital and DPI)</t>
  </si>
  <si>
    <t>Number of human rights strategic litigation cases for PLHIV initiated</t>
  </si>
  <si>
    <t>Indicator refers to cases of PLHIV rights violation initiated for strategic litigation in order to change the existing practices. 
Related activity 5.2.2-5.2.4</t>
  </si>
  <si>
    <t>Total number of human rights strategic litigation cases registered in the register</t>
  </si>
  <si>
    <t>List of human rights strategic litigation cases</t>
  </si>
  <si>
    <t>Number of PLHIV assisted by legal aid (consultancies offered by legal network)</t>
  </si>
  <si>
    <t>The indicator refers to legal assistance provided remotely to PLHIV on issues of legal, civil (including disclosure of HIV status), administrative nature. 
Related activity 5.2.1&amp;5.2.4</t>
  </si>
  <si>
    <t>Person is considered "reached" if he/she receives at least one consultation offered by legal network.</t>
  </si>
  <si>
    <t>List of PLHIV assisted by legal aid</t>
  </si>
  <si>
    <t xml:space="preserve">Number of members of the civil society trained in services provision to PLHIV </t>
  </si>
  <si>
    <t>Indicator refers to training of members of the civil society in services provision to PLHIV. 
Related activities: 5.3.9.</t>
  </si>
  <si>
    <t>MOL-H-PAS</t>
  </si>
  <si>
    <t>EUR 12057410</t>
  </si>
  <si>
    <t>P13</t>
  </si>
  <si>
    <t>P14</t>
  </si>
  <si>
    <t>P13 (Q1.2013)</t>
  </si>
  <si>
    <t>P14 (Q2.2013)</t>
  </si>
  <si>
    <t>P1-P12 (Q1.2010-Q4.2012)</t>
  </si>
  <si>
    <t xml:space="preserve">Piriod 2 </t>
  </si>
  <si>
    <r>
      <t>Number of children infected and affected by HIV/AIDS who receive social support</t>
    </r>
    <r>
      <rPr>
        <i/>
        <sz val="10"/>
        <rFont val="Arial"/>
        <family val="2"/>
      </rPr>
      <t xml:space="preserve"> 
(Numărul de copii infectaţi şi afectaţi de HIV/SIDA care primesc suport social)</t>
    </r>
  </si>
  <si>
    <r>
      <t>Number of Injecting drug users on opioid substitution therapy that receive at least 3 support services from NGOs working in DUs rehabilitation 
(</t>
    </r>
    <r>
      <rPr>
        <i/>
        <sz val="10"/>
        <rFont val="Arial"/>
        <family val="2"/>
      </rPr>
      <t>Numărul de CDI care sunt în terapia de substituţie cu metadonă şi primesc cel puţin 3 servicii de suport din partea ONG-urilor care lucrează la reabilitarea CDI)</t>
    </r>
    <r>
      <rPr>
        <sz val="10"/>
        <rFont val="Arial"/>
        <family val="2"/>
      </rPr>
      <t xml:space="preserve">           </t>
    </r>
  </si>
  <si>
    <r>
      <t xml:space="preserve">Number of PLHIV receiving food parcels to improve ARV treatment adherence 
</t>
    </r>
    <r>
      <rPr>
        <i/>
        <sz val="10"/>
        <rFont val="Arial"/>
        <family val="2"/>
      </rPr>
      <t>(Numărul de PTH care primesc pachete alimentare pentru a îmbunătăți aderenţa la tratamentul ARV)</t>
    </r>
  </si>
  <si>
    <r>
      <t xml:space="preserve">Number of members of the civil society trained in services provision to PLHIV 
</t>
    </r>
    <r>
      <rPr>
        <i/>
        <sz val="10"/>
        <rFont val="Arial"/>
        <family val="2"/>
      </rPr>
      <t>(Numărul de membri ai societăţii civile instruiţi în furnizarea de servicii pentru PTH)</t>
    </r>
  </si>
  <si>
    <r>
      <t xml:space="preserve">Number and percentage of individuals currently on OST who have been on OST continuously at least 6 months for the past 12 months 
</t>
    </r>
    <r>
      <rPr>
        <i/>
        <sz val="10"/>
        <rFont val="Arial"/>
        <family val="2"/>
      </rPr>
      <t xml:space="preserve">(Numărul şi procentul persoanelor aflate în tratamentul de substituție cu metadonă (TSO) care au fost în TSO continuu cel puțin 6 luni pe parcursul ultimelor 12 luni) </t>
    </r>
  </si>
  <si>
    <r>
      <t xml:space="preserve">Number of people living with HIV/AIDS reached with care and support services </t>
    </r>
    <r>
      <rPr>
        <i/>
        <sz val="10"/>
        <rFont val="Arial"/>
        <family val="2"/>
      </rPr>
      <t xml:space="preserve">
(Numărul persoanelor care trăiesc cu HIV/SIDA şi au primit suport social)</t>
    </r>
  </si>
  <si>
    <t>Number of people living with HIV/AIDS reached with care and support services 
(Numărul persoanelor care trăiesc cu HIV/SIDA şi au primit suport social)</t>
  </si>
  <si>
    <r>
      <t xml:space="preserve">Number of medical (doctors and nurses) and non-medical staff (psychologists, social assistants, peer consultants) trained in HIV/AIDS 
</t>
    </r>
    <r>
      <rPr>
        <i/>
        <sz val="10"/>
        <rFont val="Arial"/>
        <family val="2"/>
      </rPr>
      <t xml:space="preserve">(Numărul personalului medical (medici şi asistente medicale) şi non-medical (psihologi, asistenţi sociali, educatori de la egal la egal) instruiţi în HIV/SIDA) </t>
    </r>
  </si>
  <si>
    <r>
      <t xml:space="preserve">Number of human rights strategic litigation cases for PLWH initiated 
</t>
    </r>
    <r>
      <rPr>
        <i/>
        <sz val="10"/>
        <rFont val="Arial"/>
        <family val="2"/>
      </rPr>
      <t>(Numărul de cazuri de încălcare a drepturilor PTH inițiate pentru litigare strategică)</t>
    </r>
  </si>
  <si>
    <r>
      <t xml:space="preserve">Number of PLHIV assisted by legal aid (consultancies offered by legal network) 
</t>
    </r>
    <r>
      <rPr>
        <i/>
        <sz val="10"/>
        <rFont val="Arial"/>
        <family val="2"/>
      </rPr>
      <t>(Numărul de PTH care au beneficiat de asistență juridică)</t>
    </r>
  </si>
  <si>
    <t>P15</t>
  </si>
  <si>
    <t>P16</t>
  </si>
  <si>
    <t>Support PLHIV, PWID and ensure institutionalization</t>
  </si>
  <si>
    <t xml:space="preserve">Ensure engagement of civil society and key affected population and promote human rights </t>
  </si>
  <si>
    <t>Develop capacity and ensure program sustainability</t>
  </si>
  <si>
    <t>P17 (Q1.2014)</t>
  </si>
  <si>
    <t>P18 (Q2.2014)</t>
  </si>
  <si>
    <t>P15 (Q3.2013)</t>
  </si>
  <si>
    <t>P16 (Q4.2013)</t>
  </si>
  <si>
    <t>P17</t>
  </si>
  <si>
    <t>P18</t>
  </si>
  <si>
    <t>Four Sub-recipients (SRs) have been identified initialy (2010) to implement different components within the program: Soros Foundation-Moldova (SFM); League of people living with HIV of Moldova; New Life, Moldovan Institute for Human Rights. One SR (SFM) has been earlier assessed by the governmental PR of GF grants as it acts as an SR since GF Round one. Two other SRs have been assessed (New Life and Moldovan Institute for Human Rights) by PAS Center the last one (League of people living with HIV of Moldova) by TGF Local Fund Agent. Four sub-grant agreements have been signe following the assessment. In September 2011, due to lack of capacity for adequate implementation of the grant portion contracted the sub-grant agreement with one of the SRs (League of people living with HIV) was terminated and the management of activities has been entrusted to an other SR ( SFM).  Respectively three sub-recipients continued to receive funds till the end of Period one (December 31, 2012). During renewal one SR component has been reorganised and starting with Period two  (2013) there are two SRs that receiv funds within the grant. 
(Patru Sub-Recipienţi (SR), au fost identificaţi inițial (2010) pentru a implementa diferite componente în cadrul programului: Fundația Soros-Moldova (FSM), Liga persoanelor care trăiesc cu HIV din Moldova, Viaţa Nouă, Institutul pentru Drepturile Omului din Moldova. Un SR (SFM) a fost evaluată anterior de către PR guvernamental, deoarece activează în calitate de SR începănd cu Runda 1. Alţi doi SR au fost evaluaţi (Viaţa Nouă și Institutul pentru Drepturile Omului din Moldova) de către Centrul PAS iar ultimul (Liga persoanelor care trăiesc cu HIV din Republica Moldova) de către Agentul Local al Fondului Global. Urmare a evaluării au fost semnate patru acorduri de sub-grant. În septembrie 2011, din cauza lipsei de capacitate pentru implementarea adecvată a componentului de grant contractat acordul de sub-finantare cu unul dintre SR (Liga persoanelor care trăiesc cu HIV) a fost reziliat și gestionarea activităților a fost încredințată altui SR (SFM). Respectiv  trei SR au primit fonduri pînă la finele Perioadei unu (31 decembrie  2012). La etapa de reînoire a grantului, componentul implementat de unul dintre acesti SR a fost reorganizat și începănd cu Perioada 2 (2013)  doi SR primesc resurse din cadrul grantului trei SR.</t>
  </si>
  <si>
    <t>P19</t>
  </si>
  <si>
    <t>P20</t>
  </si>
  <si>
    <t>A total of 81 individuals out of 134 that initiated OST during P17-P18 (January-June 2014) have completed at least 6 months of continuous treatment on OST. Currently OST is provided in three sites: Republican Narcological Dispensary, Balti Municipal Hospital and the Department of Penitentiary Institutions (in 11 penitentiary institutions: #1 Taraclia, #5 Cahul, #6 Soroca, #7 Rusca, #9 Pruncul, #11 Balti, #15 Cricova, #16 Pruncul, #17 Rezina, #18 Branesti, #13 Chisinau).
The indicator is achieved in proportion of 100%.
[Un număr total de 81 de persoane din 134 care au inițiat TSO în P17-P18 (Ianuarie-Iunie 2014) au finalizat cel puțin 6 luni de tratament TSO continuu. Actualmente TSO este distribuită în trei site-uri: Dispensarul Republican de Narcologie, Spitalul Municipal Bălți și Departamentul Instituțiilor Penitenciare (în 11 instituții penitenciare: #1 Taraclia,  #5 Cahul, #6 Soroca, #7 Rusca, #9 Pruncul, #11 Blti, #15 Cricova, #16 Pruncul, #17 Rezina, #18 Brănești, #13 Chișinău). Indicatorul este realizat în proporție de 100%</t>
  </si>
  <si>
    <t>July 01, 2014</t>
  </si>
  <si>
    <t>December 31, 2014</t>
  </si>
  <si>
    <t>P20 (Q4.2014)</t>
  </si>
  <si>
    <t>P19 (Q3.2014)</t>
  </si>
  <si>
    <t>By December, 31, 2014, the total amount disbursed by TGF to PAS Center was EUR 12,054,957. The cumulative disbursement rate is 99.9%. The variance is due to the amount of EUR 2.453 saved in period one, and deducted from period two disbursments.
(Până la 31 decembrie  2014, Centrului PAS i-au fost debursate de către Fondul Global 12,054,957 Euro. Rata cumulativă a debursării este de 99.9%. Variația este cauzată de deducerea din debursările pentru perioada doi a sumei de 2,453 Euro economisită în perioada unu.)</t>
  </si>
  <si>
    <t>The PR cash outflow rate for the reported period is 91.87% (Actual EUR 920,765/Budget EUR 1.002.194) from the  semiannual budget. The variance for the reporting period is due to advance payments to SRs and implementers and payments afferent to commitments from previous period.  
(Rata de absorbție pentru perioada raportată este de 91.87% (Actual 920,765 Euro/Budget 1.002.194 Euro) din bugetul semi anual. Variația dintre buget și cheltuieli pentru perioada raportată este în mare parte determinată de plăti în avans către SR și alți implementatori și plăți aferente perioadei anterioare.)</t>
  </si>
  <si>
    <t>The cumulative rate of absorption from budget as of December 2014 is 100,82% (Actual EUR 12,156,860/Budget EUR 12,057,410). The cumulative variance at the end of the reporting period is an over-expenditure of EUR 99,450 mainly due to  payments afferent to previouse periode.  
(Rata cumulativă de absorbţie din buget la 31 decembrie 2014 este de 100,82% (Actual 12,156,860 Euro/Budget 12,057,410 Euro). Variaţia cumulativă la finalul perioadei raportate constituie o supra cheltuială de 99,450 Euro fiind în mare parte determinată de plăţi aferente perioadei anterioare.</t>
  </si>
  <si>
    <t>The PU/EFR for year 2014 has been submitted to LFA in due terms (45 days after the end of reported period), on February 17, 2015. 
The disbursement requested with the previous PU/DR for S2, 2013 reached the PR on 31 March 2014 (50 days after the PU/DR) and include the budget for quarters 2-4, 2014.
(Actualizarea progresului si raportul financiar pentru anul 2014 a fost remisa Agentului Local al Fondului în termenii stabiliți (45 de zile după finisarea perioadei raportate) pe data de 17 februarie 2015.
Disbursarea solicitată cu actualizarea progresului pentru Semestrul 2, 2013 a fost primită de PR pe data de 31 martie 2014 (50 zile de la PU/DR) și a inclus bugetul pentru trimestrele 2-4, 2014.)</t>
  </si>
  <si>
    <t>Two full time positions and twelve part time.
(Două poziţii cu normă plină şi douasprezece - parţială.)</t>
  </si>
  <si>
    <t>The SRs’ quarterly reports (financial report, activity report and performance framework) are due to the PR not later than 25 days after the close of each quarter and are generally submitted in time. The clearance period vary from one SR to an other subject to the completeness and consistence of the reports.
For the SR SFM the Sub-subrecipients financial reports are due quarterly and can be submitted during the following quarter, the activity reports are due not later than 10 days from the end of each month and are generally submitted in time. During the reporting period reflected in this dashboard 15 reports from 15 due were submited in time. 
For the SR New Life the 2 Sub-subrecipient reports (financial, activity and indicators) are due not later than 15 days after the close of each quarter and are generally submitted in time.
(Rapoartele trimestriale ale SR  (raport financiar, raport de activitate și cadrul de performanță) urmează a fi transmise  RP nu mai târziu de 25 de zile de la încheierea fiecărui trimestru. Rapoartele sunt de regulă prezentate la timp. Perioada de verificare şi aprobare variază de la un SR la altul în funcţie de exhaustivitatea și consistență rapoartelor.
Pentru SR FSM rapoarte financiare ale Sub-subrecipienţilor (Ssr) urmează a fi transmise trimestrial și pot fi prezentate în trimestrul următor, rapoartele de activitate urmează a fi prezentate nu mai târziu de 10 zile de la sfârșitul fiecărei luni și sunt, în general, prezentate la timp. Pe parcursul perioadei de raportare reflectată în aces raport, 15 raporte din 15 planificate au fost transmise la timp. 
Pentru SR Viaţa Nouă cele două rapoarte ale Sub-subrecipientilor (financiare, de activitate și indicatorii) urmează a fi prezentate nu mai târziu de 15 zile de la încheierea fiecărui trimestru și sunt, de regulă, prezentate la timp.)</t>
  </si>
  <si>
    <r>
      <rPr>
        <sz val="8"/>
        <rFont val="Calibri"/>
        <family val="2"/>
      </rPr>
      <t>During S 2, 2014 a total of 282 PLHIV were primarily reached with care and support services through four social regional centers providing assistance to PLHIV and 10 territorial organizations that ensures outreach to PLHIV and their families. The beneficiaries are provided with the following services: psycho-social counseling and support, medical counseling and referral, distribution of information materials, peer counseling, self-support groups and food support, etc.
The indicator is overachieved.</t>
    </r>
    <r>
      <rPr>
        <sz val="8"/>
        <color indexed="8"/>
        <rFont val="Calibri"/>
        <family val="2"/>
      </rPr>
      <t xml:space="preserve">
[Pe parcursul semestrului 2, 2014, în total 282 PTH au fost primar acoperiți cu servicii de îngrijire și suport prestate în cadrul celor patru Centre Sociale Regionale și a 10 organizații teritoriale care prestează servicii direct PTH și membrilor familiilor lor. Beneficiarilor le sunt prestate următoarele servicii: suport și consiliere psiho-socială, consultații medicale și referiri, diseminarea materialelor informaționale și consiliere de la egal la egal, activități in grup și suport cu pachete alimentare, etc. 
Indicatorul este depășit.]</t>
    </r>
  </si>
  <si>
    <t>During S2, 2014 a total of 40 PWIDs on opioid substitution therapy (primarily reached) received at least 3 support services from the package (psycho-social support, self-support groups, peer to peer education, distributions of information materials, food support, etc.) offered by NGOs working in PWUDs rehabilitation. 
The indicator is achieved in proportion of 91%.
Reason for variance: The target for reported period (40 persons primarily reached per Semester) have been achieved (40 new people reached in S2, 2015). The underachievement of the cumulative target for the reported period (over program term) is determined by the variation between targets settled and results registered for period one of grant implementation caused by continuously decreasing enrolment of new patients in OST. As the number of OST patients that can be covered with psycho-support services is directly tied to new patients enrolled in OST, the enrolment dynamics in period one has determined and directly impacted the achievement of targets for this indicator and is affecting the results for the reported period as the target is cumulative over program term.  
[Pe parcursul semestrului 2, 2015 un total de 40 CDI aflați în terapia de substituție cu metadonă (primar acoperiți) au primit cel puțin 3 servicii de suport social din pachetul serviciilor (sprijin psiho-social, grupuri de suport reciproc, educație de la egal la egal, diseminarea materialelor informaționale și distribuirea pachetelor alimentare și igienice) oferite în cadrul centrelor de zi de către ONG-urile care lucrează în domeniul reabilitării CDI.
Indicatorul este substanțial atins (91%). 
Cauza variației: Ținta pentru perioada raportata (40 persoane noi primar acoperite) a fost atinsa (40 persoane acoperite). Neatingerea țintei cumulative pentru perioada raportată (pe toata perioada grantului) este determinată de variația între ținta stabilită și rezultatele înregistrate pentru perioada întâi de implementare a grantului cauzată de scăderea continua a pacienților înrolați în TSO. Numărul de pacienți în TSO care pot fi acoperiți cu servicii de suport psiho-social este direct proporțional cu numărul pacienților noi înrolați în TSO, dinamica înrolării în perioada întâi a determinat și a afectat direct atingerea țintei pentru acest indicator și afectează rezultatul pentru perioada dată deoarece ținta propusă se calculează cumulativ pentru toată perioada grantului.]</t>
  </si>
  <si>
    <t xml:space="preserve">A total of 926 PLHIV received food parcels during S2, 2014, primarily reached. Each quarter 800 PLHIV, from both civilian and penitentiary sectors, selected based on socio-economic vulnerability, benefit of food parcels for better adherence to treatment.
The indicator is overachieved. 
The reason for variance: The target for this indicator is annual and has been calculated based on an estimated quarterly increase by 10% in the number of new beneficiaries which usually come from the ranks of new ART enrolled patients. 800 food parcels are distributed quarterly to PLHIV, selected based on a set of unique socio-economic vulnerability criteria. Subject to the degree of vulnerability the ranking of potential beneficiaries changes from one quarter to another, including previously reached and primarily reached beneficiaries (mostly from those newly enrolled in ART) that ranks in the top 800 most vulnerable ART patients.
În total 926 PTH au primit pachete alimentare pe parcursul semestrului 2, 2014 (primar acoperiți). In fiecare trimestru 800 PTH, din sectorul civil și penitenciar, selectate pe baza vulnerabilității socio-economice, beneficiază de pachete alimentare pentru o aderenta mai buna la tratament. Indicatorul este depășit. Motivul pentru variație: ținta pentru acest indicator este anuala și a fost calculata pe baza la o creștere estimată trimestriala de 10% din numărul de noi beneficiari care, de obicei, provin din rândurile de noi pacienți înrolați în ARV. 800 pachete alimentare sunt distribuite trimestrial PTH, selectate pe baza unui set de criterii unice de vulnerabilitate socio-economice. În funcție de gradul de vulnerabilitate al potențialilor beneficiari clasamentul se modifică de la un trimestru la altul, incluzând beneficiari acoperiți anterior și acoperiți primar (preponderent din rândul pacienților noi înrolați în ARV) care se clasează în primii cei mai vulnerabili  800 pacienți în ARV.  </t>
  </si>
  <si>
    <t>A total number of 53 representatives of organizations that provide services to PLHIV and key populations were trained during S2, 2014, from them: 27 people were trained in strategic planning and 26 in fundraising. 
The indicator is overachieved. Reason for variance: due the interest from community organizations and the fact that the costs for the selected venue allowed to increase the number of participants, a higher number of people have been included in each events compared to 25 planned.  
[Un număr total de 53 reprezentanți ai organizațiilor care prestează servicii PTH și ai populațiilor cheie au fost instruiți în S2, 2014, dintre care: 27 persoane au fost instruite în planificarea strategica și 26 în fundraising. 
Indicatorul este depășit. Motivul pentru variație: numărul persoanelor interesate în audierea cursului a fost mai mare decât cel planificat și datorită faptului că costurile de desfășurare a evenimentului au permis, numărul participanților a fost un pic mai mare decît 25 planificați.]</t>
  </si>
  <si>
    <t>A total of 257 children (primarily reached) received social support during S2, 2014, out of them 123 infected and 134 affected by HIV. Each quarter 230 children (all HIV infected children that can be reached and the majority of children born from HIV infected mother with unknown status) benefit of food parcels. At the same time each semester HIV positive children benefit of a set of stationary and clothing for school as part of social support program. During reported period the number of HIV positive children that benefited of clothing and school supplies was 123, exceeding by 23 the expected number of 100. This fact has determined the need to reallocate additional budget (from savings under other budget lines targeted at PLHIV support) in order to cover additional twenty four sets of clothing and school supplies.
The indicator is overachieved. 
Reason for variance: The number of children primarily reached with social support is determined by the number of children diagnosed with HIV that are reached and by the number of children born from HIV positive mothers immediately before and during the reported period. 
[Un total de 257 copii au beneficiat de suport social în prima jumate a anului 2014 (acoperiți primar), dintre care 123  copii HIV infectați și 134 copii afectați de HIV. În același timp, în fiecare trimestru, 230 copii (toți copiii infectați cu HIV, care pot fi acoperiți cu servicii, și majoritatea copiilor născuți din mame infectate cu HIV) beneficiază de un set de haine și rechizite școlare ca parte a programului de acordare a suportului social. Pe parcursul perioadei de raportare, numărul de copii HIV infectați care au primit un set de haine și rechizite școlare a crescut la 123, depășind cu 23 unități numărul planificat de 100. Acest fapt a determinat necesitatea realocării unui buget adițional (din economiile obținute în cadrul altor linii bugetare orientate către suportul PTH) pentru a acoperi douazeci și patru seturi suplimentare de îmbrăcăminte și rechizite școlare. 
Indicatorul este depășit. 
Cauza variației: Numărul de copii primar acoperiți cu suport social este determinat de numărul de copii diagnosticați cu HIV și numărul copiilor născuți din mame HIV pozitive imediat înainte și în perioada de raportate.]</t>
  </si>
  <si>
    <t xml:space="preserve">A total of 118 persons were trained in S2, 2015, from them: 29 medical MDT staff were trained in international training in Clinica Lavra - 15 in ARV treatment and OI in children and 14 in a TOT for ART, 25 non-medical specialists from Social regional center and NGO providing care and support to PLHIV were trained in services assessment, qualitative and quantitative assessment methods and tools, 26 VCT counselors from district hospital were trained in voluntary counseling and testing and counseling particularities for different populations and 38 infection disease doctors were trained in care to people living with HIV.                                                                                                                       
The indicator is overachieved. Reason for variance: one additional training for infection disease doctors has been conducted, with TGF approval, from savings under budget lines 3.1.2 and 3.1.4.
[În total 118 persoane au fost instruite în semestrul 2, 2015, dintre care: 29 lucrători medicali au fost instruiți in traininguri internaționale în Clinica Lavra - 15 în tratamentul ARV și IO la copii și 14  în TOT pentru ARV, 25 lucrători non-medicali din centrele social regionale și ONG-urile  care oferă servicii de îngrijire și suport pentru PTH au fost instruiți în metode calitative și cantitative de cercetare, instrumente de evaluare a serviciilor prestate în cadrul organizației; 26 consilieri din cabinetele CTV ale spitalelor raionale au fost instruiți în consiliere și testare voluntară și particularități de consiliere la diferite grupuri de populație si 38 de medici infecționiști au fost instruiți în îngrijire pentru persoanele care trăiesc cu HIV.
Indicatorul este depășit. Cauza variației: o instruire adițională pentru medici infecționiști din cadrul liniei bugetare 3.1.2 si 3. 1. 4 a fost efectuata, cu aprobarea FG, din economii].
</t>
  </si>
  <si>
    <t>A total of 12 litigation cases have been initiated during S2, 2014. The cases were related to disclosure of confidential medical information related to HIV status, unethical and unprofessional behavior of medical staff, refusal to offer medical services, adoption of children by HIV positive persons, inhuman/ degrading treatment of detained PLHIV, etc.
The indicator is overachieved. The number of litigation cases is determined by the nature of cases handled by project lowers and have no financial impact as the litigator is fool day project consultant with fix remuneration.    
[Pe parcursul semestrului 2, 2015, au fost inițiate 12 litigii. Cazurile au fost legate de divulgarea informației medicale confidențiale legate de statutul HIV, comportament neetic și neprofesional al personalului medical, refuzul de a acorda servicii medicale, problema adopției copiilor de către persoane HIV pozitive, etc. 
Indicatorul este depășit. Cauza variației: Numărul de cazuri litigate depinde de natura cazurilor administrate de către avocații proiectului și nu are impact financiar deoarece litigatorul este angajat în proiect cu zi plină de lucru și are remunerare fixă.]</t>
  </si>
  <si>
    <t>During S2, 2014 a total of 116 consultancies were offered remotely by traveling to project sites of 4 lawyers. They offered legal assistance related to issues of legal, civil (including disclosure of HIV status), administrative nature to all PLHIV in need. 
The indicator is overachieved. 
Reason for variance: The number of consultancies offered by project lawyers is determined by the request of legal support from PLHIV and can vary from one period to another. With the opening of Social Regional Centers project lawyer provide services within the Centers facilities (with a specific periodicity) bringing this way services closer to the beneficiary and increasing their access to legal support. The increase in number of consultancies provided has no financial impact as the layers are fool day project consultants with fix remuneration.   
[Pe parcursul semestrului 2, 2014 au fost prestate 116 consultații în teren de către 4 avocați. Aceștia au oferit asistență juridică pe aspecte de natură legală, civilă (inclusiv divulgarea statutului HIV) și administrative ale tuturor PTH care au solicitat asistență juridici).
Indicatorul este depășit. 
Cauza variației: Numărul de consultații oferite de către avocații proiectului este determinat de cererea de asistență juridică din partea PTH și poate varia de la o perioadă la alta. Odată cu deschiderea Centrelor Sociale Regionale avocații prestează servicii în cadrul centrelor (cu o anumită periodicitate) aducând astfel serviciile mai aproape de beneficiar și crescând accesul la asistența juridică. Creșterea numărului de servicii de consultanță juridică prestate nu are impact financiar deoarece avocații sunt angajați în proiect cu zi plină de lucru și au remunerare fixă.]</t>
  </si>
  <si>
    <t>a</t>
  </si>
  <si>
    <t>The two special conditions related to period 2 have been fulfilled  in strict accordance with their provisions. 
(Cele două condiții speciale aferente perioadei 2 au fost îndeplinite, în strictă conformitate cu prevederile contractuale.)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</si>
</sst>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409]mmmm\ d\,\ yyyy;@"/>
    <numFmt numFmtId="175" formatCode="[$-409]d\-mmm\-yyyy;@"/>
  </numFmts>
  <fonts count="142">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i/>
      <sz val="11"/>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8"/>
      <color indexed="81"/>
      <name val="Tahoma"/>
      <family val="2"/>
    </font>
    <font>
      <b/>
      <sz val="20"/>
      <color indexed="8"/>
      <name val="Calibri"/>
      <family val="2"/>
    </font>
    <font>
      <sz val="20"/>
      <color indexed="8"/>
      <name val="Calibri"/>
      <family val="2"/>
    </font>
    <font>
      <sz val="10"/>
      <name val="Arial"/>
      <family val="2"/>
    </font>
    <font>
      <i/>
      <sz val="10"/>
      <name val="Arial"/>
      <family val="2"/>
    </font>
    <font>
      <sz val="8"/>
      <name val="Calibri"/>
      <family val="2"/>
    </font>
    <font>
      <sz val="11"/>
      <name val="Calibri"/>
      <family val="2"/>
    </font>
    <font>
      <sz val="11"/>
      <color theme="1"/>
      <name val="Calibri"/>
      <family val="2"/>
      <scheme val="minor"/>
    </font>
    <font>
      <sz val="10"/>
      <color theme="1"/>
      <name val="Arial"/>
      <family val="2"/>
    </font>
    <font>
      <sz val="11"/>
      <name val="Calibri"/>
      <family val="2"/>
      <scheme val="minor"/>
    </font>
    <font>
      <sz val="10"/>
      <color theme="1"/>
      <name val="Calibri"/>
      <family val="2"/>
    </font>
    <font>
      <sz val="10"/>
      <color rgb="FF002060"/>
      <name val="Arial"/>
      <family val="2"/>
    </font>
    <font>
      <sz val="8"/>
      <color theme="1"/>
      <name val="Calibri"/>
      <family val="2"/>
    </font>
    <font>
      <sz val="9"/>
      <color indexed="8"/>
      <name val="Calibri"/>
      <family val="2"/>
    </font>
    <font>
      <sz val="9"/>
      <color indexed="9"/>
      <name val="Calibri"/>
      <family val="2"/>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65"/>
        <bgColor indexed="64"/>
      </patternFill>
    </fill>
    <fill>
      <patternFill patternType="gray0625">
        <fgColor indexed="51"/>
      </patternFill>
    </fill>
    <fill>
      <patternFill patternType="solid">
        <fgColor indexed="65"/>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gray0625">
        <fgColor indexed="51"/>
        <bgColor indexed="43"/>
      </patternFill>
    </fill>
    <fill>
      <patternFill patternType="solid">
        <fgColor indexed="57"/>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s>
  <borders count="2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thin">
        <color auto="1"/>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diagonal/>
    </border>
    <border>
      <left style="medium">
        <color indexed="51"/>
      </left>
      <right style="medium">
        <color indexed="51"/>
      </right>
      <top/>
      <bottom/>
      <diagonal/>
    </border>
    <border>
      <left/>
      <right style="thin">
        <color auto="1"/>
      </right>
      <top/>
      <bottom/>
      <diagonal/>
    </border>
    <border>
      <left/>
      <right style="medium">
        <color indexed="51"/>
      </right>
      <top/>
      <bottom/>
      <diagonal/>
    </border>
    <border>
      <left style="medium">
        <color indexed="51"/>
      </left>
      <right style="medium">
        <color indexed="51"/>
      </right>
      <top style="medium">
        <color indexed="51"/>
      </top>
      <bottom/>
      <diagonal/>
    </border>
    <border>
      <left/>
      <right style="thin">
        <color auto="1"/>
      </right>
      <top style="medium">
        <color indexed="51"/>
      </top>
      <bottom/>
      <diagonal/>
    </border>
    <border>
      <left style="thin">
        <color auto="1"/>
      </left>
      <right style="thin">
        <color auto="1"/>
      </right>
      <top style="medium">
        <color indexed="51"/>
      </top>
      <bottom/>
      <diagonal/>
    </border>
    <border>
      <left style="thin">
        <color indexed="16"/>
      </left>
      <right style="thin">
        <color indexed="16"/>
      </right>
      <top style="medium">
        <color indexed="51"/>
      </top>
      <bottom/>
      <diagonal/>
    </border>
    <border>
      <left style="thin">
        <color indexed="16"/>
      </left>
      <right style="medium">
        <color indexed="51"/>
      </right>
      <top style="medium">
        <color indexed="51"/>
      </top>
      <bottom/>
      <diagonal/>
    </border>
    <border>
      <left style="thin">
        <color indexed="60"/>
      </left>
      <right style="thin">
        <color indexed="60"/>
      </right>
      <top style="thin">
        <color indexed="60"/>
      </top>
      <bottom style="medium">
        <color indexed="60"/>
      </bottom>
      <diagonal/>
    </border>
    <border>
      <left style="medium">
        <color indexed="16"/>
      </left>
      <right style="thin">
        <color auto="1"/>
      </right>
      <top style="thin">
        <color auto="1"/>
      </top>
      <bottom style="medium">
        <color indexed="16"/>
      </bottom>
      <diagonal/>
    </border>
    <border>
      <left style="medium">
        <color indexed="60"/>
      </left>
      <right style="thin">
        <color indexed="60"/>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auto="1"/>
      </left>
      <right style="medium">
        <color indexed="16"/>
      </right>
      <top style="thin">
        <color auto="1"/>
      </top>
      <bottom style="medium">
        <color indexed="16"/>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s>
  <cellStyleXfs count="113">
    <xf numFmtId="0" fontId="0" fillId="0" borderId="0"/>
    <xf numFmtId="0" fontId="1" fillId="2" borderId="0" applyNumberFormat="0" applyBorder="0" applyAlignment="0"/>
    <xf numFmtId="0" fontId="1" fillId="2" borderId="0" applyNumberFormat="0" applyBorder="0" applyAlignment="0"/>
    <xf numFmtId="0" fontId="1" fillId="3" borderId="0" applyNumberFormat="0" applyBorder="0" applyAlignment="0"/>
    <xf numFmtId="0" fontId="1" fillId="3" borderId="0" applyNumberFormat="0" applyBorder="0" applyAlignment="0"/>
    <xf numFmtId="0" fontId="1" fillId="4" borderId="0" applyNumberFormat="0" applyBorder="0" applyAlignment="0"/>
    <xf numFmtId="0" fontId="1" fillId="4" borderId="0" applyNumberFormat="0" applyBorder="0" applyAlignment="0"/>
    <xf numFmtId="0" fontId="1" fillId="2" borderId="0" applyNumberFormat="0" applyBorder="0" applyAlignment="0"/>
    <xf numFmtId="0" fontId="1" fillId="2" borderId="0" applyNumberFormat="0" applyBorder="0" applyAlignment="0"/>
    <xf numFmtId="0" fontId="1" fillId="5" borderId="0" applyNumberFormat="0" applyBorder="0" applyAlignment="0"/>
    <xf numFmtId="0" fontId="1" fillId="5" borderId="0" applyNumberFormat="0" applyBorder="0" applyAlignment="0"/>
    <xf numFmtId="0" fontId="1" fillId="3" borderId="0" applyNumberFormat="0" applyBorder="0" applyAlignment="0"/>
    <xf numFmtId="0" fontId="1" fillId="3" borderId="0" applyNumberFormat="0" applyBorder="0" applyAlignment="0"/>
    <xf numFmtId="0" fontId="1" fillId="8" borderId="0" applyNumberFormat="0" applyBorder="0" applyAlignment="0"/>
    <xf numFmtId="0" fontId="1" fillId="8" borderId="0" applyNumberFormat="0" applyBorder="0" applyAlignment="0"/>
    <xf numFmtId="0" fontId="1" fillId="9" borderId="0" applyNumberFormat="0" applyBorder="0" applyAlignment="0"/>
    <xf numFmtId="0" fontId="1" fillId="9" borderId="0" applyNumberFormat="0" applyBorder="0" applyAlignment="0"/>
    <xf numFmtId="0" fontId="1" fillId="10" borderId="0" applyNumberFormat="0" applyBorder="0" applyAlignment="0"/>
    <xf numFmtId="0" fontId="1" fillId="10" borderId="0" applyNumberFormat="0" applyBorder="0" applyAlignment="0"/>
    <xf numFmtId="0" fontId="1" fillId="8" borderId="0" applyNumberFormat="0" applyBorder="0" applyAlignment="0"/>
    <xf numFmtId="0" fontId="1" fillId="8" borderId="0" applyNumberFormat="0" applyBorder="0" applyAlignment="0"/>
    <xf numFmtId="0" fontId="1" fillId="11" borderId="0" applyNumberFormat="0" applyBorder="0" applyAlignment="0"/>
    <xf numFmtId="0" fontId="1" fillId="11" borderId="0" applyNumberFormat="0" applyBorder="0" applyAlignment="0"/>
    <xf numFmtId="0" fontId="1" fillId="3" borderId="0" applyNumberFormat="0" applyBorder="0" applyAlignment="0"/>
    <xf numFmtId="0" fontId="1" fillId="3" borderId="0" applyNumberFormat="0" applyBorder="0" applyAlignment="0"/>
    <xf numFmtId="0" fontId="15" fillId="12" borderId="0" applyNumberFormat="0" applyBorder="0" applyAlignment="0"/>
    <xf numFmtId="0" fontId="15" fillId="12" borderId="0" applyNumberFormat="0" applyBorder="0" applyAlignment="0"/>
    <xf numFmtId="0" fontId="15" fillId="13" borderId="0" applyNumberFormat="0" applyBorder="0" applyAlignment="0"/>
    <xf numFmtId="0" fontId="15" fillId="13" borderId="0" applyNumberFormat="0" applyBorder="0" applyAlignment="0"/>
    <xf numFmtId="0" fontId="15" fillId="10" borderId="0" applyNumberFormat="0" applyBorder="0" applyAlignment="0"/>
    <xf numFmtId="0" fontId="15" fillId="10" borderId="0" applyNumberFormat="0" applyBorder="0" applyAlignment="0"/>
    <xf numFmtId="0" fontId="15" fillId="8" borderId="0" applyNumberFormat="0" applyBorder="0" applyAlignment="0"/>
    <xf numFmtId="0" fontId="15" fillId="8" borderId="0" applyNumberFormat="0" applyBorder="0" applyAlignment="0"/>
    <xf numFmtId="0" fontId="15" fillId="12" borderId="0" applyNumberFormat="0" applyBorder="0" applyAlignment="0"/>
    <xf numFmtId="0" fontId="15" fillId="12" borderId="0" applyNumberFormat="0" applyBorder="0" applyAlignment="0"/>
    <xf numFmtId="0" fontId="15" fillId="3" borderId="0" applyNumberFormat="0" applyBorder="0" applyAlignment="0"/>
    <xf numFmtId="0" fontId="15" fillId="3" borderId="0" applyNumberFormat="0" applyBorder="0" applyAlignment="0"/>
    <xf numFmtId="0" fontId="15" fillId="12" borderId="0" applyNumberFormat="0" applyBorder="0" applyAlignment="0"/>
    <xf numFmtId="0" fontId="15" fillId="12" borderId="0" applyNumberFormat="0" applyBorder="0" applyAlignment="0"/>
    <xf numFmtId="0" fontId="15" fillId="14" borderId="0" applyNumberFormat="0" applyBorder="0" applyAlignment="0"/>
    <xf numFmtId="0" fontId="15" fillId="14" borderId="0" applyNumberFormat="0" applyBorder="0" applyAlignment="0"/>
    <xf numFmtId="0" fontId="15" fillId="15" borderId="0" applyNumberFormat="0" applyBorder="0" applyAlignment="0"/>
    <xf numFmtId="0" fontId="15" fillId="15" borderId="0" applyNumberFormat="0" applyBorder="0" applyAlignment="0"/>
    <xf numFmtId="0" fontId="15" fillId="16" borderId="0" applyNumberFormat="0" applyBorder="0" applyAlignment="0"/>
    <xf numFmtId="0" fontId="15" fillId="16" borderId="0" applyNumberFormat="0" applyBorder="0" applyAlignment="0"/>
    <xf numFmtId="0" fontId="15" fillId="12" borderId="0" applyNumberFormat="0" applyBorder="0" applyAlignment="0"/>
    <xf numFmtId="0" fontId="15" fillId="12" borderId="0" applyNumberFormat="0" applyBorder="0" applyAlignment="0"/>
    <xf numFmtId="0" fontId="15" fillId="17" borderId="0" applyNumberFormat="0" applyBorder="0" applyAlignment="0"/>
    <xf numFmtId="0" fontId="15" fillId="17" borderId="0" applyNumberFormat="0" applyBorder="0" applyAlignment="0"/>
    <xf numFmtId="0" fontId="5" fillId="6" borderId="0" applyNumberFormat="0" applyBorder="0" applyAlignment="0"/>
    <xf numFmtId="0" fontId="5" fillId="6" borderId="0" applyNumberFormat="0" applyBorder="0" applyAlignment="0"/>
    <xf numFmtId="0" fontId="9" fillId="2" borderId="1" applyNumberFormat="0" applyAlignment="0"/>
    <xf numFmtId="0" fontId="9" fillId="2" borderId="1" applyNumberFormat="0" applyAlignment="0"/>
    <xf numFmtId="0" fontId="11" fillId="18" borderId="2" applyNumberFormat="0" applyAlignment="0"/>
    <xf numFmtId="0" fontId="11" fillId="18" borderId="2" applyNumberFormat="0" applyAlignment="0"/>
    <xf numFmtId="164" fontId="3" fillId="0" borderId="0" applyFont="0" applyFill="0" applyBorder="0" applyAlignment="0"/>
    <xf numFmtId="164" fontId="1" fillId="0" borderId="0" applyFont="0" applyFill="0" applyBorder="0" applyAlignment="0"/>
    <xf numFmtId="170" fontId="2" fillId="0" borderId="0" applyFont="0" applyFill="0" applyBorder="0" applyAlignment="0"/>
    <xf numFmtId="0" fontId="13" fillId="0" borderId="0" applyNumberFormat="0" applyFill="0" applyBorder="0" applyAlignment="0"/>
    <xf numFmtId="0" fontId="13" fillId="0" borderId="0" applyNumberFormat="0" applyFill="0" applyBorder="0" applyAlignment="0"/>
    <xf numFmtId="0" fontId="4" fillId="7" borderId="0" applyNumberFormat="0" applyBorder="0" applyAlignment="0"/>
    <xf numFmtId="0" fontId="4" fillId="7" borderId="0" applyNumberFormat="0" applyBorder="0" applyAlignment="0"/>
    <xf numFmtId="0" fontId="74" fillId="0" borderId="4" applyNumberFormat="0" applyFill="0" applyAlignment="0"/>
    <xf numFmtId="0" fontId="74" fillId="0" borderId="4" applyNumberFormat="0" applyFill="0" applyAlignment="0"/>
    <xf numFmtId="0" fontId="75" fillId="0" borderId="5" applyNumberFormat="0" applyFill="0" applyAlignment="0"/>
    <xf numFmtId="0" fontId="75" fillId="0" borderId="5" applyNumberFormat="0" applyFill="0" applyAlignment="0"/>
    <xf numFmtId="0" fontId="41" fillId="0" borderId="6" applyNumberFormat="0" applyFill="0" applyAlignment="0"/>
    <xf numFmtId="0" fontId="41" fillId="0" borderId="6" applyNumberFormat="0" applyFill="0" applyAlignment="0"/>
    <xf numFmtId="0" fontId="41" fillId="0" borderId="0" applyNumberFormat="0" applyFill="0" applyBorder="0" applyAlignment="0"/>
    <xf numFmtId="0" fontId="41" fillId="0" borderId="0" applyNumberFormat="0" applyFill="0" applyBorder="0" applyAlignment="0"/>
    <xf numFmtId="0" fontId="7" fillId="3" borderId="1" applyNumberFormat="0" applyAlignment="0"/>
    <xf numFmtId="0" fontId="7" fillId="3" borderId="1" applyNumberFormat="0" applyAlignment="0"/>
    <xf numFmtId="0" fontId="10" fillId="0" borderId="3" applyNumberFormat="0" applyFill="0" applyAlignment="0"/>
    <xf numFmtId="0" fontId="10" fillId="0" borderId="3" applyNumberFormat="0" applyFill="0" applyAlignment="0"/>
    <xf numFmtId="164" fontId="2" fillId="0" borderId="0" applyFill="0" applyBorder="0" applyAlignment="0"/>
    <xf numFmtId="164" fontId="1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34" fillId="0" borderId="0"/>
    <xf numFmtId="164" fontId="1" fillId="0" borderId="0"/>
    <xf numFmtId="164" fontId="1" fillId="0" borderId="0"/>
    <xf numFmtId="164" fontId="134" fillId="0" borderId="0"/>
    <xf numFmtId="164" fontId="134" fillId="0" borderId="0"/>
    <xf numFmtId="164" fontId="134" fillId="0" borderId="0"/>
    <xf numFmtId="164" fontId="134" fillId="0" borderId="0"/>
    <xf numFmtId="164" fontId="134" fillId="0" borderId="0"/>
    <xf numFmtId="164" fontId="134" fillId="0" borderId="0"/>
    <xf numFmtId="164" fontId="134" fillId="0" borderId="0"/>
    <xf numFmtId="164" fontId="134" fillId="0" borderId="0"/>
    <xf numFmtId="0" fontId="134" fillId="0" borderId="0"/>
    <xf numFmtId="0" fontId="134" fillId="0" borderId="0"/>
    <xf numFmtId="0" fontId="67" fillId="0" borderId="0"/>
    <xf numFmtId="0" fontId="2" fillId="4" borderId="7" applyNumberFormat="0" applyFont="0" applyAlignment="0"/>
    <xf numFmtId="0" fontId="2" fillId="4" borderId="7" applyNumberFormat="0" applyFont="0" applyAlignment="0"/>
    <xf numFmtId="0" fontId="8" fillId="2" borderId="8" applyNumberFormat="0" applyAlignment="0"/>
    <xf numFmtId="0" fontId="8" fillId="2" borderId="8" applyNumberFormat="0" applyAlignment="0"/>
    <xf numFmtId="9" fontId="3" fillId="0" borderId="0" applyFont="0" applyFill="0" applyBorder="0" applyAlignment="0"/>
    <xf numFmtId="9" fontId="1" fillId="0" borderId="0" applyFont="0" applyFill="0" applyBorder="0" applyAlignment="0"/>
    <xf numFmtId="0" fontId="42" fillId="0" borderId="0" applyNumberFormat="0" applyFill="0" applyBorder="0" applyAlignment="0"/>
    <xf numFmtId="0" fontId="42" fillId="0" borderId="0" applyNumberFormat="0" applyFill="0" applyBorder="0" applyAlignment="0"/>
    <xf numFmtId="164" fontId="134" fillId="0" borderId="9" applyNumberFormat="0" applyFill="0" applyAlignment="0"/>
    <xf numFmtId="164" fontId="134" fillId="0" borderId="9" applyNumberFormat="0" applyFill="0" applyAlignment="0"/>
    <xf numFmtId="164" fontId="1" fillId="0" borderId="9" applyNumberFormat="0" applyFill="0" applyAlignment="0"/>
    <xf numFmtId="164" fontId="1" fillId="0" borderId="9" applyNumberFormat="0" applyFill="0" applyAlignment="0"/>
    <xf numFmtId="164" fontId="134" fillId="0" borderId="9" applyNumberFormat="0" applyFill="0" applyAlignment="0"/>
    <xf numFmtId="164" fontId="134" fillId="0" borderId="9" applyNumberFormat="0" applyFill="0" applyAlignment="0"/>
    <xf numFmtId="0" fontId="76" fillId="0" borderId="0" applyNumberFormat="0" applyFill="0" applyBorder="0" applyAlignment="0"/>
    <xf numFmtId="0" fontId="76" fillId="0" borderId="0" applyNumberFormat="0" applyFill="0" applyBorder="0" applyAlignment="0"/>
  </cellStyleXfs>
  <cellXfs count="877">
    <xf numFmtId="0" fontId="0" fillId="0" borderId="0" xfId="0"/>
    <xf numFmtId="164" fontId="16" fillId="0" borderId="0" xfId="75" applyFont="1" applyFill="1" applyAlignment="1">
      <alignment vertical="center"/>
    </xf>
    <xf numFmtId="0" fontId="0" fillId="0" borderId="0" xfId="0" applyBorder="1"/>
    <xf numFmtId="0" fontId="0" fillId="0" borderId="0" xfId="0"/>
    <xf numFmtId="164" fontId="22" fillId="0" borderId="0" xfId="75" applyFont="1" applyFill="1" applyAlignment="1">
      <alignment vertical="center"/>
    </xf>
    <xf numFmtId="0" fontId="21" fillId="0" borderId="0" xfId="0" applyFont="1"/>
    <xf numFmtId="164" fontId="19" fillId="0" borderId="0" xfId="88" applyFont="1" applyFill="1" applyAlignment="1"/>
    <xf numFmtId="164" fontId="19" fillId="0" borderId="0" xfId="88" applyFont="1" applyFill="1" applyAlignment="1">
      <alignment horizontal="center"/>
    </xf>
    <xf numFmtId="164" fontId="19" fillId="0" borderId="0" xfId="88" applyFont="1" applyFill="1" applyAlignment="1">
      <alignment horizontal="right"/>
    </xf>
    <xf numFmtId="164" fontId="19" fillId="0" borderId="0" xfId="88" applyFont="1" applyFill="1" applyBorder="1" applyAlignment="1">
      <alignment horizontal="center"/>
    </xf>
    <xf numFmtId="164" fontId="134" fillId="0" borderId="0" xfId="86"/>
    <xf numFmtId="164" fontId="15" fillId="0" borderId="0" xfId="86" applyFont="1"/>
    <xf numFmtId="0" fontId="18" fillId="0" borderId="0" xfId="86" applyNumberFormat="1" applyFont="1" applyBorder="1"/>
    <xf numFmtId="164" fontId="134" fillId="0" borderId="0" xfId="90"/>
    <xf numFmtId="164" fontId="134" fillId="0" borderId="0" xfId="90" applyFill="1" applyBorder="1" applyAlignment="1">
      <alignment horizontal="left"/>
    </xf>
    <xf numFmtId="0" fontId="0" fillId="0" borderId="0" xfId="0" applyFill="1" applyBorder="1"/>
    <xf numFmtId="164" fontId="134" fillId="0" borderId="0" xfId="90" applyFill="1" applyBorder="1"/>
    <xf numFmtId="0" fontId="15" fillId="0" borderId="0" xfId="0" applyFont="1"/>
    <xf numFmtId="164" fontId="15" fillId="0" borderId="0" xfId="90" applyFont="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55" applyNumberFormat="1" applyFont="1" applyAlignment="1">
      <alignment horizontal="left"/>
    </xf>
    <xf numFmtId="164" fontId="16" fillId="0" borderId="0" xfId="85"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01" applyNumberFormat="1" applyFont="1" applyFill="1" applyBorder="1" applyAlignment="1">
      <alignment horizontal="center"/>
    </xf>
    <xf numFmtId="10" fontId="6" fillId="0" borderId="0" xfId="101" applyNumberFormat="1" applyFont="1" applyFill="1" applyBorder="1" applyAlignment="1" applyProtection="1">
      <alignment horizontal="center"/>
      <protection locked="0"/>
    </xf>
    <xf numFmtId="164" fontId="28" fillId="0" borderId="0" xfId="0" applyNumberFormat="1" applyFont="1" applyFill="1" applyBorder="1" applyAlignment="1"/>
    <xf numFmtId="164" fontId="134" fillId="0" borderId="0" xfId="109" applyFill="1" applyBorder="1" applyAlignment="1" applyProtection="1">
      <alignment vertical="center"/>
      <protection locked="0"/>
    </xf>
    <xf numFmtId="165" fontId="32" fillId="0" borderId="0" xfId="0" applyNumberFormat="1" applyFont="1" applyFill="1" applyBorder="1" applyAlignment="1">
      <alignment horizontal="center"/>
    </xf>
    <xf numFmtId="164" fontId="39" fillId="0" borderId="0" xfId="10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4" fillId="0" borderId="0" xfId="105" applyNumberFormat="1" applyFill="1" applyBorder="1" applyAlignment="1" applyProtection="1">
      <alignment horizontal="center"/>
      <protection locked="0"/>
    </xf>
    <xf numFmtId="0" fontId="15" fillId="0" borderId="0" xfId="0" applyFont="1" applyFill="1" applyBorder="1" applyAlignment="1">
      <alignment horizontal="center"/>
    </xf>
    <xf numFmtId="0" fontId="23" fillId="0" borderId="0" xfId="0" applyFont="1" applyFill="1" applyAlignment="1"/>
    <xf numFmtId="0" fontId="15" fillId="0" borderId="0" xfId="0" applyFont="1" applyAlignment="1">
      <alignment horizontal="left" indent="1"/>
    </xf>
    <xf numFmtId="0" fontId="18" fillId="0" borderId="0" xfId="0" applyFont="1" applyAlignment="1">
      <alignment horizontal="left" indent="1"/>
    </xf>
    <xf numFmtId="0" fontId="15" fillId="0" borderId="0" xfId="0" applyFont="1" applyFill="1" applyBorder="1"/>
    <xf numFmtId="164" fontId="69" fillId="0" borderId="0" xfId="86" applyFont="1"/>
    <xf numFmtId="164" fontId="69" fillId="0" borderId="0" xfId="90" applyFont="1"/>
    <xf numFmtId="0" fontId="69" fillId="0" borderId="10" xfId="0" applyFont="1" applyFill="1" applyBorder="1" applyAlignment="1">
      <alignment horizontal="center"/>
    </xf>
    <xf numFmtId="0" fontId="69" fillId="0" borderId="10" xfId="0" applyFont="1" applyFill="1" applyBorder="1"/>
    <xf numFmtId="164" fontId="69" fillId="0" borderId="10" xfId="90" applyFont="1" applyBorder="1"/>
    <xf numFmtId="0" fontId="70" fillId="0" borderId="10" xfId="0" applyFont="1" applyBorder="1" applyAlignment="1">
      <alignment horizontal="left" indent="1"/>
    </xf>
    <xf numFmtId="0" fontId="71" fillId="0" borderId="10" xfId="0" applyFont="1" applyBorder="1"/>
    <xf numFmtId="0" fontId="72" fillId="19" borderId="10" xfId="0" applyFont="1" applyFill="1" applyBorder="1" applyAlignment="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55" applyNumberFormat="1" applyFont="1" applyFill="1" applyBorder="1"/>
    <xf numFmtId="9" fontId="15" fillId="20" borderId="11" xfId="101" applyFont="1" applyFill="1" applyBorder="1"/>
    <xf numFmtId="9" fontId="15" fillId="20" borderId="11" xfId="101" applyNumberFormat="1" applyFont="1" applyFill="1" applyBorder="1"/>
    <xf numFmtId="0" fontId="15" fillId="20" borderId="11" xfId="0" applyFont="1" applyFill="1" applyBorder="1"/>
    <xf numFmtId="9" fontId="15" fillId="20" borderId="11" xfId="101" applyFont="1" applyFill="1" applyBorder="1" applyAlignment="1">
      <alignment horizontal="center"/>
    </xf>
    <xf numFmtId="0" fontId="15" fillId="0" borderId="0" xfId="0" applyFont="1"/>
    <xf numFmtId="0" fontId="33" fillId="0" borderId="0" xfId="0" applyFont="1" applyAlignment="1">
      <alignment horizontal="center"/>
    </xf>
    <xf numFmtId="164" fontId="61" fillId="0" borderId="0" xfId="85"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96" applyNumberFormat="1" applyFont="1" applyFill="1" applyBorder="1" applyAlignment="1">
      <alignment horizontal="center" vertical="center" wrapText="1"/>
    </xf>
    <xf numFmtId="0" fontId="77" fillId="21" borderId="13" xfId="96"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lignment horizontal="left"/>
    </xf>
    <xf numFmtId="0" fontId="83" fillId="0" borderId="0" xfId="0" applyFont="1"/>
    <xf numFmtId="164" fontId="39" fillId="0" borderId="0" xfId="109"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109" applyFont="1" applyBorder="1" applyAlignment="1"/>
    <xf numFmtId="164" fontId="134" fillId="0" borderId="14" xfId="109" applyFill="1" applyBorder="1" applyAlignment="1">
      <alignment vertical="center"/>
    </xf>
    <xf numFmtId="164" fontId="3" fillId="0" borderId="14" xfId="109" applyFont="1" applyFill="1" applyBorder="1" applyAlignment="1">
      <alignment vertical="center"/>
    </xf>
    <xf numFmtId="164" fontId="31" fillId="0" borderId="0" xfId="109" applyFont="1" applyBorder="1" applyAlignment="1"/>
    <xf numFmtId="164" fontId="134" fillId="0" borderId="0" xfId="109" applyFill="1" applyBorder="1" applyAlignment="1">
      <alignment vertical="center"/>
    </xf>
    <xf numFmtId="164" fontId="3" fillId="0" borderId="0" xfId="109" applyFont="1" applyFill="1" applyBorder="1" applyAlignment="1">
      <alignment vertical="center"/>
    </xf>
    <xf numFmtId="0" fontId="32" fillId="0" borderId="15" xfId="0" applyFont="1" applyBorder="1" applyAlignment="1">
      <alignment horizontal="center"/>
    </xf>
    <xf numFmtId="15" fontId="32" fillId="0" borderId="16" xfId="0" applyNumberFormat="1" applyFont="1" applyBorder="1" applyAlignment="1">
      <alignment horizontal="center"/>
    </xf>
    <xf numFmtId="0" fontId="32" fillId="0" borderId="17" xfId="0" applyFont="1" applyBorder="1" applyAlignment="1">
      <alignment horizontal="center"/>
    </xf>
    <xf numFmtId="166" fontId="15" fillId="0" borderId="0" xfId="0" applyNumberFormat="1" applyFont="1" applyFill="1" applyBorder="1" applyAlignment="1"/>
    <xf numFmtId="0" fontId="6" fillId="0" borderId="0" xfId="0" applyFont="1" applyFill="1" applyBorder="1" applyAlignment="1">
      <alignment horizontal="centerContinuous"/>
    </xf>
    <xf numFmtId="10" fontId="6" fillId="0" borderId="0" xfId="101" applyNumberFormat="1" applyFont="1" applyFill="1" applyBorder="1" applyAlignment="1">
      <alignment horizontal="center"/>
    </xf>
    <xf numFmtId="0" fontId="6" fillId="0" borderId="0" xfId="0" applyFont="1" applyFill="1" applyBorder="1" applyAlignment="1"/>
    <xf numFmtId="0" fontId="26" fillId="0" borderId="0" xfId="0" applyFont="1" applyFill="1" applyBorder="1" applyAlignment="1">
      <alignment horizontal="centerContinuous" wrapText="1"/>
    </xf>
    <xf numFmtId="0" fontId="26" fillId="0" borderId="0" xfId="0" applyFont="1" applyFill="1" applyBorder="1" applyAlignment="1">
      <alignment horizontal="centerContinuous"/>
    </xf>
    <xf numFmtId="0" fontId="0" fillId="0" borderId="0" xfId="0" applyFill="1" applyBorder="1" applyAlignment="1">
      <alignment horizontal="centerContinuous"/>
    </xf>
    <xf numFmtId="15" fontId="26" fillId="0" borderId="18" xfId="0" applyNumberFormat="1" applyFont="1" applyFill="1" applyBorder="1" applyAlignment="1"/>
    <xf numFmtId="164" fontId="38" fillId="0" borderId="19" xfId="109" applyFont="1" applyBorder="1" applyAlignment="1"/>
    <xf numFmtId="164" fontId="39" fillId="0" borderId="19" xfId="109" applyFont="1" applyFill="1" applyBorder="1" applyAlignment="1">
      <alignment vertical="center"/>
    </xf>
    <xf numFmtId="164" fontId="39" fillId="0" borderId="19" xfId="109" applyFont="1" applyFill="1" applyBorder="1" applyAlignment="1">
      <alignment horizontal="center" vertical="center"/>
    </xf>
    <xf numFmtId="164" fontId="39" fillId="0" borderId="0" xfId="109" applyFont="1" applyFill="1" applyBorder="1" applyAlignment="1">
      <alignment vertical="center"/>
    </xf>
    <xf numFmtId="164" fontId="38" fillId="0" borderId="0" xfId="109" applyFont="1" applyBorder="1" applyAlignment="1"/>
    <xf numFmtId="164" fontId="40" fillId="0" borderId="0" xfId="109" applyFont="1" applyFill="1" applyBorder="1" applyAlignment="1">
      <alignment vertical="center"/>
    </xf>
    <xf numFmtId="0" fontId="14" fillId="0" borderId="0" xfId="0" applyFont="1" applyBorder="1" applyAlignment="1">
      <alignment horizontal="center"/>
    </xf>
    <xf numFmtId="0" fontId="0" fillId="0" borderId="20" xfId="0" applyBorder="1" applyAlignment="1">
      <alignment horizontal="center"/>
    </xf>
    <xf numFmtId="0" fontId="14" fillId="0" borderId="20" xfId="0" applyFont="1" applyBorder="1" applyAlignment="1">
      <alignment horizontal="center"/>
    </xf>
    <xf numFmtId="0" fontId="14" fillId="0" borderId="20" xfId="0" applyFont="1" applyBorder="1" applyAlignment="1">
      <alignment horizontal="center" wrapText="1"/>
    </xf>
    <xf numFmtId="0" fontId="14" fillId="0" borderId="21" xfId="0" applyFont="1" applyBorder="1" applyAlignment="1">
      <alignment horizontal="center"/>
    </xf>
    <xf numFmtId="0" fontId="14" fillId="0" borderId="22" xfId="0" applyFont="1" applyBorder="1" applyAlignment="1">
      <alignment horizontal="center"/>
    </xf>
    <xf numFmtId="1" fontId="21" fillId="20" borderId="23" xfId="0" applyNumberFormat="1" applyFont="1" applyFill="1" applyBorder="1" applyAlignment="1">
      <alignment horizontal="center"/>
    </xf>
    <xf numFmtId="0" fontId="14" fillId="0" borderId="24" xfId="0" applyFont="1" applyBorder="1" applyAlignment="1">
      <alignment horizontal="center"/>
    </xf>
    <xf numFmtId="1" fontId="21" fillId="20" borderId="25" xfId="0" applyNumberFormat="1" applyFont="1" applyFill="1" applyBorder="1" applyAlignment="1">
      <alignment horizontal="center"/>
    </xf>
    <xf numFmtId="0" fontId="0" fillId="0" borderId="26" xfId="0" applyBorder="1"/>
    <xf numFmtId="0" fontId="0" fillId="0" borderId="21" xfId="0" applyBorder="1" applyAlignment="1">
      <alignment horizontal="center"/>
    </xf>
    <xf numFmtId="0" fontId="0" fillId="0" borderId="24" xfId="0" applyBorder="1" applyAlignment="1">
      <alignment horizontal="center"/>
    </xf>
    <xf numFmtId="0" fontId="32" fillId="0" borderId="20" xfId="0" applyFont="1" applyBorder="1" applyAlignment="1">
      <alignment horizontal="center"/>
    </xf>
    <xf numFmtId="0" fontId="32" fillId="0" borderId="21" xfId="0" applyFont="1" applyBorder="1" applyAlignment="1">
      <alignment horizontal="center"/>
    </xf>
    <xf numFmtId="0" fontId="0" fillId="0" borderId="0" xfId="0" applyFill="1" applyBorder="1" applyAlignment="1">
      <alignment horizontal="center" wrapText="1"/>
    </xf>
    <xf numFmtId="164" fontId="100" fillId="0" borderId="0" xfId="55" applyFont="1" applyFill="1" applyBorder="1"/>
    <xf numFmtId="164" fontId="0" fillId="0" borderId="0" xfId="0" applyNumberFormat="1" applyFill="1" applyBorder="1"/>
    <xf numFmtId="164" fontId="68" fillId="0" borderId="27" xfId="109" applyFont="1" applyFill="1" applyBorder="1" applyAlignment="1"/>
    <xf numFmtId="164" fontId="39" fillId="0" borderId="27" xfId="109" applyFont="1" applyFill="1" applyBorder="1" applyAlignment="1">
      <alignment vertical="center"/>
    </xf>
    <xf numFmtId="3" fontId="67" fillId="22" borderId="10" xfId="0" applyNumberFormat="1" applyFont="1" applyFill="1" applyBorder="1" applyAlignment="1" applyProtection="1">
      <alignment vertical="center"/>
      <protection locked="0"/>
    </xf>
    <xf numFmtId="164" fontId="28" fillId="0" borderId="0" xfId="0" applyNumberFormat="1" applyFont="1" applyAlignment="1">
      <alignment horizontal="right"/>
    </xf>
    <xf numFmtId="166" fontId="28" fillId="0" borderId="0" xfId="55" applyNumberFormat="1" applyFont="1" applyAlignment="1">
      <alignment horizontal="left"/>
    </xf>
    <xf numFmtId="15" fontId="28" fillId="0" borderId="0" xfId="0" applyNumberFormat="1" applyFont="1" applyAlignment="1">
      <alignment horizontal="left"/>
    </xf>
    <xf numFmtId="15" fontId="28" fillId="0" borderId="0" xfId="0" applyNumberFormat="1" applyFont="1" applyAlignment="1">
      <alignment horizontal="right"/>
    </xf>
    <xf numFmtId="164" fontId="28" fillId="0" borderId="0" xfId="0" applyNumberFormat="1" applyFont="1"/>
    <xf numFmtId="164" fontId="28" fillId="0" borderId="0" xfId="0" applyNumberFormat="1" applyFont="1" applyBorder="1"/>
    <xf numFmtId="164" fontId="28" fillId="0" borderId="0" xfId="0" applyNumberFormat="1" applyFont="1" applyBorder="1" applyAlignment="1">
      <alignment horizontal="right"/>
    </xf>
    <xf numFmtId="166" fontId="28" fillId="0" borderId="0" xfId="55" applyNumberFormat="1" applyFont="1" applyBorder="1" applyAlignment="1">
      <alignment horizontal="left"/>
    </xf>
    <xf numFmtId="0" fontId="19" fillId="0" borderId="0" xfId="0" applyFont="1" applyBorder="1" applyAlignment="1">
      <alignment horizontal="center"/>
    </xf>
    <xf numFmtId="0" fontId="19" fillId="0" borderId="0" xfId="0" applyFont="1" applyAlignment="1">
      <alignment horizontal="center"/>
    </xf>
    <xf numFmtId="0" fontId="34" fillId="0" borderId="0" xfId="0" applyFont="1" applyBorder="1"/>
    <xf numFmtId="0" fontId="34" fillId="0" borderId="10" xfId="0" applyFont="1" applyBorder="1" applyAlignment="1">
      <alignment horizontal="center" vertical="center" wrapText="1"/>
    </xf>
    <xf numFmtId="15" fontId="26" fillId="0" borderId="0" xfId="0" applyNumberFormat="1" applyFont="1" applyFill="1" applyBorder="1" applyAlignment="1"/>
    <xf numFmtId="15" fontId="26" fillId="0" borderId="0" xfId="0" applyNumberFormat="1" applyFont="1" applyFill="1" applyBorder="1" applyAlignment="1">
      <alignment horizontal="center" wrapText="1"/>
    </xf>
    <xf numFmtId="0" fontId="26" fillId="0" borderId="0" xfId="0" applyFont="1" applyFill="1" applyBorder="1"/>
    <xf numFmtId="0" fontId="0" fillId="0" borderId="0" xfId="0" applyFill="1" applyBorder="1" applyAlignment="1">
      <alignment horizontal="center"/>
    </xf>
    <xf numFmtId="0" fontId="26" fillId="0" borderId="0" xfId="0" applyFont="1" applyFill="1" applyBorder="1" applyAlignment="1"/>
    <xf numFmtId="0" fontId="0" fillId="0" borderId="21" xfId="0" applyBorder="1" applyAlignment="1">
      <alignment horizontal="center" wrapText="1"/>
    </xf>
    <xf numFmtId="0" fontId="43" fillId="0" borderId="0" xfId="0" applyFont="1"/>
    <xf numFmtId="0" fontId="43" fillId="0" borderId="0" xfId="0" applyFont="1" applyAlignment="1">
      <alignment horizontal="right"/>
    </xf>
    <xf numFmtId="0" fontId="43" fillId="0" borderId="0" xfId="0" applyFont="1" applyBorder="1"/>
    <xf numFmtId="0" fontId="45" fillId="0" borderId="0" xfId="0" applyFont="1" applyBorder="1" applyAlignment="1">
      <alignment horizontal="left" vertical="center"/>
    </xf>
    <xf numFmtId="0" fontId="45" fillId="0" borderId="0" xfId="0" applyFont="1" applyBorder="1" applyAlignment="1">
      <alignment horizontal="left"/>
    </xf>
    <xf numFmtId="167" fontId="45" fillId="0" borderId="0" xfId="0" applyNumberFormat="1" applyFont="1" applyBorder="1" applyAlignment="1">
      <alignment horizontal="left"/>
    </xf>
    <xf numFmtId="0" fontId="46" fillId="0" borderId="0" xfId="0" applyFont="1"/>
    <xf numFmtId="0" fontId="47" fillId="0" borderId="0" xfId="0" applyFont="1" applyFill="1" applyBorder="1"/>
    <xf numFmtId="0" fontId="48" fillId="0" borderId="0" xfId="0" applyFont="1" applyFill="1" applyBorder="1"/>
    <xf numFmtId="0" fontId="50" fillId="0" borderId="0" xfId="0" applyFont="1" applyFill="1" applyBorder="1" applyAlignment="1">
      <alignment horizontal="right"/>
    </xf>
    <xf numFmtId="0" fontId="51" fillId="0" borderId="0" xfId="0" applyFont="1" applyFill="1" applyBorder="1" applyAlignment="1">
      <alignment horizontal="center"/>
    </xf>
    <xf numFmtId="0" fontId="34" fillId="0" borderId="0" xfId="0" applyFont="1" applyBorder="1" applyAlignment="1">
      <alignment horizontal="center" vertical="center"/>
    </xf>
    <xf numFmtId="0" fontId="52" fillId="20" borderId="0" xfId="0" applyFont="1" applyFill="1" applyBorder="1" applyAlignment="1">
      <alignment horizontal="left" vertical="center"/>
    </xf>
    <xf numFmtId="3" fontId="57" fillId="0" borderId="0" xfId="0" applyNumberFormat="1" applyFont="1" applyFill="1" applyBorder="1" applyAlignment="1">
      <alignment horizontal="right" vertical="center"/>
    </xf>
    <xf numFmtId="0" fontId="58" fillId="20" borderId="0" xfId="0" applyFont="1" applyFill="1" applyBorder="1" applyAlignment="1">
      <alignment horizontal="left" vertical="center"/>
    </xf>
    <xf numFmtId="169" fontId="52" fillId="20" borderId="0" xfId="0" applyNumberFormat="1" applyFont="1" applyFill="1" applyBorder="1" applyAlignment="1">
      <alignment vertical="center"/>
    </xf>
    <xf numFmtId="0" fontId="53" fillId="20" borderId="0" xfId="0" applyNumberFormat="1" applyFont="1" applyFill="1" applyBorder="1" applyAlignment="1">
      <alignment horizontal="right"/>
    </xf>
    <xf numFmtId="0" fontId="63" fillId="20" borderId="0" xfId="0" applyFont="1" applyFill="1" applyBorder="1" applyAlignment="1">
      <alignment horizontal="center" vertical="center"/>
    </xf>
    <xf numFmtId="0" fontId="54" fillId="20" borderId="0" xfId="0" applyFont="1" applyFill="1" applyBorder="1" applyAlignment="1">
      <alignment horizontal="center" vertical="center"/>
    </xf>
    <xf numFmtId="168" fontId="52" fillId="20" borderId="0" xfId="101" applyNumberFormat="1" applyFont="1" applyFill="1" applyBorder="1" applyAlignment="1">
      <alignment horizontal="right"/>
    </xf>
    <xf numFmtId="9" fontId="55" fillId="20" borderId="0" xfId="0" applyNumberFormat="1" applyFont="1" applyFill="1" applyBorder="1"/>
    <xf numFmtId="0" fontId="56" fillId="20" borderId="0" xfId="0" applyFont="1" applyFill="1" applyBorder="1" applyAlignment="1">
      <alignment horizontal="center" vertical="center"/>
    </xf>
    <xf numFmtId="9" fontId="55" fillId="20" borderId="0" xfId="0" applyNumberFormat="1" applyFont="1" applyFill="1" applyBorder="1" applyAlignment="1">
      <alignment horizontal="left"/>
    </xf>
    <xf numFmtId="0" fontId="64"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0" xfId="0" applyFont="1" applyFill="1" applyBorder="1" applyAlignment="1">
      <alignment horizontal="right" vertical="center" indent="1"/>
    </xf>
    <xf numFmtId="0" fontId="53" fillId="0" borderId="28" xfId="0" applyNumberFormat="1" applyFont="1" applyFill="1" applyBorder="1" applyAlignment="1">
      <alignment horizontal="right"/>
    </xf>
    <xf numFmtId="0" fontId="53" fillId="0" borderId="29" xfId="0" applyNumberFormat="1" applyFont="1" applyFill="1" applyBorder="1" applyAlignment="1">
      <alignment horizontal="right"/>
    </xf>
    <xf numFmtId="0" fontId="53" fillId="0" borderId="30" xfId="0" applyNumberFormat="1" applyFont="1" applyFill="1" applyBorder="1" applyAlignment="1">
      <alignment horizontal="right"/>
    </xf>
    <xf numFmtId="0" fontId="62" fillId="0" borderId="0" xfId="0" applyFont="1" applyFill="1" applyBorder="1" applyAlignment="1">
      <alignment horizontal="center"/>
    </xf>
    <xf numFmtId="0" fontId="53" fillId="0" borderId="0" xfId="0" applyNumberFormat="1" applyFont="1" applyFill="1" applyBorder="1" applyAlignment="1">
      <alignment horizontal="right"/>
    </xf>
    <xf numFmtId="0" fontId="63" fillId="0" borderId="0" xfId="0" applyFont="1" applyFill="1" applyBorder="1" applyAlignment="1">
      <alignment horizontal="center" vertical="center"/>
    </xf>
    <xf numFmtId="9" fontId="66" fillId="0" borderId="0" xfId="0" applyNumberFormat="1" applyFont="1" applyFill="1" applyBorder="1" applyAlignment="1"/>
    <xf numFmtId="9" fontId="66" fillId="0" borderId="0" xfId="0" applyNumberFormat="1" applyFont="1" applyFill="1" applyBorder="1" applyAlignment="1">
      <alignment horizontal="center"/>
    </xf>
    <xf numFmtId="0" fontId="53" fillId="0" borderId="31" xfId="0" applyNumberFormat="1" applyFont="1" applyFill="1" applyBorder="1" applyAlignment="1">
      <alignment horizontal="right"/>
    </xf>
    <xf numFmtId="9" fontId="55" fillId="0" borderId="0" xfId="0" applyNumberFormat="1" applyFont="1" applyFill="1" applyBorder="1"/>
    <xf numFmtId="0" fontId="53" fillId="0" borderId="32" xfId="0" applyNumberFormat="1" applyFont="1" applyFill="1" applyBorder="1" applyAlignment="1">
      <alignment horizontal="right"/>
    </xf>
    <xf numFmtId="0" fontId="53" fillId="0" borderId="33" xfId="0" applyNumberFormat="1" applyFont="1" applyFill="1" applyBorder="1" applyAlignment="1">
      <alignment horizontal="right"/>
    </xf>
    <xf numFmtId="0" fontId="34" fillId="0" borderId="34" xfId="0" applyNumberFormat="1" applyFont="1" applyFill="1" applyBorder="1" applyAlignment="1">
      <alignment vertical="center"/>
    </xf>
    <xf numFmtId="0" fontId="34" fillId="0" borderId="35" xfId="0" applyNumberFormat="1" applyFont="1" applyFill="1" applyBorder="1" applyAlignment="1">
      <alignment vertical="center"/>
    </xf>
    <xf numFmtId="0" fontId="34" fillId="0" borderId="36" xfId="0" applyNumberFormat="1" applyFont="1" applyFill="1" applyBorder="1" applyAlignment="1">
      <alignment vertical="center"/>
    </xf>
    <xf numFmtId="0" fontId="44" fillId="0" borderId="0" xfId="0" applyFont="1"/>
    <xf numFmtId="0" fontId="65" fillId="0" borderId="0" xfId="0" applyFont="1"/>
    <xf numFmtId="0" fontId="59" fillId="0" borderId="0" xfId="0" applyFont="1"/>
    <xf numFmtId="0" fontId="73" fillId="0" borderId="0" xfId="0" applyFont="1" applyBorder="1" applyAlignment="1">
      <alignment wrapText="1"/>
    </xf>
    <xf numFmtId="0" fontId="69" fillId="0" borderId="0" xfId="0" applyFont="1" applyFill="1" applyBorder="1" applyAlignment="1"/>
    <xf numFmtId="164" fontId="15" fillId="0" borderId="0" xfId="0" applyNumberFormat="1" applyFont="1"/>
    <xf numFmtId="0" fontId="28" fillId="0" borderId="0" xfId="0" applyNumberFormat="1" applyFont="1" applyAlignment="1">
      <alignment horizontal="center"/>
    </xf>
    <xf numFmtId="0" fontId="28" fillId="0" borderId="0" xfId="0" applyFont="1" applyAlignment="1">
      <alignment horizontal="center"/>
    </xf>
    <xf numFmtId="15" fontId="28" fillId="0" borderId="0" xfId="0" applyNumberFormat="1" applyFont="1" applyAlignment="1">
      <alignment horizontal="center"/>
    </xf>
    <xf numFmtId="164" fontId="0" fillId="0" borderId="0" xfId="0" applyNumberFormat="1" applyAlignment="1">
      <alignment horizontal="right"/>
    </xf>
    <xf numFmtId="3" fontId="0" fillId="0" borderId="0" xfId="0" applyNumberFormat="1"/>
    <xf numFmtId="164" fontId="37" fillId="0" borderId="0" xfId="0" applyNumberFormat="1" applyFont="1" applyBorder="1"/>
    <xf numFmtId="164" fontId="37" fillId="0" borderId="0" xfId="0" applyNumberFormat="1" applyFont="1"/>
    <xf numFmtId="166" fontId="6" fillId="0" borderId="0" xfId="55" applyNumberFormat="1" applyFont="1" applyFill="1" applyBorder="1" applyAlignment="1" applyProtection="1">
      <protection locked="0"/>
    </xf>
    <xf numFmtId="166" fontId="6" fillId="0" borderId="0" xfId="55"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xf numFmtId="165" fontId="15" fillId="20" borderId="0" xfId="0" applyNumberFormat="1" applyFont="1" applyFill="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7" xfId="0" applyFont="1" applyFill="1" applyBorder="1" applyAlignment="1">
      <alignment horizontal="center" wrapText="1"/>
    </xf>
    <xf numFmtId="0" fontId="28" fillId="0" borderId="38" xfId="0" applyFont="1" applyFill="1" applyBorder="1" applyAlignment="1">
      <alignment horizontal="center" wrapText="1"/>
    </xf>
    <xf numFmtId="0" fontId="0" fillId="0" borderId="38" xfId="0" applyBorder="1"/>
    <xf numFmtId="164" fontId="17" fillId="0" borderId="0" xfId="84" applyFont="1" applyFill="1" applyAlignment="1">
      <alignment horizontal="center" vertical="center"/>
    </xf>
    <xf numFmtId="164" fontId="16" fillId="0" borderId="0" xfId="84" applyFont="1" applyFill="1" applyAlignment="1">
      <alignment vertical="center"/>
    </xf>
    <xf numFmtId="0" fontId="84" fillId="0" borderId="0" xfId="0" applyFont="1"/>
    <xf numFmtId="164" fontId="14" fillId="0" borderId="0" xfId="0" applyNumberFormat="1" applyFont="1" applyAlignment="1">
      <alignment horizontal="center"/>
    </xf>
    <xf numFmtId="164" fontId="20" fillId="0" borderId="39" xfId="105" applyFont="1" applyBorder="1" applyAlignment="1">
      <alignment horizontal="right"/>
    </xf>
    <xf numFmtId="0" fontId="12" fillId="0" borderId="0" xfId="0" applyFont="1"/>
    <xf numFmtId="0" fontId="0" fillId="20" borderId="0" xfId="0" applyFill="1"/>
    <xf numFmtId="0" fontId="0" fillId="20" borderId="40" xfId="0" applyFill="1" applyBorder="1"/>
    <xf numFmtId="164" fontId="90" fillId="0" borderId="0" xfId="0" applyNumberFormat="1" applyFont="1"/>
    <xf numFmtId="0" fontId="90" fillId="0" borderId="0" xfId="0" applyFont="1"/>
    <xf numFmtId="164" fontId="0" fillId="0" borderId="0" xfId="0" quotePrefix="1" applyNumberFormat="1"/>
    <xf numFmtId="164" fontId="0" fillId="0" borderId="0" xfId="0" applyNumberFormat="1"/>
    <xf numFmtId="0" fontId="34" fillId="0" borderId="41" xfId="0" applyNumberFormat="1" applyFont="1" applyFill="1" applyBorder="1" applyAlignment="1">
      <alignment vertical="center"/>
    </xf>
    <xf numFmtId="164" fontId="134" fillId="0" borderId="0" xfId="92" applyFill="1" applyBorder="1" applyAlignment="1">
      <alignment horizontal="center"/>
    </xf>
    <xf numFmtId="0" fontId="34" fillId="0" borderId="0" xfId="0" quotePrefix="1" applyFont="1"/>
    <xf numFmtId="0" fontId="63" fillId="0" borderId="42" xfId="0" applyFont="1" applyBorder="1" applyAlignment="1">
      <alignment horizontal="justify" vertical="center" wrapText="1"/>
    </xf>
    <xf numFmtId="0" fontId="63" fillId="0" borderId="43" xfId="0" applyFont="1" applyBorder="1" applyAlignment="1">
      <alignment horizontal="justify" vertical="center" wrapText="1"/>
    </xf>
    <xf numFmtId="0" fontId="63" fillId="0" borderId="44" xfId="0" applyFont="1" applyBorder="1" applyAlignment="1">
      <alignment horizontal="justify" vertical="center" wrapText="1"/>
    </xf>
    <xf numFmtId="0" fontId="89" fillId="0" borderId="43" xfId="0" applyFont="1" applyBorder="1" applyAlignment="1">
      <alignment horizontal="justify" vertical="center" wrapText="1"/>
    </xf>
    <xf numFmtId="164" fontId="92" fillId="0" borderId="27" xfId="109" applyFont="1" applyFill="1" applyBorder="1" applyAlignment="1"/>
    <xf numFmtId="164" fontId="9" fillId="0" borderId="27" xfId="109" applyFont="1" applyFill="1" applyBorder="1" applyAlignment="1">
      <alignment vertical="center"/>
    </xf>
    <xf numFmtId="3" fontId="67" fillId="23" borderId="10" xfId="0" applyNumberFormat="1" applyFont="1" applyFill="1" applyBorder="1" applyAlignment="1" applyProtection="1">
      <alignment vertical="center"/>
      <protection locked="0"/>
    </xf>
    <xf numFmtId="0" fontId="88" fillId="0" borderId="42" xfId="0" applyFont="1" applyBorder="1" applyAlignment="1">
      <alignment vertical="center" wrapText="1"/>
    </xf>
    <xf numFmtId="0" fontId="88" fillId="0" borderId="43" xfId="0" applyFont="1" applyBorder="1" applyAlignment="1">
      <alignment vertical="center" wrapText="1"/>
    </xf>
    <xf numFmtId="0" fontId="2" fillId="0" borderId="45" xfId="0" applyFont="1" applyFill="1" applyBorder="1" applyAlignment="1">
      <alignment horizontal="center"/>
    </xf>
    <xf numFmtId="0" fontId="67" fillId="0" borderId="10" xfId="0" applyFont="1" applyFill="1" applyBorder="1" applyAlignment="1">
      <alignment horizontal="center"/>
    </xf>
    <xf numFmtId="0" fontId="1" fillId="0" borderId="0" xfId="0" applyFont="1"/>
    <xf numFmtId="0" fontId="95" fillId="0" borderId="0" xfId="0" applyFont="1"/>
    <xf numFmtId="164" fontId="97" fillId="0" borderId="27" xfId="109" applyFont="1" applyFill="1" applyBorder="1" applyAlignment="1">
      <alignment vertical="center"/>
    </xf>
    <xf numFmtId="0" fontId="96" fillId="0" borderId="0" xfId="0" applyFont="1" applyFill="1"/>
    <xf numFmtId="15" fontId="6" fillId="0" borderId="0" xfId="0" applyNumberFormat="1" applyFont="1" applyFill="1" applyBorder="1" applyAlignment="1">
      <alignment horizontal="center"/>
    </xf>
    <xf numFmtId="15" fontId="36" fillId="0" borderId="0" xfId="0" applyNumberFormat="1" applyFont="1" applyAlignment="1">
      <alignment horizontal="center"/>
    </xf>
    <xf numFmtId="1" fontId="21" fillId="24" borderId="10" xfId="0" applyNumberFormat="1" applyFont="1" applyFill="1" applyBorder="1" applyAlignment="1" applyProtection="1">
      <alignment horizontal="center"/>
      <protection locked="0"/>
    </xf>
    <xf numFmtId="1" fontId="21" fillId="24" borderId="46" xfId="0" applyNumberFormat="1" applyFont="1" applyFill="1" applyBorder="1" applyAlignment="1" applyProtection="1">
      <alignment horizontal="center"/>
      <protection locked="0"/>
    </xf>
    <xf numFmtId="166" fontId="0" fillId="0" borderId="0" xfId="0" applyNumberFormat="1"/>
    <xf numFmtId="164" fontId="20" fillId="0" borderId="0" xfId="88" applyFont="1" applyFill="1" applyAlignment="1">
      <alignment horizontal="right" vertical="center"/>
    </xf>
    <xf numFmtId="0" fontId="102" fillId="0" borderId="0" xfId="0" applyFont="1" applyFill="1" applyBorder="1" applyAlignment="1">
      <alignment horizontal="right"/>
    </xf>
    <xf numFmtId="164" fontId="103" fillId="0" borderId="14" xfId="109" applyFont="1" applyFill="1" applyBorder="1" applyAlignment="1">
      <alignment horizontal="left" vertical="center"/>
    </xf>
    <xf numFmtId="0" fontId="104" fillId="0" borderId="0" xfId="0" applyFont="1" applyFill="1" applyBorder="1"/>
    <xf numFmtId="0" fontId="102" fillId="0" borderId="0" xfId="0" applyFont="1" applyBorder="1"/>
    <xf numFmtId="3" fontId="6" fillId="0" borderId="0" xfId="0" applyNumberFormat="1" applyFont="1" applyAlignment="1">
      <alignment horizontal="right"/>
    </xf>
    <xf numFmtId="15" fontId="101" fillId="0" borderId="0" xfId="0" applyNumberFormat="1" applyFont="1" applyFill="1" applyBorder="1" applyAlignment="1">
      <alignment horizontal="left"/>
    </xf>
    <xf numFmtId="0" fontId="108" fillId="0" borderId="0" xfId="0" applyFont="1" applyFill="1" applyBorder="1" applyAlignment="1">
      <alignment horizontal="center" wrapText="1"/>
    </xf>
    <xf numFmtId="0" fontId="102" fillId="0" borderId="0" xfId="0" applyFont="1" applyFill="1" applyBorder="1" applyAlignment="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15" fontId="32" fillId="0" borderId="47" xfId="0" applyNumberFormat="1" applyFont="1" applyBorder="1" applyAlignment="1">
      <alignment horizontal="center"/>
    </xf>
    <xf numFmtId="15" fontId="29" fillId="0" borderId="0" xfId="0" applyNumberFormat="1" applyFont="1" applyFill="1" applyBorder="1" applyAlignment="1">
      <alignment horizontal="center" vertical="center" wrapText="1"/>
    </xf>
    <xf numFmtId="0" fontId="77" fillId="0" borderId="48" xfId="0" applyFont="1" applyFill="1" applyBorder="1" applyAlignment="1">
      <alignment horizontal="center" vertical="center"/>
    </xf>
    <xf numFmtId="0" fontId="114" fillId="0" borderId="0" xfId="0" applyFont="1" applyBorder="1" applyAlignment="1">
      <alignment horizontal="right"/>
    </xf>
    <xf numFmtId="0" fontId="114" fillId="0" borderId="0" xfId="0" applyFont="1" applyAlignment="1">
      <alignment horizontal="right"/>
    </xf>
    <xf numFmtId="0" fontId="114" fillId="0" borderId="49" xfId="0" applyFont="1" applyBorder="1" applyAlignment="1">
      <alignment horizontal="right"/>
    </xf>
    <xf numFmtId="164" fontId="113" fillId="0" borderId="0" xfId="75" applyFont="1" applyFill="1" applyAlignment="1">
      <alignment vertical="center"/>
    </xf>
    <xf numFmtId="0" fontId="114" fillId="0" borderId="0" xfId="0" applyFont="1"/>
    <xf numFmtId="0" fontId="114" fillId="0" borderId="0" xfId="0" applyFont="1" applyBorder="1"/>
    <xf numFmtId="15" fontId="1" fillId="0" borderId="10" xfId="105" applyNumberFormat="1" applyFont="1" applyFill="1" applyBorder="1" applyAlignment="1" applyProtection="1">
      <alignment horizontal="center"/>
      <protection locked="0"/>
    </xf>
    <xf numFmtId="0" fontId="0" fillId="0" borderId="0" xfId="0" applyBorder="1" applyAlignment="1"/>
    <xf numFmtId="0" fontId="0" fillId="0" borderId="0" xfId="0" applyAlignment="1"/>
    <xf numFmtId="3" fontId="0" fillId="0" borderId="0" xfId="0" applyNumberFormat="1" applyFill="1"/>
    <xf numFmtId="0" fontId="0" fillId="0" borderId="0" xfId="0" applyFill="1" applyBorder="1" applyProtection="1">
      <protection locked="0"/>
    </xf>
    <xf numFmtId="0" fontId="99" fillId="0" borderId="0" xfId="0" applyFont="1" applyFill="1" applyBorder="1" applyAlignment="1">
      <alignment horizontal="center" vertical="center"/>
    </xf>
    <xf numFmtId="0" fontId="6" fillId="0" borderId="50" xfId="0" applyFont="1" applyBorder="1" applyAlignment="1"/>
    <xf numFmtId="0" fontId="6" fillId="0" borderId="51" xfId="0" applyFont="1" applyBorder="1" applyAlignment="1"/>
    <xf numFmtId="0" fontId="25" fillId="0" borderId="52" xfId="0" applyFont="1" applyBorder="1" applyAlignment="1">
      <alignment vertical="distributed"/>
    </xf>
    <xf numFmtId="15" fontId="27" fillId="0" borderId="53" xfId="0" applyNumberFormat="1" applyFont="1" applyFill="1" applyBorder="1" applyAlignment="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6" fillId="0" borderId="0" xfId="0" applyFont="1" applyFill="1" applyBorder="1" applyAlignment="1">
      <alignment horizontal="center" vertical="center"/>
    </xf>
    <xf numFmtId="15" fontId="26" fillId="0" borderId="10" xfId="0" applyNumberFormat="1" applyFont="1" applyFill="1" applyBorder="1" applyAlignment="1">
      <alignment horizontal="center"/>
    </xf>
    <xf numFmtId="15" fontId="26" fillId="0" borderId="54" xfId="0" applyNumberFormat="1" applyFont="1" applyFill="1" applyBorder="1" applyAlignment="1">
      <alignment horizontal="center"/>
    </xf>
    <xf numFmtId="0" fontId="32" fillId="25" borderId="55" xfId="0" applyFont="1" applyFill="1" applyBorder="1" applyAlignment="1">
      <alignment horizontal="centerContinuous"/>
    </xf>
    <xf numFmtId="15" fontId="110" fillId="0" borderId="38" xfId="0" applyNumberFormat="1" applyFont="1" applyFill="1" applyBorder="1" applyAlignment="1">
      <alignment horizontal="center" wrapText="1"/>
    </xf>
    <xf numFmtId="15" fontId="110" fillId="0" borderId="56" xfId="0" applyNumberFormat="1" applyFont="1" applyFill="1" applyBorder="1" applyAlignment="1">
      <alignment horizontal="center" wrapText="1"/>
    </xf>
    <xf numFmtId="0" fontId="37" fillId="0" borderId="57" xfId="0" applyFont="1" applyFill="1" applyBorder="1" applyAlignment="1">
      <alignment horizontal="center"/>
    </xf>
    <xf numFmtId="0" fontId="37" fillId="0" borderId="58" xfId="0" applyFont="1" applyFill="1" applyBorder="1" applyAlignment="1">
      <alignment horizontal="center"/>
    </xf>
    <xf numFmtId="0" fontId="32" fillId="25" borderId="59" xfId="0" applyFont="1" applyFill="1" applyBorder="1" applyAlignment="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lignment horizontal="center"/>
    </xf>
    <xf numFmtId="0" fontId="107" fillId="0" borderId="0" xfId="0" applyFont="1" applyFill="1" applyBorder="1" applyAlignment="1">
      <alignment horizontal="center" vertical="center"/>
    </xf>
    <xf numFmtId="15" fontId="0" fillId="0" borderId="0"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0" xfId="0" applyBorder="1" applyAlignment="1">
      <alignment horizontal="center"/>
    </xf>
    <xf numFmtId="0" fontId="0" fillId="0" borderId="38" xfId="0" applyFill="1" applyBorder="1" applyAlignment="1">
      <alignment horizontal="center"/>
    </xf>
    <xf numFmtId="0" fontId="1" fillId="0" borderId="37" xfId="0" applyFont="1" applyFill="1" applyBorder="1" applyAlignment="1">
      <alignment horizontal="center" wrapText="1"/>
    </xf>
    <xf numFmtId="0" fontId="0" fillId="0" borderId="37" xfId="0" applyBorder="1" applyAlignment="1">
      <alignment horizontal="center" wrapText="1"/>
    </xf>
    <xf numFmtId="0" fontId="28" fillId="0" borderId="37" xfId="0" applyFont="1" applyBorder="1" applyAlignment="1">
      <alignment horizontal="center" wrapText="1"/>
    </xf>
    <xf numFmtId="0" fontId="1" fillId="0" borderId="56" xfId="0" applyFont="1" applyFill="1" applyBorder="1" applyAlignment="1">
      <alignment horizontal="center" wrapText="1"/>
    </xf>
    <xf numFmtId="3" fontId="67" fillId="23" borderId="10" xfId="0" applyNumberFormat="1" applyFont="1" applyFill="1" applyBorder="1" applyAlignment="1" applyProtection="1">
      <alignment horizontal="right" vertical="center"/>
      <protection locked="0"/>
    </xf>
    <xf numFmtId="0" fontId="77" fillId="0" borderId="61" xfId="0" applyFont="1" applyFill="1" applyBorder="1" applyAlignment="1">
      <alignment horizontal="center" vertical="center"/>
    </xf>
    <xf numFmtId="164" fontId="115" fillId="0" borderId="19" xfId="109" applyFont="1" applyFill="1" applyBorder="1" applyAlignment="1">
      <alignment vertical="center"/>
    </xf>
    <xf numFmtId="0" fontId="24" fillId="0" borderId="0" xfId="0" applyFont="1"/>
    <xf numFmtId="164" fontId="110" fillId="0" borderId="0" xfId="0" applyNumberFormat="1" applyFont="1" applyBorder="1" applyAlignment="1">
      <alignment vertical="center" wrapText="1"/>
    </xf>
    <xf numFmtId="0" fontId="110" fillId="0" borderId="0" xfId="0" applyFont="1" applyFill="1" applyBorder="1" applyAlignment="1">
      <alignment wrapText="1"/>
    </xf>
    <xf numFmtId="164" fontId="20" fillId="0" borderId="39" xfId="105" applyFont="1" applyFill="1" applyBorder="1" applyAlignment="1">
      <alignment horizontal="right"/>
    </xf>
    <xf numFmtId="0" fontId="28" fillId="0" borderId="62" xfId="0" applyFont="1" applyFill="1" applyBorder="1" applyAlignment="1">
      <alignment wrapText="1"/>
    </xf>
    <xf numFmtId="0" fontId="34" fillId="0" borderId="63" xfId="0" applyFont="1" applyFill="1" applyBorder="1" applyAlignment="1">
      <alignment horizontal="center" wrapText="1"/>
    </xf>
    <xf numFmtId="0" fontId="21" fillId="20" borderId="42" xfId="0" applyFont="1" applyFill="1" applyBorder="1" applyAlignment="1"/>
    <xf numFmtId="0" fontId="21" fillId="20" borderId="64" xfId="0" applyFont="1" applyFill="1" applyBorder="1" applyAlignment="1"/>
    <xf numFmtId="0" fontId="28" fillId="0" borderId="0" xfId="0" applyFont="1" applyFill="1" applyBorder="1" applyAlignment="1">
      <alignment wrapText="1"/>
    </xf>
    <xf numFmtId="9" fontId="112" fillId="26" borderId="10" xfId="101" applyFont="1" applyFill="1" applyBorder="1" applyAlignment="1">
      <alignment horizontal="center" vertical="center" wrapText="1"/>
    </xf>
    <xf numFmtId="164" fontId="28" fillId="0" borderId="0" xfId="0" applyNumberFormat="1" applyFont="1" applyAlignment="1"/>
    <xf numFmtId="15" fontId="28" fillId="0" borderId="0" xfId="0" applyNumberFormat="1" applyFont="1"/>
    <xf numFmtId="0" fontId="0" fillId="0" borderId="27" xfId="0" applyFill="1" applyBorder="1"/>
    <xf numFmtId="164" fontId="116" fillId="0" borderId="27" xfId="109" applyFont="1" applyFill="1" applyBorder="1" applyAlignment="1">
      <alignment vertical="center"/>
    </xf>
    <xf numFmtId="0" fontId="0" fillId="0" borderId="27" xfId="0" applyBorder="1"/>
    <xf numFmtId="0" fontId="0" fillId="0" borderId="27" xfId="0" applyBorder="1"/>
    <xf numFmtId="9" fontId="15" fillId="0" borderId="0" xfId="101" applyFont="1"/>
    <xf numFmtId="14" fontId="24" fillId="24" borderId="39" xfId="105" applyNumberFormat="1" applyFont="1" applyFill="1" applyBorder="1" applyAlignment="1">
      <alignment horizontal="center" vertical="center"/>
    </xf>
    <xf numFmtId="164" fontId="24" fillId="24" borderId="39" xfId="105" applyFont="1" applyFill="1" applyBorder="1" applyAlignment="1">
      <alignment horizontal="center" vertical="center"/>
    </xf>
    <xf numFmtId="15" fontId="24" fillId="24" borderId="39" xfId="105" applyNumberFormat="1" applyFont="1" applyFill="1" applyBorder="1" applyAlignment="1">
      <alignment horizontal="center" vertical="center"/>
    </xf>
    <xf numFmtId="172" fontId="24" fillId="24" borderId="39" xfId="105" applyNumberFormat="1" applyFont="1" applyFill="1" applyBorder="1" applyAlignment="1">
      <alignment horizontal="center"/>
    </xf>
    <xf numFmtId="3" fontId="24" fillId="24" borderId="39" xfId="105" applyNumberFormat="1" applyFont="1" applyFill="1" applyBorder="1" applyAlignment="1">
      <alignment horizontal="center"/>
    </xf>
    <xf numFmtId="164" fontId="24" fillId="24" borderId="39" xfId="105" applyFont="1" applyFill="1" applyBorder="1" applyAlignment="1">
      <alignment horizontal="center"/>
    </xf>
    <xf numFmtId="15" fontId="24" fillId="24" borderId="39" xfId="105" applyNumberFormat="1" applyFont="1" applyFill="1" applyBorder="1" applyAlignment="1">
      <alignment horizontal="center"/>
    </xf>
    <xf numFmtId="164" fontId="90" fillId="0" borderId="0" xfId="0" applyNumberFormat="1" applyFont="1" applyAlignment="1"/>
    <xf numFmtId="0" fontId="34" fillId="0" borderId="37" xfId="0" applyFont="1" applyFill="1" applyBorder="1" applyAlignment="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xf numFmtId="0" fontId="0" fillId="24" borderId="46" xfId="0" applyNumberFormat="1" applyFill="1" applyBorder="1" applyAlignment="1" applyProtection="1">
      <alignment horizontal="center"/>
      <protection locked="0"/>
    </xf>
    <xf numFmtId="0" fontId="0" fillId="0" borderId="25" xfId="0" applyNumberFormat="1" applyFill="1" applyBorder="1" applyAlignment="1">
      <alignment horizontal="center"/>
    </xf>
    <xf numFmtId="0" fontId="0" fillId="24" borderId="25"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lignment horizontal="right" wrapText="1"/>
    </xf>
    <xf numFmtId="3" fontId="0" fillId="24" borderId="10" xfId="0" applyNumberFormat="1" applyFill="1" applyBorder="1" applyProtection="1">
      <protection locked="0"/>
    </xf>
    <xf numFmtId="3" fontId="0" fillId="0" borderId="10" xfId="0" applyNumberFormat="1" applyFill="1" applyBorder="1"/>
    <xf numFmtId="3" fontId="0" fillId="24" borderId="65" xfId="0" applyNumberFormat="1" applyFill="1" applyBorder="1" applyProtection="1">
      <protection locked="0"/>
    </xf>
    <xf numFmtId="171" fontId="21" fillId="20" borderId="0" xfId="0" applyNumberFormat="1" applyFont="1" applyFill="1"/>
    <xf numFmtId="165" fontId="32" fillId="19" borderId="66" xfId="0" applyNumberFormat="1" applyFont="1" applyFill="1" applyBorder="1" applyAlignment="1" applyProtection="1">
      <alignment horizontal="center"/>
      <protection locked="0"/>
    </xf>
    <xf numFmtId="165" fontId="32" fillId="19" borderId="67" xfId="0" applyNumberFormat="1" applyFont="1" applyFill="1" applyBorder="1" applyAlignment="1" applyProtection="1">
      <alignment horizontal="center"/>
      <protection locked="0"/>
    </xf>
    <xf numFmtId="165" fontId="32" fillId="19" borderId="68" xfId="0" applyNumberFormat="1" applyFon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0" fontId="0" fillId="0" borderId="70" xfId="0" applyFill="1" applyBorder="1" applyAlignment="1">
      <alignment horizontal="center"/>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164" fontId="1" fillId="0" borderId="39" xfId="105" applyFont="1" applyBorder="1" applyAlignment="1">
      <alignment horizontal="right"/>
    </xf>
    <xf numFmtId="164" fontId="124" fillId="0" borderId="0" xfId="90" applyFont="1" applyFill="1" applyBorder="1"/>
    <xf numFmtId="3" fontId="28" fillId="25" borderId="66" xfId="0" applyNumberFormat="1" applyFont="1" applyFill="1" applyBorder="1" applyAlignment="1" applyProtection="1">
      <protection locked="0"/>
    </xf>
    <xf numFmtId="3" fontId="28" fillId="25" borderId="71" xfId="0" applyNumberFormat="1" applyFont="1" applyFill="1" applyBorder="1" applyAlignment="1" applyProtection="1">
      <protection locked="0"/>
    </xf>
    <xf numFmtId="3" fontId="28" fillId="0" borderId="10" xfId="0" applyNumberFormat="1" applyFont="1" applyFill="1" applyBorder="1" applyAlignment="1"/>
    <xf numFmtId="3" fontId="28" fillId="0" borderId="72" xfId="0" applyNumberFormat="1" applyFont="1" applyFill="1" applyBorder="1" applyAlignment="1"/>
    <xf numFmtId="3" fontId="21" fillId="25" borderId="10" xfId="55" applyNumberFormat="1" applyFont="1" applyFill="1" applyBorder="1" applyAlignment="1" applyProtection="1">
      <protection locked="0"/>
    </xf>
    <xf numFmtId="3" fontId="21" fillId="25" borderId="10" xfId="55" applyNumberFormat="1" applyFont="1" applyFill="1" applyBorder="1" applyProtection="1">
      <protection locked="0"/>
    </xf>
    <xf numFmtId="3" fontId="6" fillId="0" borderId="73" xfId="55" applyNumberFormat="1" applyFont="1" applyFill="1" applyBorder="1" applyAlignment="1"/>
    <xf numFmtId="3" fontId="21" fillId="25" borderId="74" xfId="55" applyNumberFormat="1" applyFont="1" applyFill="1" applyBorder="1" applyAlignment="1" applyProtection="1">
      <protection locked="0"/>
    </xf>
    <xf numFmtId="165" fontId="14" fillId="19" borderId="75" xfId="0" applyNumberFormat="1" applyFont="1" applyFill="1" applyBorder="1" applyAlignment="1" applyProtection="1">
      <alignment horizontal="center"/>
      <protection locked="0"/>
    </xf>
    <xf numFmtId="165" fontId="14" fillId="19" borderId="76" xfId="0" applyNumberFormat="1" applyFont="1" applyFill="1" applyBorder="1" applyAlignment="1" applyProtection="1">
      <alignment horizontal="center"/>
      <protection locked="0"/>
    </xf>
    <xf numFmtId="0" fontId="0" fillId="25" borderId="10" xfId="0" applyFill="1" applyBorder="1"/>
    <xf numFmtId="0" fontId="0" fillId="24" borderId="10" xfId="0" applyFill="1" applyBorder="1"/>
    <xf numFmtId="49" fontId="25" fillId="0" borderId="77" xfId="0" applyNumberFormat="1" applyFont="1" applyFill="1" applyBorder="1" applyAlignment="1">
      <alignment vertical="center" wrapText="1"/>
    </xf>
    <xf numFmtId="0" fontId="91" fillId="0" borderId="78" xfId="0" applyNumberFormat="1" applyFont="1" applyFill="1" applyBorder="1" applyAlignment="1">
      <alignment horizontal="center" vertical="center" wrapText="1"/>
    </xf>
    <xf numFmtId="0" fontId="91" fillId="0" borderId="79" xfId="0" applyNumberFormat="1" applyFont="1" applyFill="1" applyBorder="1" applyAlignment="1">
      <alignment horizontal="center" vertical="center" wrapText="1"/>
    </xf>
    <xf numFmtId="0" fontId="0" fillId="0" borderId="80" xfId="0" applyBorder="1" applyAlignment="1"/>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xf numFmtId="0" fontId="0" fillId="24" borderId="10" xfId="0" applyNumberFormat="1" applyFill="1" applyBorder="1" applyAlignment="1" applyProtection="1">
      <alignment horizontal="center"/>
      <protection locked="0"/>
    </xf>
    <xf numFmtId="49" fontId="0" fillId="24" borderId="65" xfId="0" applyNumberFormat="1" applyFill="1" applyBorder="1" applyAlignment="1" applyProtection="1">
      <alignment horizontal="left"/>
      <protection locked="0"/>
    </xf>
    <xf numFmtId="0" fontId="0" fillId="24" borderId="65" xfId="0" applyNumberFormat="1" applyFill="1" applyBorder="1" applyProtection="1">
      <protection locked="0"/>
    </xf>
    <xf numFmtId="0" fontId="0" fillId="24" borderId="65" xfId="0" applyNumberFormat="1" applyFill="1" applyBorder="1" applyAlignment="1" applyProtection="1">
      <alignment horizontal="center"/>
      <protection locked="0"/>
    </xf>
    <xf numFmtId="164" fontId="134" fillId="25" borderId="81" xfId="109" applyFill="1" applyBorder="1" applyAlignment="1">
      <alignment vertical="center"/>
    </xf>
    <xf numFmtId="0" fontId="0" fillId="22" borderId="82" xfId="0" applyFill="1" applyBorder="1"/>
    <xf numFmtId="0" fontId="0" fillId="0" borderId="19" xfId="0" applyBorder="1"/>
    <xf numFmtId="164" fontId="39" fillId="24" borderId="83" xfId="109" applyFont="1" applyFill="1" applyBorder="1" applyAlignment="1">
      <alignment horizontal="center" vertical="center"/>
    </xf>
    <xf numFmtId="164" fontId="39" fillId="0" borderId="84" xfId="109" applyFont="1" applyFill="1" applyBorder="1" applyAlignment="1">
      <alignment vertical="center"/>
    </xf>
    <xf numFmtId="0" fontId="0" fillId="0" borderId="85" xfId="0" applyNumberFormat="1" applyFill="1" applyBorder="1"/>
    <xf numFmtId="15" fontId="27" fillId="0" borderId="86" xfId="0" applyNumberFormat="1" applyFont="1" applyFill="1" applyBorder="1" applyAlignment="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lignment vertical="center"/>
    </xf>
    <xf numFmtId="168" fontId="0" fillId="0" borderId="10" xfId="0" applyNumberFormat="1" applyFill="1" applyBorder="1" applyAlignment="1">
      <alignment horizontal="center"/>
    </xf>
    <xf numFmtId="168" fontId="15" fillId="27" borderId="87" xfId="0" applyNumberFormat="1" applyFont="1" applyFill="1" applyBorder="1" applyAlignment="1">
      <alignment horizontal="center"/>
    </xf>
    <xf numFmtId="168" fontId="21" fillId="27" borderId="87" xfId="0" applyNumberFormat="1" applyFont="1" applyFill="1" applyBorder="1" applyAlignment="1">
      <alignment horizontal="center"/>
    </xf>
    <xf numFmtId="49" fontId="84" fillId="0" borderId="10" xfId="0" applyNumberFormat="1" applyFont="1" applyBorder="1" applyAlignment="1" applyProtection="1">
      <alignment horizontal="center"/>
      <protection locked="0"/>
    </xf>
    <xf numFmtId="164" fontId="69" fillId="0" borderId="10" xfId="90" applyFont="1" applyBorder="1" applyAlignment="1">
      <alignment horizontal="center"/>
    </xf>
    <xf numFmtId="0" fontId="69" fillId="0" borderId="10" xfId="0" applyFont="1" applyBorder="1" applyAlignment="1">
      <alignment horizontal="center"/>
    </xf>
    <xf numFmtId="0" fontId="77" fillId="0" borderId="88" xfId="0" applyFont="1" applyFill="1" applyBorder="1" applyAlignment="1">
      <alignment horizontal="center" vertical="center" wrapText="1"/>
    </xf>
    <xf numFmtId="0" fontId="77" fillId="0" borderId="89" xfId="0" applyFont="1" applyFill="1" applyBorder="1" applyAlignment="1">
      <alignment horizontal="center"/>
    </xf>
    <xf numFmtId="0" fontId="77" fillId="0" borderId="90" xfId="0" applyFont="1" applyFill="1" applyBorder="1" applyAlignment="1">
      <alignment horizontal="center"/>
    </xf>
    <xf numFmtId="0" fontId="77" fillId="0" borderId="91" xfId="0" applyNumberFormat="1" applyFont="1" applyFill="1" applyBorder="1" applyAlignment="1">
      <alignment horizontal="center"/>
    </xf>
    <xf numFmtId="0" fontId="77" fillId="0" borderId="92" xfId="0" applyNumberFormat="1" applyFont="1" applyFill="1" applyBorder="1" applyAlignment="1">
      <alignment horizontal="center"/>
    </xf>
    <xf numFmtId="0" fontId="77" fillId="0" borderId="92" xfId="0" applyNumberFormat="1" applyFont="1" applyFill="1" applyBorder="1" applyAlignment="1">
      <alignment horizontal="center" vertical="center"/>
    </xf>
    <xf numFmtId="0" fontId="77" fillId="0" borderId="93" xfId="0" applyNumberFormat="1" applyFont="1" applyFill="1" applyBorder="1" applyAlignment="1">
      <alignment horizontal="center" vertical="center"/>
    </xf>
    <xf numFmtId="0" fontId="81" fillId="0" borderId="94" xfId="0" applyNumberFormat="1" applyFont="1" applyFill="1" applyBorder="1" applyAlignment="1">
      <alignment horizontal="center" vertical="center"/>
    </xf>
    <xf numFmtId="0" fontId="81" fillId="0" borderId="95" xfId="0" applyNumberFormat="1" applyFont="1" applyFill="1" applyBorder="1" applyAlignment="1">
      <alignment horizontal="center" vertical="center"/>
    </xf>
    <xf numFmtId="0" fontId="81" fillId="0" borderId="96" xfId="0" applyNumberFormat="1" applyFont="1" applyFill="1" applyBorder="1" applyAlignment="1">
      <alignment horizontal="center" vertical="center"/>
    </xf>
    <xf numFmtId="168" fontId="0" fillId="20" borderId="10" xfId="0" applyNumberFormat="1" applyFill="1" applyBorder="1" applyAlignment="1">
      <alignment horizontal="center"/>
    </xf>
    <xf numFmtId="168" fontId="0" fillId="0" borderId="10" xfId="0" applyNumberFormat="1" applyBorder="1" applyAlignment="1">
      <alignment horizontal="center"/>
    </xf>
    <xf numFmtId="168" fontId="0" fillId="20" borderId="65" xfId="0" applyNumberFormat="1" applyFill="1" applyBorder="1" applyAlignment="1">
      <alignment horizontal="center"/>
    </xf>
    <xf numFmtId="168" fontId="0" fillId="0" borderId="65" xfId="0" applyNumberFormat="1" applyBorder="1" applyAlignment="1">
      <alignment horizontal="center"/>
    </xf>
    <xf numFmtId="0" fontId="67" fillId="28" borderId="10" xfId="0" applyFont="1" applyFill="1" applyBorder="1" applyAlignment="1">
      <alignment horizontal="center"/>
    </xf>
    <xf numFmtId="0" fontId="67" fillId="29" borderId="10" xfId="0" applyFont="1" applyFill="1" applyBorder="1" applyAlignment="1">
      <alignment horizontal="center"/>
    </xf>
    <xf numFmtId="3" fontId="67" fillId="30" borderId="10" xfId="0" applyNumberFormat="1" applyFont="1" applyFill="1" applyBorder="1" applyAlignment="1" applyProtection="1">
      <alignment vertical="center"/>
      <protection locked="0"/>
    </xf>
    <xf numFmtId="3" fontId="2" fillId="30" borderId="10" xfId="0" applyNumberFormat="1" applyFont="1" applyFill="1" applyBorder="1" applyAlignment="1" applyProtection="1">
      <alignment vertical="center"/>
      <protection locked="0"/>
    </xf>
    <xf numFmtId="0" fontId="67" fillId="28" borderId="10" xfId="0" applyFont="1" applyFill="1" applyBorder="1"/>
    <xf numFmtId="3" fontId="67" fillId="28" borderId="10" xfId="0" applyNumberFormat="1" applyFont="1" applyFill="1" applyBorder="1" applyAlignment="1">
      <alignment vertical="center"/>
    </xf>
    <xf numFmtId="0" fontId="0" fillId="0" borderId="65" xfId="0" applyNumberFormat="1" applyFill="1" applyBorder="1"/>
    <xf numFmtId="3" fontId="0" fillId="0" borderId="65" xfId="0" applyNumberFormat="1" applyFill="1" applyBorder="1"/>
    <xf numFmtId="168" fontId="0" fillId="0" borderId="65" xfId="0" applyNumberFormat="1" applyFill="1" applyBorder="1" applyAlignment="1">
      <alignment horizontal="center"/>
    </xf>
    <xf numFmtId="0" fontId="0" fillId="0" borderId="58" xfId="0" applyBorder="1" applyAlignment="1">
      <alignment horizontal="center" wrapText="1"/>
    </xf>
    <xf numFmtId="3" fontId="1" fillId="0" borderId="65" xfId="55" applyNumberFormat="1" applyFont="1" applyFill="1" applyBorder="1" applyAlignment="1">
      <alignment horizontal="right"/>
    </xf>
    <xf numFmtId="3" fontId="0" fillId="0" borderId="65" xfId="0" applyNumberFormat="1" applyBorder="1" applyAlignment="1">
      <alignment horizontal="right" wrapText="1"/>
    </xf>
    <xf numFmtId="3" fontId="0" fillId="24" borderId="55" xfId="0" applyNumberFormat="1" applyFill="1" applyBorder="1" applyAlignment="1" applyProtection="1">
      <alignment horizontal="right" wrapText="1"/>
      <protection locked="0"/>
    </xf>
    <xf numFmtId="3" fontId="0" fillId="0" borderId="55" xfId="0" applyNumberFormat="1" applyBorder="1" applyAlignment="1">
      <alignment horizontal="right" wrapText="1"/>
    </xf>
    <xf numFmtId="3" fontId="0" fillId="0" borderId="59" xfId="0" applyNumberFormat="1" applyBorder="1" applyAlignment="1">
      <alignment horizontal="right" wrapText="1"/>
    </xf>
    <xf numFmtId="168" fontId="0" fillId="0" borderId="55" xfId="0" applyNumberFormat="1" applyFill="1" applyBorder="1"/>
    <xf numFmtId="168" fontId="0" fillId="0" borderId="59" xfId="0" applyNumberFormat="1" applyFill="1" applyBorder="1"/>
    <xf numFmtId="0" fontId="34" fillId="22" borderId="0" xfId="0" applyFont="1" applyFill="1" applyBorder="1" applyAlignment="1" applyProtection="1">
      <alignment horizontal="left" vertical="top" wrapText="1"/>
      <protection locked="0"/>
    </xf>
    <xf numFmtId="3" fontId="130" fillId="30" borderId="10" xfId="0" applyNumberFormat="1" applyFont="1" applyFill="1" applyBorder="1" applyAlignment="1" applyProtection="1">
      <alignment vertical="center"/>
      <protection locked="0"/>
    </xf>
    <xf numFmtId="0" fontId="77" fillId="0" borderId="97" xfId="0" applyFont="1" applyFill="1" applyBorder="1" applyAlignment="1">
      <alignment horizontal="center" vertical="center"/>
    </xf>
    <xf numFmtId="0" fontId="77" fillId="0" borderId="0" xfId="0" applyFont="1" applyFill="1" applyBorder="1" applyAlignment="1">
      <alignment horizontal="center" vertical="center"/>
    </xf>
    <xf numFmtId="0" fontId="67" fillId="31" borderId="10" xfId="0" applyFont="1" applyFill="1" applyBorder="1" applyAlignment="1">
      <alignment horizontal="center"/>
    </xf>
    <xf numFmtId="3" fontId="67" fillId="30" borderId="10" xfId="0" applyNumberFormat="1" applyFont="1" applyFill="1" applyBorder="1" applyAlignment="1" applyProtection="1">
      <alignment horizontal="right" vertical="center"/>
      <protection locked="0"/>
    </xf>
    <xf numFmtId="0" fontId="67" fillId="32" borderId="10" xfId="0" applyFont="1" applyFill="1" applyBorder="1" applyAlignment="1">
      <alignment horizontal="center"/>
    </xf>
    <xf numFmtId="0" fontId="67" fillId="33" borderId="10" xfId="0" applyFont="1" applyFill="1" applyBorder="1" applyAlignment="1">
      <alignment horizontal="center"/>
    </xf>
    <xf numFmtId="3" fontId="2" fillId="30" borderId="10" xfId="0" applyNumberFormat="1" applyFont="1" applyFill="1" applyBorder="1" applyAlignment="1" applyProtection="1">
      <alignment horizontal="right" vertical="center"/>
      <protection locked="0"/>
    </xf>
    <xf numFmtId="49" fontId="0" fillId="0" borderId="10" xfId="0" applyNumberFormat="1" applyBorder="1" applyAlignment="1" applyProtection="1">
      <alignment horizontal="center"/>
      <protection locked="0"/>
    </xf>
    <xf numFmtId="3" fontId="130" fillId="30" borderId="10" xfId="0" applyNumberFormat="1" applyFont="1" applyFill="1" applyBorder="1" applyAlignment="1" applyProtection="1">
      <alignment horizontal="right" vertical="center"/>
      <protection locked="0"/>
    </xf>
    <xf numFmtId="3" fontId="28" fillId="0" borderId="10" xfId="0" applyNumberFormat="1" applyFont="1" applyBorder="1" applyAlignment="1">
      <alignment horizontal="right" vertical="center" wrapText="1"/>
    </xf>
    <xf numFmtId="3" fontId="28" fillId="0" borderId="10" xfId="0" quotePrefix="1" applyNumberFormat="1" applyFont="1" applyBorder="1" applyAlignment="1">
      <alignment horizontal="right" vertical="center" wrapText="1"/>
    </xf>
    <xf numFmtId="9" fontId="28" fillId="0" borderId="10" xfId="101" applyFont="1" applyBorder="1" applyAlignment="1">
      <alignment horizontal="right" vertical="center" wrapText="1"/>
    </xf>
    <xf numFmtId="0" fontId="77" fillId="0" borderId="98" xfId="0" applyFont="1" applyFill="1" applyBorder="1" applyAlignment="1">
      <alignment horizontal="center" vertical="center"/>
    </xf>
    <xf numFmtId="0" fontId="77" fillId="0" borderId="99" xfId="0" applyFont="1" applyFill="1" applyBorder="1" applyAlignment="1">
      <alignment horizontal="center" vertical="center"/>
    </xf>
    <xf numFmtId="0" fontId="2" fillId="0" borderId="85" xfId="0" applyFont="1" applyFill="1" applyBorder="1" applyAlignment="1">
      <alignment horizontal="center"/>
    </xf>
    <xf numFmtId="165" fontId="14" fillId="19" borderId="0" xfId="0" applyNumberFormat="1" applyFont="1" applyFill="1" applyBorder="1" applyAlignment="1" applyProtection="1">
      <alignment horizontal="center"/>
      <protection locked="0"/>
    </xf>
    <xf numFmtId="165" fontId="14" fillId="19" borderId="100" xfId="0" applyNumberFormat="1" applyFont="1" applyFill="1" applyBorder="1" applyAlignment="1" applyProtection="1">
      <alignment horizontal="center"/>
      <protection locked="0"/>
    </xf>
    <xf numFmtId="3" fontId="135" fillId="22" borderId="10" xfId="0" applyNumberFormat="1" applyFont="1" applyFill="1" applyBorder="1" applyAlignment="1" applyProtection="1">
      <alignment vertical="center"/>
      <protection locked="0"/>
    </xf>
    <xf numFmtId="3" fontId="135" fillId="23" borderId="10" xfId="0" applyNumberFormat="1" applyFont="1" applyFill="1" applyBorder="1" applyAlignment="1" applyProtection="1">
      <alignment horizontal="right" vertical="center"/>
      <protection locked="0"/>
    </xf>
    <xf numFmtId="3" fontId="135" fillId="30" borderId="10" xfId="0" applyNumberFormat="1" applyFont="1" applyFill="1" applyBorder="1" applyAlignment="1" applyProtection="1">
      <alignment horizontal="right" vertical="center"/>
      <protection locked="0"/>
    </xf>
    <xf numFmtId="3" fontId="135" fillId="30" borderId="10" xfId="0" applyNumberFormat="1" applyFont="1" applyFill="1" applyBorder="1" applyAlignment="1" applyProtection="1">
      <alignment vertical="center"/>
      <protection locked="0"/>
    </xf>
    <xf numFmtId="0" fontId="77" fillId="0" borderId="101" xfId="0" applyFont="1" applyFill="1" applyBorder="1" applyAlignment="1">
      <alignment horizontal="center" vertical="center"/>
    </xf>
    <xf numFmtId="0" fontId="77" fillId="0" borderId="102" xfId="0" applyFont="1" applyFill="1" applyBorder="1" applyAlignment="1">
      <alignment horizontal="center" vertical="center"/>
    </xf>
    <xf numFmtId="0" fontId="2" fillId="0" borderId="103" xfId="0" applyFont="1" applyFill="1" applyBorder="1" applyAlignment="1">
      <alignment horizontal="center"/>
    </xf>
    <xf numFmtId="165" fontId="14" fillId="19" borderId="104" xfId="0" applyNumberFormat="1" applyFont="1" applyFill="1" applyBorder="1" applyAlignment="1" applyProtection="1">
      <alignment horizontal="center"/>
      <protection locked="0"/>
    </xf>
    <xf numFmtId="165" fontId="14" fillId="19" borderId="105" xfId="0" applyNumberFormat="1" applyFont="1" applyFill="1" applyBorder="1" applyAlignment="1" applyProtection="1">
      <alignment horizontal="center"/>
      <protection locked="0"/>
    </xf>
    <xf numFmtId="0" fontId="67" fillId="0" borderId="10" xfId="0" applyFont="1" applyFill="1" applyBorder="1"/>
    <xf numFmtId="1" fontId="136" fillId="25" borderId="54" xfId="0" applyNumberFormat="1" applyFont="1" applyFill="1" applyBorder="1" applyAlignment="1" applyProtection="1">
      <alignment horizontal="center"/>
      <protection locked="0"/>
    </xf>
    <xf numFmtId="3" fontId="136" fillId="0" borderId="106" xfId="0" applyNumberFormat="1" applyFont="1" applyBorder="1"/>
    <xf numFmtId="3" fontId="109" fillId="25" borderId="66" xfId="0" applyNumberFormat="1" applyFont="1" applyFill="1" applyBorder="1" applyAlignment="1" applyProtection="1">
      <protection locked="0"/>
    </xf>
    <xf numFmtId="3" fontId="109" fillId="25" borderId="71" xfId="0" applyNumberFormat="1" applyFont="1" applyFill="1" applyBorder="1" applyAlignment="1" applyProtection="1">
      <protection locked="0"/>
    </xf>
    <xf numFmtId="165" fontId="32" fillId="19" borderId="66" xfId="0" applyNumberFormat="1" applyFont="1" applyFill="1" applyBorder="1" applyAlignment="1" applyProtection="1">
      <alignment horizontal="center" wrapText="1"/>
      <protection locked="0"/>
    </xf>
    <xf numFmtId="3" fontId="2" fillId="23" borderId="10" xfId="0" applyNumberFormat="1" applyFont="1" applyFill="1" applyBorder="1" applyAlignment="1" applyProtection="1">
      <alignment horizontal="right" vertical="center"/>
      <protection locked="0"/>
    </xf>
    <xf numFmtId="10" fontId="67" fillId="23" borderId="10" xfId="0" applyNumberFormat="1" applyFont="1" applyFill="1" applyBorder="1" applyAlignment="1" applyProtection="1">
      <alignment vertical="center"/>
      <protection locked="0"/>
    </xf>
    <xf numFmtId="3" fontId="130" fillId="23" borderId="10" xfId="0" applyNumberFormat="1" applyFont="1" applyFill="1" applyBorder="1" applyAlignment="1" applyProtection="1">
      <alignment horizontal="right" vertical="center"/>
      <protection locked="0"/>
    </xf>
    <xf numFmtId="10" fontId="67" fillId="23" borderId="10" xfId="0" applyNumberFormat="1" applyFont="1" applyFill="1" applyBorder="1" applyAlignment="1" applyProtection="1">
      <alignment vertical="center" wrapText="1"/>
      <protection locked="0"/>
    </xf>
    <xf numFmtId="0" fontId="26" fillId="0" borderId="18" xfId="0" applyFont="1" applyFill="1" applyBorder="1" applyAlignment="1">
      <alignment vertical="top"/>
    </xf>
    <xf numFmtId="0" fontId="26" fillId="0" borderId="57" xfId="0" applyFont="1" applyFill="1" applyBorder="1" applyAlignment="1">
      <alignment vertical="top"/>
    </xf>
    <xf numFmtId="0" fontId="26" fillId="0" borderId="107" xfId="0" applyFont="1" applyFill="1" applyBorder="1" applyAlignment="1">
      <alignment vertical="top"/>
    </xf>
    <xf numFmtId="49" fontId="0" fillId="0" borderId="10" xfId="0" applyNumberFormat="1" applyBorder="1" applyAlignment="1" applyProtection="1">
      <alignment horizontal="center"/>
      <protection locked="0"/>
    </xf>
    <xf numFmtId="0" fontId="0" fillId="0" borderId="0" xfId="0" applyAlignment="1">
      <alignment horizontal="left" vertical="center"/>
    </xf>
    <xf numFmtId="4" fontId="0" fillId="0" borderId="0" xfId="0" applyNumberFormat="1" applyFill="1" applyBorder="1" applyAlignment="1" applyProtection="1">
      <alignment horizontal="left" vertical="center"/>
      <protection locked="0"/>
    </xf>
    <xf numFmtId="4" fontId="0" fillId="0" borderId="0" xfId="0" applyNumberFormat="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left" vertical="center"/>
    </xf>
    <xf numFmtId="3" fontId="0" fillId="0" borderId="0" xfId="0" applyNumberFormat="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Fill="1" applyBorder="1" applyAlignment="1" applyProtection="1">
      <alignment horizontal="left" vertical="center"/>
      <protection locked="0"/>
    </xf>
    <xf numFmtId="3" fontId="0" fillId="0" borderId="0" xfId="0" applyNumberFormat="1" applyFill="1" applyBorder="1" applyAlignment="1">
      <alignment horizontal="left" vertical="center"/>
    </xf>
    <xf numFmtId="49" fontId="26" fillId="0" borderId="108" xfId="94" applyNumberFormat="1" applyFont="1" applyFill="1" applyBorder="1" applyAlignment="1" applyProtection="1">
      <alignment horizontal="left" vertical="center" wrapText="1"/>
      <protection locked="0"/>
    </xf>
    <xf numFmtId="3" fontId="21" fillId="25" borderId="109" xfId="56" applyNumberFormat="1" applyFont="1" applyFill="1" applyBorder="1" applyAlignment="1" applyProtection="1">
      <alignment horizontal="right" vertical="center"/>
      <protection locked="0"/>
    </xf>
    <xf numFmtId="3" fontId="21" fillId="25" borderId="110" xfId="56" applyNumberFormat="1" applyFont="1" applyFill="1" applyBorder="1" applyAlignment="1" applyProtection="1">
      <alignment horizontal="right" vertical="center"/>
      <protection locked="0"/>
    </xf>
    <xf numFmtId="3" fontId="6" fillId="0" borderId="0" xfId="0" applyNumberFormat="1" applyFont="1" applyFill="1" applyBorder="1" applyAlignment="1">
      <alignment horizontal="centerContinuous"/>
    </xf>
    <xf numFmtId="174" fontId="1" fillId="0" borderId="10" xfId="105" applyNumberFormat="1" applyFont="1" applyFill="1" applyBorder="1" applyAlignment="1" applyProtection="1">
      <alignment horizontal="center"/>
      <protection locked="0"/>
    </xf>
    <xf numFmtId="175" fontId="1" fillId="0" borderId="10" xfId="105" applyNumberFormat="1" applyFont="1" applyFill="1" applyBorder="1" applyAlignment="1" applyProtection="1">
      <alignment horizontal="center"/>
      <protection locked="0"/>
    </xf>
    <xf numFmtId="1" fontId="136" fillId="25" borderId="10" xfId="0" applyNumberFormat="1" applyFont="1" applyFill="1" applyBorder="1" applyAlignment="1" applyProtection="1">
      <alignment horizontal="center"/>
      <protection locked="0"/>
    </xf>
    <xf numFmtId="1" fontId="136" fillId="25" borderId="72" xfId="0" applyNumberFormat="1" applyFont="1" applyFill="1" applyBorder="1" applyAlignment="1" applyProtection="1">
      <alignment horizontal="center"/>
      <protection locked="0"/>
    </xf>
    <xf numFmtId="1" fontId="136" fillId="25" borderId="111" xfId="0" applyNumberFormat="1" applyFont="1" applyFill="1" applyBorder="1" applyAlignment="1" applyProtection="1">
      <alignment horizontal="center"/>
      <protection locked="0"/>
    </xf>
    <xf numFmtId="3" fontId="137" fillId="0" borderId="10" xfId="0" quotePrefix="1" applyNumberFormat="1" applyFont="1" applyBorder="1" applyAlignment="1">
      <alignment horizontal="right" vertical="center" wrapText="1"/>
    </xf>
    <xf numFmtId="1" fontId="136" fillId="24" borderId="10" xfId="0" applyNumberFormat="1" applyFont="1" applyFill="1" applyBorder="1" applyAlignment="1" applyProtection="1">
      <alignment horizontal="center"/>
      <protection locked="0"/>
    </xf>
    <xf numFmtId="1" fontId="136" fillId="0" borderId="23" xfId="0" applyNumberFormat="1" applyFont="1" applyFill="1" applyBorder="1" applyAlignment="1">
      <alignment horizontal="center"/>
    </xf>
    <xf numFmtId="1" fontId="136" fillId="24" borderId="46" xfId="0" applyNumberFormat="1" applyFont="1" applyFill="1" applyBorder="1" applyAlignment="1" applyProtection="1">
      <alignment horizontal="center"/>
      <protection locked="0"/>
    </xf>
    <xf numFmtId="0" fontId="136" fillId="41" borderId="25" xfId="0" applyNumberFormat="1" applyFont="1" applyFill="1" applyBorder="1" applyAlignment="1" applyProtection="1">
      <alignment horizontal="center"/>
      <protection locked="0"/>
    </xf>
    <xf numFmtId="10" fontId="67" fillId="23" borderId="10" xfId="0" applyNumberFormat="1" applyFont="1" applyFill="1" applyBorder="1" applyAlignment="1" applyProtection="1">
      <alignment horizontal="right" vertical="center"/>
      <protection locked="0"/>
    </xf>
    <xf numFmtId="4" fontId="0" fillId="0" borderId="0" xfId="0" applyNumberFormat="1"/>
    <xf numFmtId="3" fontId="0" fillId="0" borderId="0" xfId="0" quotePrefix="1" applyNumberFormat="1"/>
    <xf numFmtId="0" fontId="0" fillId="0" borderId="0" xfId="0"/>
    <xf numFmtId="3" fontId="109" fillId="0" borderId="10" xfId="0" applyNumberFormat="1" applyFont="1" applyBorder="1" applyAlignment="1">
      <alignment horizontal="right" vertical="center" wrapText="1"/>
    </xf>
    <xf numFmtId="164" fontId="140" fillId="0" borderId="0" xfId="0" applyNumberFormat="1" applyFont="1" applyAlignment="1">
      <alignment horizontal="right"/>
    </xf>
    <xf numFmtId="0" fontId="140" fillId="0" borderId="0" xfId="0" applyNumberFormat="1" applyFont="1" applyAlignment="1">
      <alignment horizontal="center"/>
    </xf>
    <xf numFmtId="15" fontId="140" fillId="0" borderId="0" xfId="0" applyNumberFormat="1" applyFont="1" applyAlignment="1">
      <alignment horizontal="center"/>
    </xf>
    <xf numFmtId="164" fontId="17" fillId="34" borderId="0" xfId="75"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8" fillId="0" borderId="0" xfId="0" applyFont="1" applyAlignment="1">
      <alignment horizontal="center"/>
    </xf>
    <xf numFmtId="0" fontId="129" fillId="0" borderId="0" xfId="0" applyFont="1" applyAlignment="1">
      <alignment horizontal="center"/>
    </xf>
    <xf numFmtId="0" fontId="63" fillId="0" borderId="42" xfId="0" applyFont="1" applyBorder="1" applyAlignment="1" applyProtection="1">
      <alignment horizontal="left" vertical="center" wrapText="1"/>
      <protection locked="0"/>
    </xf>
    <xf numFmtId="0" fontId="63" fillId="0" borderId="43"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2" xfId="0" applyFont="1" applyBorder="1" applyAlignment="1" applyProtection="1">
      <alignment horizontal="justify" vertical="center" wrapText="1"/>
      <protection locked="0"/>
    </xf>
    <xf numFmtId="0" fontId="89" fillId="0" borderId="43"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63" fillId="0" borderId="42" xfId="0" applyFont="1" applyBorder="1" applyAlignment="1">
      <alignment horizontal="left" vertical="center" wrapText="1"/>
    </xf>
    <xf numFmtId="0" fontId="63" fillId="0" borderId="43" xfId="0" applyFont="1" applyBorder="1" applyAlignment="1">
      <alignment horizontal="left" vertical="center" wrapText="1"/>
    </xf>
    <xf numFmtId="0" fontId="63" fillId="0" borderId="44" xfId="0" applyFont="1" applyBorder="1" applyAlignment="1">
      <alignment horizontal="left" vertical="center" wrapText="1"/>
    </xf>
    <xf numFmtId="0" fontId="63" fillId="0" borderId="113"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4" xfId="0" applyFont="1" applyBorder="1" applyAlignment="1">
      <alignment horizontal="left" vertical="center" wrapText="1"/>
    </xf>
    <xf numFmtId="0" fontId="63" fillId="0" borderId="115" xfId="0" applyFont="1" applyBorder="1" applyAlignment="1">
      <alignment horizontal="left" vertical="center" wrapText="1"/>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122" fillId="0" borderId="42" xfId="0" applyFont="1" applyBorder="1" applyAlignment="1">
      <alignment horizontal="justify" vertical="center" wrapText="1"/>
    </xf>
    <xf numFmtId="0" fontId="122" fillId="0" borderId="43" xfId="0" applyFont="1" applyBorder="1" applyAlignment="1">
      <alignment horizontal="justify" vertical="center" wrapText="1"/>
    </xf>
    <xf numFmtId="0" fontId="122" fillId="0" borderId="44" xfId="0" applyFont="1" applyBorder="1" applyAlignment="1">
      <alignment horizontal="justify" vertical="center" wrapText="1"/>
    </xf>
    <xf numFmtId="164" fontId="88" fillId="0" borderId="42" xfId="0" applyNumberFormat="1" applyFont="1" applyBorder="1" applyAlignment="1">
      <alignment horizontal="justify" vertical="center" wrapText="1"/>
    </xf>
    <xf numFmtId="0" fontId="88" fillId="0" borderId="43" xfId="0" applyFont="1" applyBorder="1" applyAlignment="1">
      <alignment horizontal="justify" vertical="center" wrapText="1"/>
    </xf>
    <xf numFmtId="0" fontId="88" fillId="0" borderId="44" xfId="0" applyFont="1" applyBorder="1" applyAlignment="1">
      <alignment horizontal="justify" vertical="center" wrapText="1"/>
    </xf>
    <xf numFmtId="0" fontId="122" fillId="0" borderId="115" xfId="0" applyFont="1" applyBorder="1" applyAlignment="1">
      <alignment horizontal="justify" vertical="center" wrapText="1"/>
    </xf>
    <xf numFmtId="0" fontId="122" fillId="0" borderId="116" xfId="0" applyFont="1" applyBorder="1" applyAlignment="1">
      <alignment horizontal="justify" vertical="center" wrapText="1"/>
    </xf>
    <xf numFmtId="0" fontId="122" fillId="0" borderId="117" xfId="0" applyFont="1" applyBorder="1" applyAlignment="1">
      <alignment horizontal="justify" vertical="center" wrapText="1"/>
    </xf>
    <xf numFmtId="164" fontId="88" fillId="0" borderId="113" xfId="0" applyNumberFormat="1" applyFont="1" applyBorder="1" applyAlignment="1">
      <alignment horizontal="left" vertical="center" wrapText="1"/>
    </xf>
    <xf numFmtId="0" fontId="88" fillId="0" borderId="112" xfId="0" applyFont="1" applyBorder="1" applyAlignment="1">
      <alignment horizontal="left" vertical="center" wrapText="1"/>
    </xf>
    <xf numFmtId="0" fontId="88" fillId="0" borderId="114" xfId="0" applyFont="1" applyBorder="1" applyAlignment="1">
      <alignment horizontal="left" vertical="center" wrapText="1"/>
    </xf>
    <xf numFmtId="0" fontId="88" fillId="0" borderId="115" xfId="0" applyFont="1" applyBorder="1" applyAlignment="1">
      <alignment horizontal="left" vertical="center" wrapText="1"/>
    </xf>
    <xf numFmtId="0" fontId="88" fillId="0" borderId="116" xfId="0" applyFont="1" applyBorder="1" applyAlignment="1">
      <alignment horizontal="left" vertical="center" wrapText="1"/>
    </xf>
    <xf numFmtId="0" fontId="88" fillId="0" borderId="117" xfId="0" applyFont="1" applyBorder="1" applyAlignment="1">
      <alignment horizontal="left" vertical="center" wrapText="1"/>
    </xf>
    <xf numFmtId="0" fontId="63" fillId="0" borderId="42" xfId="0" applyFont="1" applyBorder="1" applyAlignment="1">
      <alignment horizontal="justify" vertical="center" wrapText="1"/>
    </xf>
    <xf numFmtId="0" fontId="63" fillId="0" borderId="43" xfId="0" applyFont="1" applyBorder="1" applyAlignment="1">
      <alignment horizontal="justify" vertical="center" wrapText="1"/>
    </xf>
    <xf numFmtId="0" fontId="63" fillId="0" borderId="44" xfId="0" applyFont="1" applyBorder="1" applyAlignment="1">
      <alignment horizontal="justify" vertical="center" wrapText="1"/>
    </xf>
    <xf numFmtId="0" fontId="89" fillId="0" borderId="115" xfId="0" applyFont="1" applyBorder="1" applyAlignment="1">
      <alignment horizontal="justify" vertical="center" wrapText="1"/>
    </xf>
    <xf numFmtId="0" fontId="89" fillId="0" borderId="116" xfId="0" applyFont="1" applyBorder="1" applyAlignment="1">
      <alignment horizontal="justify" vertical="center" wrapText="1"/>
    </xf>
    <xf numFmtId="0" fontId="89" fillId="0" borderId="117" xfId="0" applyFont="1" applyBorder="1" applyAlignment="1">
      <alignment horizontal="justify" vertical="center" wrapText="1"/>
    </xf>
    <xf numFmtId="0" fontId="122" fillId="0" borderId="42" xfId="0" applyFont="1" applyBorder="1" applyAlignment="1">
      <alignment horizontal="left" vertical="center" wrapText="1"/>
    </xf>
    <xf numFmtId="0" fontId="119" fillId="0" borderId="43" xfId="0" applyFont="1" applyBorder="1" applyAlignment="1">
      <alignment horizontal="left" vertical="center" wrapText="1"/>
    </xf>
    <xf numFmtId="0" fontId="119" fillId="0" borderId="44" xfId="0" applyFont="1" applyBorder="1" applyAlignment="1">
      <alignment horizontal="left" vertical="center" wrapText="1"/>
    </xf>
    <xf numFmtId="0" fontId="63" fillId="0" borderId="113" xfId="0" applyFont="1" applyBorder="1" applyAlignment="1">
      <alignment horizontal="justify" wrapText="1"/>
    </xf>
    <xf numFmtId="0" fontId="63" fillId="0" borderId="112" xfId="0" applyFont="1" applyBorder="1" applyAlignment="1">
      <alignment horizontal="justify" wrapText="1"/>
    </xf>
    <xf numFmtId="0" fontId="63" fillId="0" borderId="114" xfId="0" applyFont="1" applyBorder="1" applyAlignment="1">
      <alignment horizontal="justify" wrapText="1"/>
    </xf>
    <xf numFmtId="0" fontId="93" fillId="22" borderId="42" xfId="0" applyFont="1" applyFill="1" applyBorder="1" applyAlignment="1">
      <alignment horizontal="center" wrapText="1"/>
    </xf>
    <xf numFmtId="0" fontId="93" fillId="22" borderId="43" xfId="0" applyFont="1" applyFill="1" applyBorder="1" applyAlignment="1">
      <alignment horizontal="center" wrapText="1"/>
    </xf>
    <xf numFmtId="0" fontId="93" fillId="22" borderId="44" xfId="0" applyFont="1" applyFill="1" applyBorder="1" applyAlignment="1">
      <alignment horizontal="center" wrapText="1"/>
    </xf>
    <xf numFmtId="0" fontId="93" fillId="22" borderId="42" xfId="0" applyFont="1" applyFill="1" applyBorder="1" applyAlignment="1">
      <alignment horizontal="center"/>
    </xf>
    <xf numFmtId="0" fontId="93" fillId="22" borderId="43" xfId="0" applyFont="1" applyFill="1" applyBorder="1" applyAlignment="1">
      <alignment horizontal="center"/>
    </xf>
    <xf numFmtId="0" fontId="93" fillId="22" borderId="44" xfId="0" applyFont="1" applyFill="1" applyBorder="1" applyAlignment="1">
      <alignment horizontal="center"/>
    </xf>
    <xf numFmtId="0" fontId="0" fillId="0" borderId="0" xfId="0" applyBorder="1" applyAlignment="1">
      <alignment horizontal="center"/>
    </xf>
    <xf numFmtId="0" fontId="87" fillId="24" borderId="42" xfId="0" applyFont="1" applyFill="1" applyBorder="1" applyAlignment="1">
      <alignment horizontal="center"/>
    </xf>
    <xf numFmtId="0" fontId="87" fillId="24" borderId="43" xfId="0" applyFont="1" applyFill="1" applyBorder="1" applyAlignment="1">
      <alignment horizontal="center"/>
    </xf>
    <xf numFmtId="0" fontId="87" fillId="24" borderId="44" xfId="0" applyFont="1" applyFill="1" applyBorder="1" applyAlignment="1">
      <alignment horizont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6" fillId="0" borderId="0" xfId="0" applyFont="1" applyAlignment="1">
      <alignment horizontal="center"/>
    </xf>
    <xf numFmtId="0" fontId="94" fillId="22" borderId="42" xfId="0" applyFont="1" applyFill="1" applyBorder="1" applyAlignment="1">
      <alignment horizontal="center" vertical="center" wrapText="1"/>
    </xf>
    <xf numFmtId="0" fontId="94" fillId="22" borderId="43" xfId="0" applyFont="1" applyFill="1" applyBorder="1" applyAlignment="1">
      <alignment horizontal="center" vertical="center"/>
    </xf>
    <xf numFmtId="0" fontId="94" fillId="22" borderId="44" xfId="0" applyFont="1" applyFill="1" applyBorder="1" applyAlignment="1">
      <alignment horizontal="center" vertical="center"/>
    </xf>
    <xf numFmtId="0" fontId="93" fillId="22" borderId="42" xfId="0" applyFont="1" applyFill="1" applyBorder="1" applyAlignment="1">
      <alignment horizontal="center" vertical="center"/>
    </xf>
    <xf numFmtId="0" fontId="93" fillId="22" borderId="43" xfId="0" applyFont="1" applyFill="1" applyBorder="1" applyAlignment="1">
      <alignment horizontal="center" vertical="center"/>
    </xf>
    <xf numFmtId="0" fontId="93" fillId="22" borderId="44" xfId="0" applyFont="1" applyFill="1" applyBorder="1" applyAlignment="1">
      <alignment horizontal="center" vertical="center"/>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89" fillId="0" borderId="42" xfId="0" applyFont="1" applyBorder="1" applyAlignment="1">
      <alignment horizontal="justify" vertical="center" wrapText="1"/>
    </xf>
    <xf numFmtId="0" fontId="89" fillId="0" borderId="43" xfId="0" applyFont="1" applyBorder="1" applyAlignment="1">
      <alignment horizontal="justify" vertical="center" wrapText="1"/>
    </xf>
    <xf numFmtId="0" fontId="89" fillId="0" borderId="44" xfId="0" applyFont="1" applyBorder="1" applyAlignment="1">
      <alignment horizontal="justify" vertical="center" wrapText="1"/>
    </xf>
    <xf numFmtId="0" fontId="0" fillId="0" borderId="0" xfId="0" applyBorder="1" applyAlignment="1">
      <alignment horizontal="center" wrapText="1"/>
    </xf>
    <xf numFmtId="0" fontId="88" fillId="0" borderId="43" xfId="0" applyFont="1" applyBorder="1" applyAlignment="1">
      <alignment horizontal="justify" vertical="center"/>
    </xf>
    <xf numFmtId="0" fontId="88" fillId="0" borderId="44" xfId="0" applyFont="1" applyBorder="1" applyAlignment="1">
      <alignment horizontal="justify" vertical="center"/>
    </xf>
    <xf numFmtId="0" fontId="0" fillId="0" borderId="112" xfId="0" applyBorder="1" applyAlignment="1">
      <alignment horizontal="center" wrapText="1"/>
    </xf>
    <xf numFmtId="0" fontId="0" fillId="0" borderId="112" xfId="0" applyBorder="1" applyAlignment="1">
      <alignment horizontal="center"/>
    </xf>
    <xf numFmtId="164" fontId="88" fillId="0" borderId="42" xfId="0" applyNumberFormat="1" applyFont="1" applyBorder="1" applyAlignment="1">
      <alignment horizontal="left" vertical="center" wrapText="1"/>
    </xf>
    <xf numFmtId="0" fontId="88" fillId="0" borderId="43" xfId="0" applyFont="1" applyBorder="1" applyAlignment="1">
      <alignment horizontal="left" vertical="center" wrapText="1"/>
    </xf>
    <xf numFmtId="0" fontId="88" fillId="0" borderId="44" xfId="0" applyFont="1" applyBorder="1" applyAlignment="1">
      <alignment horizontal="left" vertical="center" wrapText="1"/>
    </xf>
    <xf numFmtId="9" fontId="89" fillId="0" borderId="42" xfId="101" applyFont="1" applyBorder="1" applyAlignment="1">
      <alignment horizontal="justify" vertical="center" wrapText="1"/>
    </xf>
    <xf numFmtId="9" fontId="89" fillId="0" borderId="43" xfId="101" applyFont="1" applyBorder="1" applyAlignment="1">
      <alignment horizontal="justify" vertical="center" wrapText="1"/>
    </xf>
    <xf numFmtId="9" fontId="89" fillId="0" borderId="44" xfId="101" applyFont="1" applyBorder="1" applyAlignment="1">
      <alignment horizontal="justify" vertical="center" wrapText="1"/>
    </xf>
    <xf numFmtId="0" fontId="87" fillId="25" borderId="42" xfId="0" applyFont="1" applyFill="1" applyBorder="1" applyAlignment="1">
      <alignment horizontal="center"/>
    </xf>
    <xf numFmtId="0" fontId="87" fillId="25" borderId="43" xfId="0" applyFont="1" applyFill="1" applyBorder="1" applyAlignment="1">
      <alignment horizontal="center"/>
    </xf>
    <xf numFmtId="0" fontId="87" fillId="25" borderId="44" xfId="0" applyFont="1" applyFill="1" applyBorder="1" applyAlignment="1">
      <alignment horizontal="center"/>
    </xf>
    <xf numFmtId="164" fontId="17" fillId="35" borderId="0" xfId="84" applyFont="1" applyFill="1" applyAlignment="1">
      <alignment horizontal="center" vertical="center"/>
    </xf>
    <xf numFmtId="0" fontId="88" fillId="0" borderId="43" xfId="0" applyFont="1" applyBorder="1" applyAlignment="1">
      <alignment horizontal="left" vertical="center"/>
    </xf>
    <xf numFmtId="0" fontId="88" fillId="0" borderId="44" xfId="0" applyFont="1" applyBorder="1" applyAlignment="1">
      <alignment horizontal="left" vertical="center"/>
    </xf>
    <xf numFmtId="0" fontId="114" fillId="0" borderId="0" xfId="0" applyFont="1" applyAlignment="1">
      <alignment horizontal="right"/>
    </xf>
    <xf numFmtId="49" fontId="0" fillId="0" borderId="42" xfId="0" applyNumberFormat="1" applyBorder="1" applyAlignment="1" applyProtection="1">
      <alignment horizontal="center"/>
      <protection locked="0"/>
    </xf>
    <xf numFmtId="49" fontId="0" fillId="0" borderId="44" xfId="0" applyNumberFormat="1" applyBorder="1" applyAlignment="1" applyProtection="1">
      <alignment horizontal="center"/>
      <protection locked="0"/>
    </xf>
    <xf numFmtId="49" fontId="14" fillId="0" borderId="22" xfId="0" applyNumberFormat="1" applyFont="1" applyBorder="1" applyAlignment="1">
      <alignment horizontal="center"/>
    </xf>
    <xf numFmtId="49" fontId="14" fillId="0" borderId="10" xfId="0" applyNumberFormat="1" applyFont="1" applyBorder="1" applyAlignment="1">
      <alignment horizontal="center"/>
    </xf>
    <xf numFmtId="0" fontId="0" fillId="19" borderId="0" xfId="0" applyFill="1" applyBorder="1" applyAlignment="1">
      <alignment horizontal="center" vertical="center" textRotation="90"/>
    </xf>
    <xf numFmtId="164" fontId="14" fillId="0" borderId="132" xfId="0" applyNumberFormat="1" applyFont="1" applyBorder="1" applyAlignment="1">
      <alignment horizontal="center"/>
    </xf>
    <xf numFmtId="0" fontId="14" fillId="0" borderId="133" xfId="0" applyFont="1" applyBorder="1" applyAlignment="1">
      <alignment horizontal="center"/>
    </xf>
    <xf numFmtId="0" fontId="14" fillId="0" borderId="134" xfId="0" applyFont="1" applyBorder="1" applyAlignment="1">
      <alignment horizontal="center"/>
    </xf>
    <xf numFmtId="49" fontId="67" fillId="30" borderId="10" xfId="0" applyNumberFormat="1" applyFont="1" applyFill="1" applyBorder="1" applyAlignment="1" applyProtection="1">
      <alignment horizontal="left" vertical="center" wrapText="1"/>
      <protection locked="0"/>
    </xf>
    <xf numFmtId="0" fontId="26" fillId="0" borderId="135" xfId="0" applyFont="1" applyBorder="1" applyAlignment="1">
      <alignment horizontal="center" wrapText="1"/>
    </xf>
    <xf numFmtId="0" fontId="26" fillId="0" borderId="136" xfId="0" applyFont="1" applyBorder="1" applyAlignment="1">
      <alignment horizontal="center" wrapText="1"/>
    </xf>
    <xf numFmtId="0" fontId="26" fillId="0" borderId="137" xfId="0" applyFont="1" applyBorder="1" applyAlignment="1">
      <alignment horizontal="center" wrapText="1"/>
    </xf>
    <xf numFmtId="49" fontId="67" fillId="22" borderId="10" xfId="0" applyNumberFormat="1" applyFont="1" applyFill="1" applyBorder="1" applyAlignment="1" applyProtection="1">
      <alignment horizontal="center" vertical="center" wrapText="1"/>
      <protection locked="0"/>
    </xf>
    <xf numFmtId="49" fontId="67" fillId="37" borderId="10" xfId="0" applyNumberFormat="1" applyFont="1" applyFill="1" applyBorder="1" applyAlignment="1" applyProtection="1">
      <alignment horizontal="left" vertical="center" wrapText="1"/>
      <protection locked="0"/>
    </xf>
    <xf numFmtId="11" fontId="67" fillId="39" borderId="10" xfId="0" applyNumberFormat="1" applyFont="1" applyFill="1" applyBorder="1" applyAlignment="1" applyProtection="1">
      <alignment horizontal="left" vertical="center" wrapText="1"/>
      <protection locked="0"/>
    </xf>
    <xf numFmtId="164" fontId="61" fillId="35" borderId="0" xfId="75" applyFont="1" applyFill="1" applyAlignment="1">
      <alignment horizontal="center" vertical="center"/>
    </xf>
    <xf numFmtId="49" fontId="0" fillId="0" borderId="43" xfId="0" applyNumberFormat="1" applyBorder="1" applyAlignment="1" applyProtection="1">
      <alignment horizontal="center"/>
      <protection locked="0"/>
    </xf>
    <xf numFmtId="0" fontId="114" fillId="0" borderId="49" xfId="0" applyFont="1" applyBorder="1" applyAlignment="1">
      <alignment horizontal="right"/>
    </xf>
    <xf numFmtId="0" fontId="114" fillId="0" borderId="99" xfId="0" applyFont="1" applyBorder="1" applyAlignment="1">
      <alignment horizontal="right"/>
    </xf>
    <xf numFmtId="3" fontId="0" fillId="0" borderId="42" xfId="0" applyNumberFormat="1" applyBorder="1" applyAlignment="1" applyProtection="1">
      <alignment horizontal="center"/>
      <protection locked="0"/>
    </xf>
    <xf numFmtId="3" fontId="0" fillId="0" borderId="44" xfId="0" applyNumberFormat="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0" fontId="114" fillId="0" borderId="0" xfId="0" applyFont="1" applyBorder="1" applyAlignment="1">
      <alignment horizontal="right"/>
    </xf>
    <xf numFmtId="175" fontId="1" fillId="0" borderId="10" xfId="105" applyNumberFormat="1" applyFont="1" applyFill="1" applyBorder="1" applyAlignment="1" applyProtection="1">
      <alignment horizontal="center"/>
      <protection locked="0"/>
    </xf>
    <xf numFmtId="175" fontId="134" fillId="0" borderId="10" xfId="105" applyNumberFormat="1" applyFill="1" applyBorder="1" applyAlignment="1" applyProtection="1">
      <alignment horizontal="center"/>
      <protection locked="0"/>
    </xf>
    <xf numFmtId="0" fontId="67" fillId="0" borderId="10" xfId="0" applyFont="1" applyFill="1" applyBorder="1" applyAlignment="1">
      <alignment horizontal="left" vertical="center" wrapText="1"/>
    </xf>
    <xf numFmtId="0" fontId="67" fillId="28" borderId="10" xfId="0" applyFont="1" applyFill="1" applyBorder="1" applyAlignment="1">
      <alignment horizontal="left" vertical="center" wrapText="1"/>
    </xf>
    <xf numFmtId="11" fontId="67" fillId="37" borderId="10" xfId="0" applyNumberFormat="1" applyFont="1" applyFill="1" applyBorder="1" applyAlignment="1" applyProtection="1">
      <alignment horizontal="left" vertical="center" wrapText="1"/>
      <protection locked="0"/>
    </xf>
    <xf numFmtId="49" fontId="67" fillId="39" borderId="10"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center" vertical="center" wrapText="1"/>
      <protection locked="0"/>
    </xf>
    <xf numFmtId="0" fontId="0" fillId="22" borderId="42" xfId="0" applyFill="1" applyBorder="1" applyAlignment="1">
      <alignment horizontal="center"/>
    </xf>
    <xf numFmtId="0" fontId="0" fillId="22" borderId="44" xfId="0" applyFill="1" applyBorder="1" applyAlignment="1">
      <alignment horizontal="center"/>
    </xf>
    <xf numFmtId="49" fontId="14" fillId="0" borderId="24" xfId="0" applyNumberFormat="1" applyFont="1" applyBorder="1" applyAlignment="1">
      <alignment horizontal="center"/>
    </xf>
    <xf numFmtId="49" fontId="14" fillId="0" borderId="46" xfId="0" applyNumberFormat="1" applyFont="1" applyBorder="1" applyAlignment="1">
      <alignment horizontal="center"/>
    </xf>
    <xf numFmtId="0" fontId="130" fillId="22" borderId="10" xfId="0" applyNumberFormat="1" applyFont="1" applyFill="1" applyBorder="1" applyAlignment="1" applyProtection="1">
      <alignment horizontal="center" vertical="center" wrapText="1"/>
      <protection locked="0"/>
    </xf>
    <xf numFmtId="0" fontId="67" fillId="22" borderId="10" xfId="0" applyNumberFormat="1" applyFont="1" applyFill="1" applyBorder="1" applyAlignment="1" applyProtection="1">
      <alignment horizontal="center" vertical="center" wrapText="1"/>
      <protection locked="0"/>
    </xf>
    <xf numFmtId="0" fontId="77" fillId="0" borderId="129" xfId="0" applyFont="1" applyFill="1" applyBorder="1" applyAlignment="1">
      <alignment horizontal="center" vertical="center"/>
    </xf>
    <xf numFmtId="0" fontId="77" fillId="0" borderId="130" xfId="0" applyFont="1" applyFill="1" applyBorder="1" applyAlignment="1">
      <alignment horizontal="center" vertical="center"/>
    </xf>
    <xf numFmtId="0" fontId="77" fillId="0" borderId="131" xfId="0" applyFont="1" applyFill="1" applyBorder="1" applyAlignment="1">
      <alignment horizontal="center" vertical="center"/>
    </xf>
    <xf numFmtId="164" fontId="21" fillId="38" borderId="10" xfId="105" applyFont="1" applyFill="1" applyBorder="1" applyAlignment="1" applyProtection="1">
      <alignment horizontal="center"/>
      <protection locked="0"/>
    </xf>
    <xf numFmtId="49" fontId="0" fillId="0" borderId="10" xfId="0" applyNumberFormat="1" applyBorder="1" applyAlignment="1" applyProtection="1">
      <alignment horizontal="center"/>
      <protection locked="0"/>
    </xf>
    <xf numFmtId="49" fontId="2" fillId="30" borderId="10" xfId="0" applyNumberFormat="1" applyFont="1" applyFill="1" applyBorder="1" applyAlignment="1" applyProtection="1">
      <alignment horizontal="center" vertical="center" wrapText="1"/>
      <protection locked="0"/>
    </xf>
    <xf numFmtId="49" fontId="67" fillId="30" borderId="10" xfId="0" applyNumberFormat="1" applyFont="1" applyFill="1" applyBorder="1" applyAlignment="1" applyProtection="1">
      <alignment horizontal="center" vertical="center" wrapText="1"/>
      <protection locked="0"/>
    </xf>
    <xf numFmtId="0" fontId="0" fillId="0" borderId="124" xfId="0" applyBorder="1" applyAlignment="1">
      <alignment horizontal="center"/>
    </xf>
    <xf numFmtId="0" fontId="0" fillId="0" borderId="20" xfId="0" applyBorder="1" applyAlignment="1">
      <alignment horizontal="center"/>
    </xf>
    <xf numFmtId="0" fontId="84" fillId="0" borderId="125" xfId="0" applyFont="1" applyBorder="1" applyAlignment="1">
      <alignment horizontal="right"/>
    </xf>
    <xf numFmtId="0" fontId="123" fillId="0" borderId="125" xfId="0" applyFont="1" applyBorder="1" applyAlignment="1"/>
    <xf numFmtId="0" fontId="0" fillId="0" borderId="126" xfId="0" applyFill="1" applyBorder="1" applyAlignment="1" applyProtection="1">
      <alignment horizontal="center" vertical="center"/>
      <protection locked="0"/>
    </xf>
    <xf numFmtId="0" fontId="0" fillId="0" borderId="127" xfId="0" applyFill="1" applyBorder="1" applyAlignment="1" applyProtection="1">
      <alignment horizontal="center" vertical="center"/>
      <protection locked="0"/>
    </xf>
    <xf numFmtId="0" fontId="0" fillId="0" borderId="128" xfId="0" applyFill="1" applyBorder="1" applyAlignment="1" applyProtection="1">
      <alignment horizontal="center" vertical="center"/>
      <protection locked="0"/>
    </xf>
    <xf numFmtId="49" fontId="2" fillId="23" borderId="10" xfId="0" applyNumberFormat="1" applyFont="1" applyFill="1" applyBorder="1" applyAlignment="1" applyProtection="1">
      <alignment horizontal="center" vertical="center" wrapText="1"/>
      <protection locked="0"/>
    </xf>
    <xf numFmtId="0" fontId="138" fillId="22" borderId="10" xfId="0" applyNumberFormat="1" applyFont="1" applyFill="1" applyBorder="1" applyAlignment="1" applyProtection="1">
      <alignment horizontal="center" vertical="center" wrapText="1"/>
      <protection locked="0"/>
    </xf>
    <xf numFmtId="0" fontId="67" fillId="28" borderId="10" xfId="0" applyFont="1" applyFill="1" applyBorder="1" applyAlignment="1">
      <alignment horizontal="center" vertical="center" wrapText="1"/>
    </xf>
    <xf numFmtId="168" fontId="138" fillId="22" borderId="10" xfId="0" applyNumberFormat="1" applyFont="1" applyFill="1" applyBorder="1" applyAlignment="1" applyProtection="1">
      <alignment horizontal="center" vertical="center" wrapText="1"/>
      <protection locked="0"/>
    </xf>
    <xf numFmtId="0" fontId="67" fillId="0" borderId="10" xfId="0" applyFont="1" applyFill="1" applyBorder="1" applyAlignment="1">
      <alignment horizontal="center" vertical="center" wrapText="1"/>
    </xf>
    <xf numFmtId="9" fontId="33" fillId="0" borderId="118" xfId="101" applyFont="1" applyFill="1" applyBorder="1" applyAlignment="1">
      <alignment horizontal="center" vertical="center"/>
    </xf>
    <xf numFmtId="9" fontId="33" fillId="0" borderId="119" xfId="101" applyFont="1" applyFill="1" applyBorder="1" applyAlignment="1">
      <alignment horizontal="center" vertical="center"/>
    </xf>
    <xf numFmtId="9" fontId="33" fillId="0" borderId="120" xfId="101" applyFont="1" applyFill="1" applyBorder="1" applyAlignment="1">
      <alignment horizontal="center" vertical="center"/>
    </xf>
    <xf numFmtId="0" fontId="138" fillId="23" borderId="10" xfId="0" applyNumberFormat="1" applyFont="1" applyFill="1" applyBorder="1" applyAlignment="1" applyProtection="1">
      <alignment horizontal="center" vertical="center" wrapText="1"/>
      <protection locked="0"/>
    </xf>
    <xf numFmtId="0" fontId="0" fillId="36" borderId="121" xfId="0" applyFill="1" applyBorder="1" applyAlignment="1">
      <alignment horizontal="center"/>
    </xf>
    <xf numFmtId="0" fontId="0" fillId="36" borderId="122" xfId="0" applyFill="1" applyBorder="1" applyAlignment="1">
      <alignment horizontal="center"/>
    </xf>
    <xf numFmtId="0" fontId="0" fillId="36" borderId="123" xfId="0" applyFill="1" applyBorder="1" applyAlignment="1">
      <alignment horizontal="center"/>
    </xf>
    <xf numFmtId="164" fontId="105" fillId="35" borderId="0" xfId="75" applyFont="1" applyFill="1" applyAlignment="1">
      <alignment horizontal="center" vertical="center"/>
    </xf>
    <xf numFmtId="164" fontId="24" fillId="24" borderId="39" xfId="105" applyFont="1" applyFill="1" applyBorder="1" applyAlignment="1">
      <alignment horizontal="center"/>
    </xf>
    <xf numFmtId="164" fontId="33" fillId="24" borderId="0" xfId="88" applyFont="1" applyFill="1" applyAlignment="1">
      <alignment horizontal="center" vertical="center" wrapText="1"/>
    </xf>
    <xf numFmtId="173" fontId="24" fillId="24" borderId="39" xfId="105" applyNumberFormat="1" applyFont="1" applyFill="1" applyBorder="1" applyAlignment="1">
      <alignment horizontal="center" vertical="center"/>
    </xf>
    <xf numFmtId="164" fontId="1" fillId="0" borderId="39" xfId="105" applyFont="1" applyBorder="1" applyAlignment="1">
      <alignment horizontal="right"/>
    </xf>
    <xf numFmtId="164" fontId="1" fillId="0" borderId="39" xfId="105" applyFont="1" applyFill="1" applyBorder="1" applyAlignment="1">
      <alignment horizontal="right"/>
    </xf>
    <xf numFmtId="164" fontId="20" fillId="0" borderId="0" xfId="88" applyFont="1" applyFill="1" applyAlignment="1">
      <alignment horizontal="right" vertical="center"/>
    </xf>
    <xf numFmtId="164" fontId="24" fillId="24" borderId="0" xfId="88" applyFont="1" applyFill="1" applyAlignment="1">
      <alignment horizontal="center" vertical="center" wrapText="1"/>
    </xf>
    <xf numFmtId="164" fontId="117" fillId="34" borderId="39" xfId="105" applyFont="1" applyFill="1" applyBorder="1" applyAlignment="1">
      <alignment horizontal="center"/>
    </xf>
    <xf numFmtId="15" fontId="24" fillId="24" borderId="39" xfId="105" applyNumberFormat="1" applyFont="1" applyFill="1" applyBorder="1" applyAlignment="1">
      <alignment horizontal="center"/>
    </xf>
    <xf numFmtId="0" fontId="0" fillId="0" borderId="39" xfId="0" applyBorder="1" applyAlignment="1"/>
    <xf numFmtId="0" fontId="34" fillId="22" borderId="42" xfId="0" applyFont="1" applyFill="1"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34" fillId="22" borderId="42" xfId="0" applyFont="1" applyFill="1" applyBorder="1" applyAlignment="1" applyProtection="1">
      <alignment horizontal="left" wrapText="1"/>
      <protection locked="0"/>
    </xf>
    <xf numFmtId="0" fontId="0" fillId="0" borderId="43" xfId="0" applyBorder="1" applyAlignment="1" applyProtection="1">
      <alignment horizontal="left" wrapText="1"/>
      <protection locked="0"/>
    </xf>
    <xf numFmtId="0" fontId="0" fillId="0" borderId="44" xfId="0" applyBorder="1" applyAlignment="1" applyProtection="1">
      <alignment horizontal="left" wrapText="1"/>
      <protection locked="0"/>
    </xf>
    <xf numFmtId="0" fontId="118" fillId="0" borderId="138" xfId="0" applyFont="1" applyFill="1" applyBorder="1" applyAlignment="1">
      <alignment horizontal="left" vertical="center" wrapText="1"/>
    </xf>
    <xf numFmtId="0" fontId="118" fillId="0" borderId="87" xfId="0" applyFont="1" applyFill="1" applyBorder="1" applyAlignment="1">
      <alignment horizontal="left" vertical="center" wrapText="1"/>
    </xf>
    <xf numFmtId="0" fontId="118" fillId="0" borderId="139" xfId="0" applyFont="1" applyFill="1" applyBorder="1" applyAlignment="1">
      <alignment horizontal="left" vertical="center" wrapText="1"/>
    </xf>
    <xf numFmtId="0" fontId="118" fillId="0" borderId="140" xfId="0" applyFont="1" applyFill="1" applyBorder="1" applyAlignment="1">
      <alignment horizontal="left" vertical="center" wrapText="1"/>
    </xf>
    <xf numFmtId="164" fontId="37" fillId="0" borderId="0" xfId="0" applyNumberFormat="1" applyFont="1" applyAlignment="1">
      <alignment horizontal="center" wrapText="1"/>
    </xf>
    <xf numFmtId="164" fontId="140" fillId="0" borderId="0" xfId="0" applyNumberFormat="1" applyFont="1" applyAlignment="1">
      <alignment horizontal="right"/>
    </xf>
    <xf numFmtId="15" fontId="140" fillId="0" borderId="0" xfId="0" applyNumberFormat="1" applyFont="1" applyAlignment="1">
      <alignment horizontal="right"/>
    </xf>
    <xf numFmtId="164" fontId="37" fillId="0" borderId="0" xfId="0" applyNumberFormat="1" applyFont="1" applyAlignment="1">
      <alignment horizontal="center"/>
    </xf>
    <xf numFmtId="164" fontId="140" fillId="0" borderId="0" xfId="0" applyNumberFormat="1" applyFont="1" applyAlignment="1">
      <alignment horizontal="left"/>
    </xf>
    <xf numFmtId="164" fontId="141" fillId="34" borderId="0" xfId="105" applyFont="1" applyFill="1" applyBorder="1" applyAlignment="1">
      <alignment horizontal="center"/>
    </xf>
    <xf numFmtId="0" fontId="111" fillId="0" borderId="0" xfId="0" applyFont="1" applyAlignment="1">
      <alignment horizontal="center"/>
    </xf>
    <xf numFmtId="164" fontId="110" fillId="0" borderId="121" xfId="0" applyNumberFormat="1" applyFont="1" applyBorder="1" applyAlignment="1">
      <alignment horizontal="center" vertical="center" wrapText="1"/>
    </xf>
    <xf numFmtId="164" fontId="110" fillId="0" borderId="122" xfId="0" applyNumberFormat="1" applyFont="1" applyBorder="1" applyAlignment="1">
      <alignment horizontal="center" vertical="center" wrapText="1"/>
    </xf>
    <xf numFmtId="164" fontId="110" fillId="0" borderId="123" xfId="0" applyNumberFormat="1" applyFont="1" applyBorder="1" applyAlignment="1">
      <alignment horizontal="center" vertical="center" wrapText="1"/>
    </xf>
    <xf numFmtId="0" fontId="0" fillId="0" borderId="141" xfId="0" applyBorder="1" applyAlignment="1">
      <alignment horizontal="center" vertical="center"/>
    </xf>
    <xf numFmtId="0" fontId="0" fillId="0" borderId="63" xfId="0" applyBorder="1" applyAlignment="1">
      <alignment horizontal="center" vertical="center"/>
    </xf>
    <xf numFmtId="0" fontId="34" fillId="22" borderId="10" xfId="0" applyFont="1"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85" fillId="0" borderId="0" xfId="0" applyFont="1" applyAlignment="1">
      <alignment horizontal="left" wrapText="1"/>
    </xf>
    <xf numFmtId="0" fontId="30" fillId="22" borderId="42" xfId="0" applyFont="1" applyFill="1" applyBorder="1" applyAlignment="1" applyProtection="1">
      <alignment horizontal="left" wrapText="1"/>
      <protection locked="0"/>
    </xf>
    <xf numFmtId="0" fontId="0" fillId="0" borderId="43" xfId="0" applyBorder="1" applyAlignment="1">
      <alignment horizontal="left" wrapText="1"/>
    </xf>
    <xf numFmtId="0" fontId="0" fillId="0" borderId="44" xfId="0" applyBorder="1" applyAlignment="1">
      <alignment horizontal="left" wrapText="1"/>
    </xf>
    <xf numFmtId="164" fontId="61" fillId="35" borderId="0" xfId="85" applyFont="1" applyFill="1" applyAlignment="1">
      <alignment horizontal="center" vertical="center"/>
    </xf>
    <xf numFmtId="164" fontId="15" fillId="34" borderId="0" xfId="105" applyFont="1" applyFill="1" applyBorder="1" applyAlignment="1">
      <alignment horizontal="center"/>
    </xf>
    <xf numFmtId="164" fontId="14" fillId="0" borderId="0" xfId="0" applyNumberFormat="1" applyFont="1" applyAlignment="1">
      <alignment horizontal="center"/>
    </xf>
    <xf numFmtId="164" fontId="28" fillId="0" borderId="0" xfId="0" applyNumberFormat="1" applyFont="1" applyAlignment="1">
      <alignment horizontal="right"/>
    </xf>
    <xf numFmtId="0" fontId="30" fillId="22" borderId="42" xfId="0" applyFont="1" applyFill="1" applyBorder="1" applyAlignment="1" applyProtection="1">
      <alignment horizontal="left" vertical="top" wrapText="1"/>
      <protection locked="0"/>
    </xf>
    <xf numFmtId="0" fontId="30" fillId="22" borderId="43" xfId="0" applyFont="1" applyFill="1" applyBorder="1" applyAlignment="1" applyProtection="1">
      <alignment horizontal="left" vertical="top" wrapText="1"/>
      <protection locked="0"/>
    </xf>
    <xf numFmtId="0" fontId="30" fillId="22" borderId="44" xfId="0" applyFont="1" applyFill="1" applyBorder="1" applyAlignment="1" applyProtection="1">
      <alignment horizontal="left" vertical="top" wrapText="1"/>
      <protection locked="0"/>
    </xf>
    <xf numFmtId="0" fontId="34" fillId="22" borderId="43"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14" fillId="0" borderId="0" xfId="0" applyFont="1" applyBorder="1" applyAlignment="1">
      <alignment horizontal="center"/>
    </xf>
    <xf numFmtId="164" fontId="28" fillId="0" borderId="0" xfId="0" applyNumberFormat="1" applyFont="1" applyAlignment="1">
      <alignment horizontal="left"/>
    </xf>
    <xf numFmtId="0" fontId="0" fillId="0" borderId="126" xfId="0" applyFill="1" applyBorder="1" applyAlignment="1">
      <alignment horizontal="center" vertical="center"/>
    </xf>
    <xf numFmtId="0" fontId="0" fillId="0" borderId="127" xfId="0" applyFill="1" applyBorder="1" applyAlignment="1">
      <alignment horizontal="center" vertical="center"/>
    </xf>
    <xf numFmtId="0" fontId="0" fillId="0" borderId="128" xfId="0" applyFill="1" applyBorder="1" applyAlignment="1">
      <alignment horizontal="center" vertical="center"/>
    </xf>
    <xf numFmtId="15" fontId="28" fillId="0" borderId="0" xfId="0" applyNumberFormat="1" applyFont="1" applyAlignment="1">
      <alignment horizontal="right"/>
    </xf>
    <xf numFmtId="0" fontId="0" fillId="0" borderId="43" xfId="0" applyBorder="1" applyAlignment="1">
      <alignment horizontal="left" vertical="top" wrapText="1"/>
    </xf>
    <xf numFmtId="0" fontId="0" fillId="0" borderId="44" xfId="0" applyBorder="1" applyAlignment="1">
      <alignment horizontal="left" vertical="top" wrapText="1"/>
    </xf>
    <xf numFmtId="0" fontId="34" fillId="20" borderId="142"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11" fontId="34" fillId="0" borderId="10" xfId="0" applyNumberFormat="1" applyFont="1" applyBorder="1" applyAlignment="1">
      <alignment vertical="center" wrapText="1"/>
    </xf>
    <xf numFmtId="0" fontId="34" fillId="0" borderId="10" xfId="0" applyFont="1" applyBorder="1" applyAlignment="1">
      <alignment vertical="center" wrapText="1"/>
    </xf>
    <xf numFmtId="9" fontId="132" fillId="22" borderId="42" xfId="101" applyFont="1" applyFill="1" applyBorder="1" applyAlignment="1" applyProtection="1">
      <alignment horizontal="left" vertical="top" wrapText="1"/>
      <protection locked="0"/>
    </xf>
    <xf numFmtId="9" fontId="139" fillId="22" borderId="43" xfId="101" applyFont="1" applyFill="1" applyBorder="1" applyAlignment="1" applyProtection="1">
      <alignment horizontal="left" vertical="top" wrapText="1"/>
      <protection locked="0"/>
    </xf>
    <xf numFmtId="9" fontId="139" fillId="22" borderId="44" xfId="101" applyFont="1" applyFill="1" applyBorder="1" applyAlignment="1" applyProtection="1">
      <alignment horizontal="left" vertical="top" wrapText="1"/>
      <protection locked="0"/>
    </xf>
    <xf numFmtId="9" fontId="132" fillId="22" borderId="42" xfId="101" applyFont="1" applyFill="1" applyBorder="1" applyAlignment="1" applyProtection="1">
      <alignment vertical="center" wrapText="1"/>
      <protection locked="0"/>
    </xf>
    <xf numFmtId="9" fontId="132" fillId="22" borderId="43" xfId="101" applyFont="1" applyFill="1" applyBorder="1" applyAlignment="1" applyProtection="1">
      <alignment vertical="center" wrapText="1"/>
      <protection locked="0"/>
    </xf>
    <xf numFmtId="9" fontId="132" fillId="22" borderId="44" xfId="101" applyFont="1" applyFill="1" applyBorder="1" applyAlignment="1" applyProtection="1">
      <alignment vertical="center" wrapText="1"/>
      <protection locked="0"/>
    </xf>
    <xf numFmtId="49" fontId="34" fillId="0" borderId="10" xfId="0" applyNumberFormat="1" applyFont="1" applyBorder="1" applyAlignment="1">
      <alignment vertical="center" wrapText="1"/>
    </xf>
    <xf numFmtId="9" fontId="137" fillId="0" borderId="42" xfId="101" applyFont="1" applyBorder="1" applyAlignment="1">
      <alignment horizontal="center" vertical="center" wrapText="1"/>
    </xf>
    <xf numFmtId="9" fontId="137" fillId="0" borderId="43" xfId="101" applyFont="1" applyBorder="1" applyAlignment="1">
      <alignment horizontal="center" vertical="center" wrapText="1"/>
    </xf>
    <xf numFmtId="9" fontId="137" fillId="0" borderId="44" xfId="101" applyFont="1" applyBorder="1" applyAlignment="1">
      <alignment horizontal="center" vertical="center" wrapText="1"/>
    </xf>
    <xf numFmtId="9" fontId="28" fillId="0" borderId="42" xfId="101" applyFont="1" applyBorder="1" applyAlignment="1">
      <alignment horizontal="center" vertical="center" wrapText="1"/>
    </xf>
    <xf numFmtId="9" fontId="28" fillId="0" borderId="43" xfId="101" applyFont="1" applyBorder="1" applyAlignment="1">
      <alignment horizontal="center" vertical="center" wrapText="1"/>
    </xf>
    <xf numFmtId="9" fontId="28" fillId="0" borderId="44" xfId="101" applyFont="1" applyBorder="1" applyAlignment="1">
      <alignment horizontal="center" vertical="center" wrapText="1"/>
    </xf>
    <xf numFmtId="0" fontId="34" fillId="20" borderId="0" xfId="0" applyFont="1" applyFill="1" applyAlignment="1">
      <alignment horizontal="center" vertical="center" wrapText="1"/>
    </xf>
    <xf numFmtId="11" fontId="139" fillId="0" borderId="42" xfId="0" applyNumberFormat="1" applyFont="1" applyBorder="1" applyAlignment="1">
      <alignment vertical="center" wrapText="1"/>
    </xf>
    <xf numFmtId="0" fontId="139" fillId="0" borderId="43" xfId="0" applyFont="1" applyBorder="1" applyAlignment="1">
      <alignment vertical="center" wrapText="1"/>
    </xf>
    <xf numFmtId="0" fontId="139" fillId="0" borderId="44" xfId="0" applyFont="1" applyBorder="1" applyAlignment="1">
      <alignment vertical="center" wrapText="1"/>
    </xf>
    <xf numFmtId="0" fontId="34" fillId="0" borderId="10" xfId="0" applyFont="1" applyFill="1" applyBorder="1" applyAlignment="1">
      <alignment vertical="center" wrapText="1"/>
    </xf>
    <xf numFmtId="0" fontId="34" fillId="20" borderId="0" xfId="0" applyFont="1" applyFill="1" applyAlignment="1" applyProtection="1">
      <alignment horizontal="left"/>
      <protection locked="0"/>
    </xf>
    <xf numFmtId="0" fontId="34" fillId="20" borderId="40" xfId="0" applyFont="1" applyFill="1" applyBorder="1" applyAlignment="1" applyProtection="1">
      <alignment horizontal="left"/>
      <protection locked="0"/>
    </xf>
    <xf numFmtId="0" fontId="34" fillId="20" borderId="112" xfId="0" applyFont="1" applyFill="1" applyBorder="1" applyAlignment="1">
      <alignment horizontal="left"/>
    </xf>
    <xf numFmtId="0" fontId="34" fillId="20" borderId="112" xfId="0" applyFont="1" applyFill="1" applyBorder="1" applyAlignment="1">
      <alignment horizontal="left" vertical="center" wrapText="1"/>
    </xf>
    <xf numFmtId="0" fontId="34" fillId="0" borderId="42"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9" fontId="132" fillId="22" borderId="43" xfId="101" applyFont="1" applyFill="1" applyBorder="1" applyAlignment="1" applyProtection="1">
      <alignment horizontal="left" vertical="top" wrapText="1"/>
      <protection locked="0"/>
    </xf>
    <xf numFmtId="9" fontId="132" fillId="22" borderId="44" xfId="101" applyFont="1" applyFill="1" applyBorder="1" applyAlignment="1" applyProtection="1">
      <alignment horizontal="left" vertical="top" wrapText="1"/>
      <protection locked="0"/>
    </xf>
    <xf numFmtId="9" fontId="37" fillId="36" borderId="42" xfId="101" applyFont="1" applyFill="1" applyBorder="1" applyAlignment="1">
      <alignment horizontal="center" vertical="center" wrapText="1"/>
    </xf>
    <xf numFmtId="9" fontId="37" fillId="36" borderId="44" xfId="101" applyFont="1" applyFill="1" applyBorder="1" applyAlignment="1">
      <alignment horizontal="center" vertical="center" wrapText="1"/>
    </xf>
    <xf numFmtId="9" fontId="37" fillId="40" borderId="42" xfId="101" applyFont="1" applyFill="1" applyBorder="1" applyAlignment="1">
      <alignment horizontal="center" vertical="center" wrapText="1"/>
    </xf>
    <xf numFmtId="9" fontId="37" fillId="40" borderId="44" xfId="101" applyFont="1" applyFill="1" applyBorder="1" applyAlignment="1">
      <alignment horizontal="center" vertical="center" wrapText="1"/>
    </xf>
    <xf numFmtId="0" fontId="34" fillId="20" borderId="0" xfId="0" applyFont="1" applyFill="1" applyBorder="1" applyAlignment="1">
      <alignment horizontal="left"/>
    </xf>
    <xf numFmtId="9" fontId="30" fillId="22" borderId="42" xfId="101" applyFont="1" applyFill="1" applyBorder="1" applyAlignment="1" applyProtection="1">
      <alignment horizontal="left" vertical="top" wrapText="1"/>
      <protection locked="0"/>
    </xf>
    <xf numFmtId="49" fontId="34" fillId="0" borderId="10" xfId="0" applyNumberFormat="1" applyFont="1" applyFill="1" applyBorder="1" applyAlignment="1">
      <alignment vertical="center" wrapText="1"/>
    </xf>
    <xf numFmtId="0" fontId="34" fillId="0" borderId="112" xfId="0" applyFont="1" applyBorder="1" applyAlignment="1">
      <alignment horizontal="left" vertical="center" wrapText="1"/>
    </xf>
    <xf numFmtId="164" fontId="111" fillId="0" borderId="0" xfId="0" applyNumberFormat="1" applyFont="1" applyAlignment="1">
      <alignment horizontal="center"/>
    </xf>
    <xf numFmtId="9" fontId="139" fillId="22" borderId="42" xfId="101" applyFont="1" applyFill="1" applyBorder="1" applyAlignment="1" applyProtection="1">
      <alignment horizontal="left" vertical="center" wrapText="1"/>
      <protection locked="0"/>
    </xf>
    <xf numFmtId="9" fontId="139" fillId="22" borderId="43" xfId="101" applyFont="1" applyFill="1" applyBorder="1" applyAlignment="1" applyProtection="1">
      <alignment horizontal="left" vertical="center" wrapText="1"/>
      <protection locked="0"/>
    </xf>
    <xf numFmtId="9" fontId="139" fillId="22" borderId="44" xfId="101" applyFont="1" applyFill="1" applyBorder="1" applyAlignment="1" applyProtection="1">
      <alignment horizontal="left" vertical="center" wrapText="1"/>
      <protection locked="0"/>
    </xf>
    <xf numFmtId="164" fontId="15" fillId="34" borderId="0" xfId="107" applyFont="1" applyFill="1" applyBorder="1" applyAlignment="1">
      <alignment horizontal="center"/>
    </xf>
    <xf numFmtId="9" fontId="132" fillId="22" borderId="42" xfId="0" applyNumberFormat="1" applyFont="1" applyFill="1" applyBorder="1" applyAlignment="1" applyProtection="1">
      <alignment horizontal="left" vertical="top" wrapText="1"/>
      <protection locked="0"/>
    </xf>
    <xf numFmtId="0" fontId="133" fillId="0" borderId="43" xfId="0" applyFont="1" applyBorder="1" applyAlignment="1">
      <alignment horizontal="left" vertical="top" wrapText="1"/>
    </xf>
    <xf numFmtId="0" fontId="133" fillId="0" borderId="44" xfId="0" applyFont="1" applyBorder="1" applyAlignment="1">
      <alignment horizontal="left" vertical="top" wrapText="1"/>
    </xf>
    <xf numFmtId="9" fontId="30" fillId="22" borderId="42" xfId="0" applyNumberFormat="1" applyFont="1" applyFill="1" applyBorder="1" applyAlignment="1" applyProtection="1">
      <alignment horizontal="left" vertical="top" wrapText="1"/>
      <protection locked="0"/>
    </xf>
    <xf numFmtId="0" fontId="136" fillId="0" borderId="43" xfId="0" applyFont="1" applyBorder="1" applyAlignment="1">
      <alignment horizontal="left" vertical="top" wrapText="1"/>
    </xf>
    <xf numFmtId="0" fontId="136" fillId="0" borderId="44" xfId="0" applyFont="1" applyBorder="1" applyAlignment="1">
      <alignment horizontal="left" vertical="top" wrapText="1"/>
    </xf>
    <xf numFmtId="9" fontId="30" fillId="22" borderId="43" xfId="101" applyFont="1" applyFill="1" applyBorder="1" applyAlignment="1" applyProtection="1">
      <alignment horizontal="left" vertical="top" wrapText="1"/>
      <protection locked="0"/>
    </xf>
    <xf numFmtId="9" fontId="30" fillId="22" borderId="44" xfId="101" applyFont="1" applyFill="1" applyBorder="1" applyAlignment="1" applyProtection="1">
      <alignment horizontal="left" vertical="top" wrapText="1"/>
      <protection locked="0"/>
    </xf>
    <xf numFmtId="0" fontId="33" fillId="0" borderId="116" xfId="0" applyFont="1" applyBorder="1" applyAlignment="1">
      <alignment horizontal="center"/>
    </xf>
    <xf numFmtId="0" fontId="34" fillId="0" borderId="10" xfId="0" applyFont="1" applyBorder="1" applyAlignment="1">
      <alignment horizontal="center" vertical="center" wrapText="1"/>
    </xf>
    <xf numFmtId="9" fontId="2" fillId="0" borderId="175" xfId="101" applyNumberFormat="1" applyFont="1" applyFill="1" applyBorder="1" applyAlignment="1">
      <alignment horizontal="left" vertical="center" wrapText="1"/>
    </xf>
    <xf numFmtId="0" fontId="2" fillId="0" borderId="164" xfId="101" applyNumberFormat="1" applyFont="1" applyFill="1" applyBorder="1" applyAlignment="1">
      <alignment horizontal="left" vertical="center" wrapText="1"/>
    </xf>
    <xf numFmtId="0" fontId="2" fillId="0" borderId="176" xfId="101" applyNumberFormat="1" applyFont="1" applyFill="1" applyBorder="1" applyAlignment="1">
      <alignment horizontal="left" vertical="center" wrapText="1"/>
    </xf>
    <xf numFmtId="0" fontId="60" fillId="22" borderId="190" xfId="0" applyFont="1" applyFill="1" applyBorder="1" applyAlignment="1">
      <alignment horizontal="center" vertical="center"/>
    </xf>
    <xf numFmtId="0" fontId="60" fillId="22" borderId="191" xfId="0" applyFont="1" applyFill="1" applyBorder="1" applyAlignment="1">
      <alignment horizontal="center" vertical="center"/>
    </xf>
    <xf numFmtId="0" fontId="60" fillId="22" borderId="192" xfId="0" applyFont="1" applyFill="1" applyBorder="1" applyAlignment="1">
      <alignment horizontal="center" vertical="center"/>
    </xf>
    <xf numFmtId="0" fontId="80" fillId="0" borderId="193" xfId="0" applyNumberFormat="1" applyFont="1" applyFill="1" applyBorder="1" applyAlignment="1">
      <alignment horizontal="left" vertical="center" wrapText="1"/>
    </xf>
    <xf numFmtId="0" fontId="80" fillId="0" borderId="194" xfId="0" applyNumberFormat="1" applyFont="1" applyFill="1" applyBorder="1" applyAlignment="1">
      <alignment horizontal="left" vertical="center" wrapText="1"/>
    </xf>
    <xf numFmtId="0" fontId="80" fillId="0" borderId="195" xfId="0" applyNumberFormat="1" applyFont="1" applyFill="1" applyBorder="1" applyAlignment="1">
      <alignment horizontal="left" vertical="center" wrapText="1"/>
    </xf>
    <xf numFmtId="0" fontId="2" fillId="22" borderId="143" xfId="0" applyFont="1" applyFill="1" applyBorder="1" applyAlignment="1" applyProtection="1">
      <alignment horizontal="center" vertical="top" wrapText="1"/>
      <protection locked="0"/>
    </xf>
    <xf numFmtId="0" fontId="2" fillId="22" borderId="144" xfId="0" applyFont="1" applyFill="1" applyBorder="1" applyAlignment="1" applyProtection="1">
      <alignment horizontal="center" vertical="top" wrapText="1"/>
      <protection locked="0"/>
    </xf>
    <xf numFmtId="0" fontId="2" fillId="22" borderId="145" xfId="0" applyFont="1" applyFill="1" applyBorder="1" applyAlignment="1" applyProtection="1">
      <alignment horizontal="center" vertical="top" wrapText="1"/>
      <protection locked="0"/>
    </xf>
    <xf numFmtId="0" fontId="80" fillId="0" borderId="170" xfId="0" applyNumberFormat="1" applyFont="1" applyFill="1" applyBorder="1" applyAlignment="1">
      <alignment horizontal="left" vertical="top" wrapText="1"/>
    </xf>
    <xf numFmtId="0" fontId="80" fillId="0" borderId="180" xfId="0" applyNumberFormat="1" applyFont="1" applyFill="1" applyBorder="1" applyAlignment="1">
      <alignment horizontal="left" vertical="top" wrapText="1"/>
    </xf>
    <xf numFmtId="0" fontId="80" fillId="0" borderId="186" xfId="0" applyNumberFormat="1" applyFont="1" applyFill="1" applyBorder="1" applyAlignment="1">
      <alignment horizontal="left" vertical="top" wrapText="1"/>
    </xf>
    <xf numFmtId="0" fontId="80" fillId="0" borderId="187" xfId="0" applyNumberFormat="1" applyFont="1" applyFill="1" applyBorder="1" applyAlignment="1">
      <alignment horizontal="left" vertical="top" wrapText="1"/>
    </xf>
    <xf numFmtId="0" fontId="2" fillId="0" borderId="175" xfId="101" applyNumberFormat="1" applyFont="1" applyFill="1" applyBorder="1" applyAlignment="1">
      <alignment horizontal="left" vertical="center" wrapText="1"/>
    </xf>
    <xf numFmtId="0" fontId="80" fillId="0" borderId="188" xfId="0" applyNumberFormat="1" applyFont="1" applyFill="1" applyBorder="1" applyAlignment="1">
      <alignment horizontal="left" vertical="top" wrapText="1"/>
    </xf>
    <xf numFmtId="0" fontId="80" fillId="0" borderId="189" xfId="0" applyNumberFormat="1" applyFont="1" applyFill="1" applyBorder="1" applyAlignment="1">
      <alignment horizontal="left" vertical="top" wrapText="1"/>
    </xf>
    <xf numFmtId="49" fontId="2" fillId="25" borderId="172" xfId="0" applyNumberFormat="1" applyFont="1" applyFill="1" applyBorder="1" applyAlignment="1" applyProtection="1">
      <alignment horizontal="center" vertical="center"/>
      <protection locked="0"/>
    </xf>
    <xf numFmtId="49" fontId="2" fillId="25" borderId="173" xfId="0" applyNumberFormat="1" applyFont="1" applyFill="1" applyBorder="1" applyAlignment="1" applyProtection="1">
      <alignment horizontal="center" vertical="center"/>
      <protection locked="0"/>
    </xf>
    <xf numFmtId="49" fontId="2" fillId="25" borderId="174" xfId="0" applyNumberFormat="1" applyFont="1" applyFill="1" applyBorder="1" applyAlignment="1" applyProtection="1">
      <alignment horizontal="center" vertical="center"/>
      <protection locked="0"/>
    </xf>
    <xf numFmtId="0" fontId="2" fillId="24" borderId="158" xfId="0" applyFont="1" applyFill="1" applyBorder="1" applyAlignment="1" applyProtection="1">
      <alignment horizontal="center" vertical="top" wrapText="1"/>
      <protection locked="0"/>
    </xf>
    <xf numFmtId="0" fontId="2" fillId="24" borderId="159" xfId="0" applyFont="1" applyFill="1" applyBorder="1" applyAlignment="1" applyProtection="1">
      <alignment horizontal="center" vertical="top" wrapText="1"/>
      <protection locked="0"/>
    </xf>
    <xf numFmtId="0" fontId="2" fillId="24" borderId="160" xfId="0" applyFont="1" applyFill="1" applyBorder="1" applyAlignment="1" applyProtection="1">
      <alignment horizontal="center" vertical="top" wrapText="1"/>
      <protection locked="0"/>
    </xf>
    <xf numFmtId="0" fontId="2" fillId="22" borderId="177" xfId="0" applyFont="1" applyFill="1" applyBorder="1" applyAlignment="1" applyProtection="1">
      <alignment horizontal="center" vertical="top" wrapText="1"/>
      <protection locked="0"/>
    </xf>
    <xf numFmtId="0" fontId="2" fillId="22" borderId="178" xfId="0" applyFont="1" applyFill="1" applyBorder="1" applyAlignment="1" applyProtection="1">
      <alignment horizontal="center" vertical="top" wrapText="1"/>
      <protection locked="0"/>
    </xf>
    <xf numFmtId="0" fontId="2" fillId="22" borderId="179" xfId="0" applyFont="1" applyFill="1" applyBorder="1" applyAlignment="1" applyProtection="1">
      <alignment horizontal="center" vertical="top" wrapText="1"/>
      <protection locked="0"/>
    </xf>
    <xf numFmtId="0" fontId="79" fillId="19" borderId="12" xfId="0" applyFont="1" applyFill="1" applyBorder="1" applyAlignment="1">
      <alignment horizontal="center" vertical="center"/>
    </xf>
    <xf numFmtId="0" fontId="78" fillId="0" borderId="0" xfId="0" applyFont="1" applyFill="1" applyBorder="1" applyAlignment="1">
      <alignment horizontal="center"/>
    </xf>
    <xf numFmtId="0" fontId="78" fillId="0" borderId="162" xfId="0" applyFont="1" applyFill="1" applyBorder="1" applyAlignment="1">
      <alignment horizontal="center"/>
    </xf>
    <xf numFmtId="0" fontId="125" fillId="24" borderId="181" xfId="0" applyFont="1" applyFill="1" applyBorder="1" applyAlignment="1">
      <alignment horizontal="center" vertical="center"/>
    </xf>
    <xf numFmtId="0" fontId="125" fillId="24" borderId="182" xfId="0" applyFont="1" applyFill="1" applyBorder="1" applyAlignment="1">
      <alignment horizontal="center" vertical="center"/>
    </xf>
    <xf numFmtId="0" fontId="0" fillId="0" borderId="182" xfId="0" applyBorder="1" applyAlignment="1">
      <alignment horizontal="center" vertical="center"/>
    </xf>
    <xf numFmtId="0" fontId="125" fillId="24" borderId="183" xfId="0" applyFont="1" applyFill="1" applyBorder="1" applyAlignment="1">
      <alignment horizontal="center" vertical="center"/>
    </xf>
    <xf numFmtId="0" fontId="125" fillId="24" borderId="184" xfId="0" applyFont="1" applyFill="1" applyBorder="1" applyAlignment="1">
      <alignment horizontal="center" vertical="center"/>
    </xf>
    <xf numFmtId="0" fontId="125" fillId="24" borderId="185" xfId="0" applyFont="1" applyFill="1" applyBorder="1" applyAlignment="1">
      <alignment horizontal="center" vertical="center"/>
    </xf>
    <xf numFmtId="0" fontId="111" fillId="0" borderId="0" xfId="0" applyFont="1" applyBorder="1" applyAlignment="1">
      <alignment horizontal="center"/>
    </xf>
    <xf numFmtId="0" fontId="60" fillId="25" borderId="149" xfId="0" applyFont="1" applyFill="1" applyBorder="1" applyAlignment="1">
      <alignment horizontal="center" vertical="center"/>
    </xf>
    <xf numFmtId="0" fontId="60" fillId="25" borderId="150" xfId="0" applyFont="1" applyFill="1" applyBorder="1" applyAlignment="1">
      <alignment horizontal="center" vertical="center"/>
    </xf>
    <xf numFmtId="0" fontId="60" fillId="25" borderId="151" xfId="0" applyFont="1" applyFill="1" applyBorder="1" applyAlignment="1">
      <alignment horizontal="center" vertical="center"/>
    </xf>
    <xf numFmtId="0" fontId="2" fillId="24" borderId="152" xfId="0" applyFont="1" applyFill="1" applyBorder="1" applyAlignment="1" applyProtection="1">
      <alignment horizontal="center" vertical="top" wrapText="1"/>
      <protection locked="0"/>
    </xf>
    <xf numFmtId="0" fontId="2" fillId="24" borderId="153" xfId="0" applyFont="1" applyFill="1" applyBorder="1" applyAlignment="1" applyProtection="1">
      <alignment horizontal="center" vertical="top" wrapText="1"/>
      <protection locked="0"/>
    </xf>
    <xf numFmtId="0" fontId="2" fillId="24" borderId="154" xfId="0" applyFont="1" applyFill="1" applyBorder="1" applyAlignment="1" applyProtection="1">
      <alignment horizontal="center" vertical="top" wrapText="1"/>
      <protection locked="0"/>
    </xf>
    <xf numFmtId="0" fontId="2" fillId="24" borderId="155" xfId="0" applyFont="1" applyFill="1" applyBorder="1" applyAlignment="1" applyProtection="1">
      <alignment horizontal="center" vertical="top" wrapText="1"/>
      <protection locked="0"/>
    </xf>
    <xf numFmtId="0" fontId="2" fillId="24" borderId="156" xfId="0" applyFont="1" applyFill="1" applyBorder="1" applyAlignment="1" applyProtection="1">
      <alignment horizontal="center" vertical="top" wrapText="1"/>
      <protection locked="0"/>
    </xf>
    <xf numFmtId="0" fontId="2" fillId="24" borderId="157" xfId="0" applyFont="1" applyFill="1" applyBorder="1" applyAlignment="1" applyProtection="1">
      <alignment horizontal="center" vertical="top" wrapText="1"/>
      <protection locked="0"/>
    </xf>
    <xf numFmtId="0" fontId="78" fillId="0" borderId="161" xfId="0" applyFont="1" applyFill="1" applyBorder="1" applyAlignment="1">
      <alignment horizontal="center"/>
    </xf>
    <xf numFmtId="49" fontId="2" fillId="25" borderId="163" xfId="0" applyNumberFormat="1" applyFont="1" applyFill="1" applyBorder="1" applyAlignment="1" applyProtection="1">
      <alignment horizontal="center" vertical="center"/>
      <protection locked="0"/>
    </xf>
    <xf numFmtId="49" fontId="2" fillId="25" borderId="164" xfId="0" applyNumberFormat="1" applyFont="1" applyFill="1" applyBorder="1" applyAlignment="1" applyProtection="1">
      <alignment horizontal="center" vertical="center"/>
      <protection locked="0"/>
    </xf>
    <xf numFmtId="49" fontId="2" fillId="25" borderId="165" xfId="0" applyNumberFormat="1" applyFont="1" applyFill="1" applyBorder="1" applyAlignment="1" applyProtection="1">
      <alignment horizontal="center" vertical="center"/>
      <protection locked="0"/>
    </xf>
    <xf numFmtId="49" fontId="2" fillId="25" borderId="166"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67" xfId="0" applyNumberFormat="1" applyFont="1" applyFill="1" applyBorder="1" applyAlignment="1" applyProtection="1">
      <alignment horizontal="center" vertical="center"/>
      <protection locked="0"/>
    </xf>
    <xf numFmtId="0" fontId="80" fillId="0" borderId="168" xfId="0" applyNumberFormat="1" applyFont="1" applyFill="1" applyBorder="1" applyAlignment="1">
      <alignment horizontal="left" vertical="top" wrapText="1"/>
    </xf>
    <xf numFmtId="0" fontId="80" fillId="0" borderId="169" xfId="0" applyNumberFormat="1" applyFont="1" applyFill="1" applyBorder="1" applyAlignment="1">
      <alignment horizontal="left" vertical="top" wrapText="1"/>
    </xf>
    <xf numFmtId="0" fontId="80" fillId="0" borderId="171" xfId="0" applyNumberFormat="1" applyFont="1" applyFill="1" applyBorder="1" applyAlignment="1">
      <alignment horizontal="left" vertical="top" wrapText="1"/>
    </xf>
    <xf numFmtId="0" fontId="2" fillId="22" borderId="146" xfId="0" applyFont="1" applyFill="1" applyBorder="1" applyAlignment="1" applyProtection="1">
      <alignment horizontal="center" vertical="top" wrapText="1"/>
      <protection locked="0"/>
    </xf>
    <xf numFmtId="0" fontId="2" fillId="22" borderId="147" xfId="0" applyFont="1" applyFill="1" applyBorder="1" applyAlignment="1" applyProtection="1">
      <alignment horizontal="center" vertical="top" wrapText="1"/>
      <protection locked="0"/>
    </xf>
    <xf numFmtId="0" fontId="2" fillId="22" borderId="148" xfId="0" applyFont="1" applyFill="1" applyBorder="1" applyAlignment="1" applyProtection="1">
      <alignment horizontal="center" vertical="top" wrapText="1"/>
      <protection locked="0"/>
    </xf>
    <xf numFmtId="0" fontId="21" fillId="0" borderId="202" xfId="0" applyFont="1" applyBorder="1" applyAlignment="1" applyProtection="1">
      <alignment horizontal="left"/>
      <protection locked="0"/>
    </xf>
    <xf numFmtId="0" fontId="21" fillId="0" borderId="203" xfId="0" applyFont="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35" xfId="0" applyFont="1" applyBorder="1" applyAlignment="1" applyProtection="1">
      <alignment horizontal="left"/>
      <protection locked="0"/>
    </xf>
    <xf numFmtId="0" fontId="21" fillId="0" borderId="223" xfId="0" applyFont="1" applyBorder="1" applyAlignment="1" applyProtection="1">
      <alignment horizontal="left"/>
      <protection locked="0"/>
    </xf>
    <xf numFmtId="0" fontId="77" fillId="21" borderId="13" xfId="96" applyNumberFormat="1" applyFont="1" applyFill="1" applyBorder="1" applyAlignment="1">
      <alignment horizontal="center" vertical="center" wrapText="1"/>
    </xf>
    <xf numFmtId="0" fontId="77" fillId="21" borderId="196" xfId="96" applyNumberFormat="1" applyFont="1" applyFill="1" applyBorder="1" applyAlignment="1">
      <alignment horizontal="center" vertical="center" wrapText="1"/>
    </xf>
    <xf numFmtId="0" fontId="21" fillId="0" borderId="202" xfId="0" applyFont="1" applyFill="1" applyBorder="1" applyAlignment="1" applyProtection="1">
      <alignment horizontal="left"/>
      <protection locked="0"/>
    </xf>
    <xf numFmtId="0" fontId="21" fillId="0" borderId="203"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24" xfId="0" applyFont="1" applyFill="1" applyBorder="1" applyAlignment="1" applyProtection="1">
      <alignment horizontal="left"/>
      <protection locked="0"/>
    </xf>
    <xf numFmtId="164" fontId="15" fillId="34" borderId="0" xfId="108" applyFont="1" applyFill="1" applyBorder="1" applyAlignment="1" applyProtection="1">
      <alignment horizontal="center"/>
      <protection locked="0"/>
    </xf>
    <xf numFmtId="0" fontId="21" fillId="0" borderId="35"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201" xfId="0" applyFont="1" applyBorder="1" applyAlignment="1" applyProtection="1">
      <alignment horizontal="left"/>
      <protection locked="0"/>
    </xf>
    <xf numFmtId="0" fontId="98" fillId="21" borderId="210" xfId="0" applyFont="1" applyFill="1" applyBorder="1" applyAlignment="1">
      <alignment horizontal="center" vertical="center" textRotation="90"/>
    </xf>
    <xf numFmtId="0" fontId="0" fillId="21" borderId="85" xfId="0" applyFill="1" applyBorder="1" applyAlignment="1">
      <alignment horizontal="center" vertical="center" textRotation="90"/>
    </xf>
    <xf numFmtId="0" fontId="0" fillId="21" borderId="211" xfId="0" applyFill="1" applyBorder="1" applyAlignment="1">
      <alignment horizontal="center" vertical="center" textRotation="90"/>
    </xf>
    <xf numFmtId="0" fontId="21" fillId="0" borderId="164" xfId="0" applyFont="1" applyFill="1" applyBorder="1" applyAlignment="1" applyProtection="1">
      <alignment horizontal="left" vertical="center" wrapText="1"/>
      <protection locked="0"/>
    </xf>
    <xf numFmtId="0" fontId="21" fillId="0" borderId="197" xfId="0" applyFont="1" applyFill="1" applyBorder="1" applyAlignment="1" applyProtection="1">
      <alignment horizontal="left" vertical="center" wrapText="1"/>
      <protection locked="0"/>
    </xf>
    <xf numFmtId="0" fontId="21" fillId="0" borderId="200" xfId="0" applyFont="1" applyFill="1" applyBorder="1" applyAlignment="1" applyProtection="1">
      <alignment horizontal="left"/>
      <protection locked="0"/>
    </xf>
    <xf numFmtId="0" fontId="21" fillId="0" borderId="201" xfId="0" applyFont="1" applyFill="1" applyBorder="1" applyAlignment="1" applyProtection="1">
      <alignment horizontal="left"/>
      <protection locked="0"/>
    </xf>
    <xf numFmtId="0" fontId="21" fillId="0" borderId="221" xfId="0" applyFont="1" applyFill="1" applyBorder="1" applyAlignment="1" applyProtection="1">
      <alignment horizontal="left"/>
      <protection locked="0"/>
    </xf>
    <xf numFmtId="0" fontId="21" fillId="0" borderId="164" xfId="0" applyFont="1" applyFill="1" applyBorder="1" applyAlignment="1" applyProtection="1">
      <alignment horizontal="left"/>
      <protection locked="0"/>
    </xf>
    <xf numFmtId="0" fontId="21" fillId="0" borderId="197" xfId="0" applyFont="1" applyFill="1" applyBorder="1" applyAlignment="1" applyProtection="1">
      <alignment horizontal="left"/>
      <protection locked="0"/>
    </xf>
    <xf numFmtId="0" fontId="77" fillId="21" borderId="212" xfId="96" applyNumberFormat="1" applyFont="1" applyFill="1" applyBorder="1" applyAlignment="1">
      <alignment horizontal="center" vertical="center" wrapText="1"/>
    </xf>
    <xf numFmtId="0" fontId="77" fillId="21" borderId="213" xfId="96" applyNumberFormat="1" applyFont="1" applyFill="1" applyBorder="1" applyAlignment="1">
      <alignment horizontal="center" vertical="center" wrapText="1"/>
    </xf>
    <xf numFmtId="0" fontId="77" fillId="21" borderId="214" xfId="96" applyNumberFormat="1" applyFont="1" applyFill="1" applyBorder="1" applyAlignment="1">
      <alignment horizontal="center" vertical="center" wrapText="1"/>
    </xf>
    <xf numFmtId="0" fontId="77" fillId="21" borderId="209" xfId="96" applyNumberFormat="1" applyFont="1" applyFill="1" applyBorder="1" applyAlignment="1">
      <alignment horizontal="center" vertical="center" wrapText="1"/>
    </xf>
    <xf numFmtId="0" fontId="33" fillId="0" borderId="0" xfId="0" applyFont="1" applyAlignment="1">
      <alignment horizontal="center"/>
    </xf>
    <xf numFmtId="0" fontId="21" fillId="0" borderId="215" xfId="0" applyFont="1" applyFill="1" applyBorder="1" applyAlignment="1" applyProtection="1">
      <alignment horizontal="left"/>
      <protection locked="0"/>
    </xf>
    <xf numFmtId="0" fontId="21" fillId="0" borderId="217"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207" xfId="0" applyFont="1" applyFill="1" applyBorder="1" applyAlignment="1" applyProtection="1">
      <alignment horizontal="left" vertical="top" wrapText="1"/>
      <protection locked="0"/>
    </xf>
    <xf numFmtId="0" fontId="21" fillId="0" borderId="173"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protection locked="0"/>
    </xf>
    <xf numFmtId="0" fontId="21" fillId="0" borderId="198" xfId="0" applyFont="1" applyFill="1" applyBorder="1" applyAlignment="1" applyProtection="1">
      <alignment horizontal="left"/>
      <protection locked="0"/>
    </xf>
    <xf numFmtId="0" fontId="21" fillId="0" borderId="199" xfId="0" applyFont="1" applyFill="1" applyBorder="1" applyAlignment="1" applyProtection="1">
      <alignment horizontal="left"/>
      <protection locked="0"/>
    </xf>
    <xf numFmtId="0" fontId="21" fillId="0" borderId="215" xfId="0" applyFont="1" applyBorder="1" applyAlignment="1" applyProtection="1">
      <alignment horizontal="left"/>
      <protection locked="0"/>
    </xf>
    <xf numFmtId="0" fontId="0" fillId="22" borderId="113" xfId="0" applyFill="1" applyBorder="1" applyAlignment="1" applyProtection="1">
      <alignment horizontal="center"/>
      <protection locked="0"/>
    </xf>
    <xf numFmtId="0" fontId="0" fillId="22" borderId="112" xfId="0" applyFill="1" applyBorder="1" applyAlignment="1" applyProtection="1">
      <alignment horizontal="center"/>
      <protection locked="0"/>
    </xf>
    <xf numFmtId="0" fontId="0" fillId="22" borderId="114" xfId="0" applyFill="1" applyBorder="1" applyAlignment="1" applyProtection="1">
      <alignment horizontal="center"/>
      <protection locked="0"/>
    </xf>
    <xf numFmtId="0" fontId="0" fillId="22" borderId="115" xfId="0" applyFill="1" applyBorder="1" applyAlignment="1" applyProtection="1">
      <alignment horizontal="center"/>
      <protection locked="0"/>
    </xf>
    <xf numFmtId="0" fontId="0" fillId="22" borderId="116" xfId="0" applyFill="1" applyBorder="1" applyAlignment="1" applyProtection="1">
      <alignment horizontal="center"/>
      <protection locked="0"/>
    </xf>
    <xf numFmtId="0" fontId="0" fillId="22" borderId="117" xfId="0" applyFill="1" applyBorder="1" applyAlignment="1" applyProtection="1">
      <alignment horizontal="center"/>
      <protection locked="0"/>
    </xf>
    <xf numFmtId="0" fontId="21" fillId="0" borderId="198" xfId="0" applyFont="1" applyFill="1" applyBorder="1" applyAlignment="1" applyProtection="1">
      <alignment horizontal="left" vertical="center" wrapText="1"/>
      <protection locked="0"/>
    </xf>
    <xf numFmtId="0" fontId="21" fillId="0" borderId="199" xfId="0" applyFont="1" applyFill="1" applyBorder="1" applyAlignment="1" applyProtection="1">
      <alignment horizontal="left" vertical="center" wrapText="1"/>
      <protection locked="0"/>
    </xf>
    <xf numFmtId="0" fontId="21" fillId="0" borderId="200" xfId="0" applyFont="1" applyBorder="1" applyAlignment="1" applyProtection="1">
      <alignment horizontal="left"/>
      <protection locked="0"/>
    </xf>
    <xf numFmtId="0" fontId="21" fillId="0" borderId="204" xfId="0" applyFont="1" applyFill="1" applyBorder="1" applyAlignment="1" applyProtection="1">
      <alignment horizontal="left" vertical="top" wrapText="1"/>
      <protection locked="0"/>
    </xf>
    <xf numFmtId="0" fontId="21" fillId="0" borderId="205" xfId="0" applyFont="1" applyFill="1" applyBorder="1" applyAlignment="1" applyProtection="1">
      <alignment horizontal="left" vertical="top" wrapText="1"/>
      <protection locked="0"/>
    </xf>
    <xf numFmtId="0" fontId="21" fillId="0" borderId="206" xfId="0" applyFont="1" applyFill="1" applyBorder="1" applyAlignment="1" applyProtection="1">
      <alignment horizontal="left" vertical="top" wrapText="1"/>
      <protection locked="0"/>
    </xf>
    <xf numFmtId="0" fontId="21" fillId="0" borderId="208" xfId="0" applyFont="1" applyFill="1" applyBorder="1" applyAlignment="1">
      <alignment horizontal="left" vertical="top" wrapText="1"/>
    </xf>
    <xf numFmtId="164" fontId="17" fillId="35" borderId="0" xfId="75" applyFont="1" applyFill="1" applyAlignment="1">
      <alignment horizontal="center" vertical="center"/>
    </xf>
  </cellXfs>
  <cellStyles count="113">
    <cellStyle name="20% - Accent1" xfId="1"/>
    <cellStyle name="20% - Accent1 2" xfId="2"/>
    <cellStyle name="20% - Accent2" xfId="3"/>
    <cellStyle name="20% - Accent2 2" xfId="4"/>
    <cellStyle name="20% - Accent3" xfId="5"/>
    <cellStyle name="20% - Accent3 2" xfId="6"/>
    <cellStyle name="20% - Accent4" xfId="7"/>
    <cellStyle name="20% - Accent4 2" xfId="8"/>
    <cellStyle name="20% - Accent5" xfId="9"/>
    <cellStyle name="20% - Accent5 2" xfId="10"/>
    <cellStyle name="20% - Accent6" xfId="11"/>
    <cellStyle name="20% - Accent6 2" xfId="12"/>
    <cellStyle name="40% - Accent1" xfId="13"/>
    <cellStyle name="40% - Accent1 2" xfId="14"/>
    <cellStyle name="40% - Accent2" xfId="15"/>
    <cellStyle name="40% - Accent2 2" xfId="16"/>
    <cellStyle name="40% - Accent3" xfId="17"/>
    <cellStyle name="40% - Accent3 2" xfId="18"/>
    <cellStyle name="40% - Accent4" xfId="19"/>
    <cellStyle name="40% - Accent4 2" xfId="20"/>
    <cellStyle name="40% - Accent5" xfId="21"/>
    <cellStyle name="40% - Accent5 2" xfId="22"/>
    <cellStyle name="40% - Accent6" xfId="23"/>
    <cellStyle name="40% - Accent6 2" xfId="24"/>
    <cellStyle name="60% - Accent1" xfId="25"/>
    <cellStyle name="60% - Accent1 2" xfId="26"/>
    <cellStyle name="60% - Accent2" xfId="27"/>
    <cellStyle name="60% - Accent2 2" xfId="28"/>
    <cellStyle name="60% - Accent3" xfId="29"/>
    <cellStyle name="60% - Accent3 2" xfId="30"/>
    <cellStyle name="60% - Accent4" xfId="31"/>
    <cellStyle name="60% - Accent4 2" xfId="32"/>
    <cellStyle name="60% - Accent5" xfId="33"/>
    <cellStyle name="60% - Accent5 2" xfId="34"/>
    <cellStyle name="60% - Accent6" xfId="35"/>
    <cellStyle name="60% - Accent6 2" xfId="36"/>
    <cellStyle name="Accent1" xfId="37"/>
    <cellStyle name="Accent1 2" xfId="38"/>
    <cellStyle name="Accent2" xfId="39"/>
    <cellStyle name="Accent2 2" xfId="40"/>
    <cellStyle name="Accent3" xfId="41"/>
    <cellStyle name="Accent3 2" xfId="42"/>
    <cellStyle name="Accent4" xfId="43"/>
    <cellStyle name="Accent4 2" xfId="44"/>
    <cellStyle name="Accent5" xfId="45"/>
    <cellStyle name="Accent5 2" xfId="46"/>
    <cellStyle name="Accent6" xfId="47"/>
    <cellStyle name="Accent6 2" xfId="48"/>
    <cellStyle name="Bad" xfId="49"/>
    <cellStyle name="Bad 2" xfId="50"/>
    <cellStyle name="Calculation" xfId="51"/>
    <cellStyle name="Calculation 2" xfId="52"/>
    <cellStyle name="Check Cell" xfId="53"/>
    <cellStyle name="Check Cell 2" xfId="54"/>
    <cellStyle name="Comma 2" xfId="56"/>
    <cellStyle name="Euro" xfId="57"/>
    <cellStyle name="Explanatory Text" xfId="58"/>
    <cellStyle name="Explanatory Text 2" xfId="59"/>
    <cellStyle name="Good" xfId="60"/>
    <cellStyle name="Good 2" xfId="61"/>
    <cellStyle name="Heading 1" xfId="62"/>
    <cellStyle name="Heading 1 2" xfId="63"/>
    <cellStyle name="Heading 2" xfId="64"/>
    <cellStyle name="Heading 2 2" xfId="65"/>
    <cellStyle name="Heading 3" xfId="66"/>
    <cellStyle name="Heading 3 2" xfId="67"/>
    <cellStyle name="Heading 4" xfId="68"/>
    <cellStyle name="Heading 4 2" xfId="69"/>
    <cellStyle name="Input" xfId="70"/>
    <cellStyle name="Input 2" xfId="71"/>
    <cellStyle name="Linked Cell" xfId="72"/>
    <cellStyle name="Linked Cell 2" xfId="73"/>
    <cellStyle name="Millares 2" xfId="74"/>
    <cellStyle name="Normal" xfId="0" builtinId="0"/>
    <cellStyle name="Normal 2" xfId="75"/>
    <cellStyle name="Normal 2 2" xfId="76"/>
    <cellStyle name="Normal 2 3" xfId="77"/>
    <cellStyle name="Normal 2 4" xfId="78"/>
    <cellStyle name="Normal 2 5" xfId="79"/>
    <cellStyle name="Normal 2 6" xfId="80"/>
    <cellStyle name="Normal 2 7" xfId="81"/>
    <cellStyle name="Normal 2 8" xfId="82"/>
    <cellStyle name="Normal 2 9" xfId="83"/>
    <cellStyle name="Normal 2_Dashboard ver 2.2 ES" xfId="84"/>
    <cellStyle name="Normal 2_Prototipo" xfId="85"/>
    <cellStyle name="Normal 3" xfId="86"/>
    <cellStyle name="Normal 3 2" xfId="87"/>
    <cellStyle name="Normal 4" xfId="88"/>
    <cellStyle name="Normal 4 2" xfId="89"/>
    <cellStyle name="Normal 5" xfId="90"/>
    <cellStyle name="Normal 5 2" xfId="91"/>
    <cellStyle name="Normal 6" xfId="92"/>
    <cellStyle name="Normal 6 2" xfId="93"/>
    <cellStyle name="Normal 7 2" xfId="94"/>
    <cellStyle name="Normal 9" xfId="95"/>
    <cellStyle name="Normal_TZ_R3HIV_Phase_2_21_August_08" xfId="96"/>
    <cellStyle name="Note" xfId="97"/>
    <cellStyle name="Note 2" xfId="98"/>
    <cellStyle name="Output" xfId="99"/>
    <cellStyle name="Output 2" xfId="100"/>
    <cellStyle name="Percent 2" xfId="102"/>
    <cellStyle name="Procent" xfId="101" builtinId="5"/>
    <cellStyle name="Title" xfId="103"/>
    <cellStyle name="Title 2" xfId="104"/>
    <cellStyle name="Título 3 3" xfId="105"/>
    <cellStyle name="Título 3 3 2" xfId="106"/>
    <cellStyle name="Título 3 3_Prototipo" xfId="107"/>
    <cellStyle name="Título 3 3_PrototipoRep1" xfId="108"/>
    <cellStyle name="Título 3 7" xfId="109"/>
    <cellStyle name="Título 3 7 2" xfId="110"/>
    <cellStyle name="Virgulă" xfId="55" builtinId="3"/>
    <cellStyle name="Warning Text" xfId="111"/>
    <cellStyle name="Warning Text 2" xfId="112"/>
  </cellStyles>
  <dxfs count="5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9"/>
      </font>
      <fill>
        <patternFill>
          <bgColor indexed="63"/>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3">
                  <c:v>8116137</c:v>
                </c:pt>
                <c:pt idx="4">
                  <c:v>8586249.8200000003</c:v>
                </c:pt>
                <c:pt idx="5">
                  <c:v>9093181.9900000002</c:v>
                </c:pt>
                <c:pt idx="6">
                  <c:v>9591664.0600000005</c:v>
                </c:pt>
                <c:pt idx="7">
                  <c:v>10102673.09</c:v>
                </c:pt>
                <c:pt idx="8">
                  <c:v>10568035.906880001</c:v>
                </c:pt>
                <c:pt idx="9">
                  <c:v>11055215.576400001</c:v>
                </c:pt>
                <c:pt idx="10">
                  <c:v>11546653.525600001</c:v>
                </c:pt>
                <c:pt idx="11">
                  <c:v>12057410.055280002</c:v>
                </c:pt>
              </c:numCache>
            </c:numRef>
          </c:val>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3">
                  <c:v>8116137</c:v>
                </c:pt>
                <c:pt idx="4">
                  <c:v>10565582.91</c:v>
                </c:pt>
                <c:pt idx="5">
                  <c:v>10565582.91</c:v>
                </c:pt>
                <c:pt idx="6">
                  <c:v>10565582.91</c:v>
                </c:pt>
                <c:pt idx="7">
                  <c:v>10565582.91</c:v>
                </c:pt>
                <c:pt idx="8">
                  <c:v>10565582.91</c:v>
                </c:pt>
                <c:pt idx="9">
                  <c:v>12054956.91</c:v>
                </c:pt>
                <c:pt idx="10">
                  <c:v>12054956.91</c:v>
                </c:pt>
                <c:pt idx="11">
                  <c:v>12054956.91</c:v>
                </c:pt>
              </c:numCache>
            </c:numRef>
          </c:val>
        </c:ser>
        <c:dLbls>
          <c:showLegendKey val="0"/>
          <c:showVal val="0"/>
          <c:showCatName val="0"/>
          <c:showSerName val="0"/>
          <c:showPercent val="0"/>
          <c:showBubbleSize val="0"/>
        </c:dLbls>
        <c:gapWidth val="70"/>
        <c:axId val="233368800"/>
        <c:axId val="233369192"/>
      </c:barChart>
      <c:catAx>
        <c:axId val="23336880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233369192"/>
        <c:crosses val="autoZero"/>
        <c:auto val="1"/>
        <c:lblAlgn val="ctr"/>
        <c:lblOffset val="100"/>
        <c:tickLblSkip val="1"/>
        <c:tickMarkSkip val="1"/>
        <c:noMultiLvlLbl val="0"/>
      </c:catAx>
      <c:valAx>
        <c:axId val="23336919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23336880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20" b="0" i="0" u="none" strike="noStrike" baseline="0">
                <a:solidFill>
                  <a:srgbClr val="000000"/>
                </a:solidFill>
                <a:latin typeface="Arial"/>
                <a:ea typeface="Arial"/>
                <a:cs typeface="Arial"/>
              </a:defRPr>
            </a:pPr>
            <a:endParaRPr lang="ro-RO"/>
          </a:p>
        </c:txPr>
      </c:legendEntry>
      <c:legendEntry>
        <c:idx val="1"/>
        <c:txPr>
          <a:bodyPr/>
          <a:lstStyle/>
          <a:p>
            <a:pPr>
              <a:defRPr sz="520" b="0" i="0" u="none" strike="noStrike" baseline="0">
                <a:solidFill>
                  <a:srgbClr val="000000"/>
                </a:solidFill>
                <a:latin typeface="Arial"/>
                <a:ea typeface="Arial"/>
                <a:cs typeface="Arial"/>
              </a:defRPr>
            </a:pPr>
            <a:endParaRPr lang="ro-RO"/>
          </a:p>
        </c:txPr>
      </c:legendEntry>
      <c:layout>
        <c:manualLayout>
          <c:xMode val="edge"/>
          <c:yMode val="edge"/>
          <c:x val="0.182371023666455"/>
          <c:y val="0.86335403726708104"/>
          <c:w val="0.73556312878803298"/>
          <c:h val="0.111801242236025"/>
        </c:manualLayout>
      </c:layout>
      <c:overlay val="0"/>
      <c:spPr>
        <a:solidFill>
          <a:srgbClr val="FFFFFF"/>
        </a:solidFill>
        <a:ln w="3175">
          <a:solidFill>
            <a:srgbClr val="000000"/>
          </a:solidFill>
          <a:prstDash val="solid"/>
        </a:ln>
      </c:spPr>
      <c:txPr>
        <a:bodyPr/>
        <a:lstStyle/>
        <a:p>
          <a:pPr>
            <a:defRPr sz="36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val>
            <c:numRef>
              <c:f>'Data Entry'!$H$118:$U$118</c:f>
              <c:numCache>
                <c:formatCode>#,##0</c:formatCode>
                <c:ptCount val="14"/>
                <c:pt idx="0">
                  <c:v>54</c:v>
                </c:pt>
                <c:pt idx="1">
                  <c:v>108</c:v>
                </c:pt>
                <c:pt idx="2">
                  <c:v>162</c:v>
                </c:pt>
                <c:pt idx="3">
                  <c:v>216</c:v>
                </c:pt>
                <c:pt idx="4">
                  <c:v>280</c:v>
                </c:pt>
                <c:pt idx="5">
                  <c:v>344</c:v>
                </c:pt>
                <c:pt idx="6">
                  <c:v>407</c:v>
                </c:pt>
                <c:pt idx="7">
                  <c:v>471</c:v>
                </c:pt>
                <c:pt idx="8">
                  <c:v>511</c:v>
                </c:pt>
                <c:pt idx="9">
                  <c:v>551</c:v>
                </c:pt>
                <c:pt idx="10">
                  <c:v>591</c:v>
                </c:pt>
                <c:pt idx="11">
                  <c:v>631</c:v>
                </c:pt>
                <c:pt idx="12">
                  <c:v>651</c:v>
                </c:pt>
                <c:pt idx="13">
                  <c:v>671</c:v>
                </c:pt>
              </c:numCache>
            </c:numRef>
          </c:val>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val>
            <c:numRef>
              <c:f>'Data Entry'!$H$119:$U$119</c:f>
              <c:numCache>
                <c:formatCode>#,##0</c:formatCode>
                <c:ptCount val="14"/>
                <c:pt idx="0">
                  <c:v>61</c:v>
                </c:pt>
                <c:pt idx="1">
                  <c:v>131</c:v>
                </c:pt>
                <c:pt idx="2">
                  <c:v>180</c:v>
                </c:pt>
                <c:pt idx="3">
                  <c:v>225</c:v>
                </c:pt>
                <c:pt idx="4">
                  <c:v>284</c:v>
                </c:pt>
                <c:pt idx="5">
                  <c:v>322</c:v>
                </c:pt>
                <c:pt idx="6">
                  <c:v>368</c:v>
                </c:pt>
                <c:pt idx="7">
                  <c:v>437</c:v>
                </c:pt>
                <c:pt idx="8">
                  <c:v>462</c:v>
                </c:pt>
                <c:pt idx="9">
                  <c:v>481</c:v>
                </c:pt>
                <c:pt idx="10">
                  <c:v>500</c:v>
                </c:pt>
                <c:pt idx="11">
                  <c:v>534</c:v>
                </c:pt>
                <c:pt idx="12">
                  <c:v>554</c:v>
                </c:pt>
                <c:pt idx="13">
                  <c:v>579</c:v>
                </c:pt>
              </c:numCache>
            </c:numRef>
          </c:val>
        </c:ser>
        <c:dLbls>
          <c:showLegendKey val="0"/>
          <c:showVal val="0"/>
          <c:showCatName val="0"/>
          <c:showSerName val="0"/>
          <c:showPercent val="0"/>
          <c:showBubbleSize val="0"/>
        </c:dLbls>
        <c:gapWidth val="150"/>
        <c:axId val="234842408"/>
        <c:axId val="234842800"/>
      </c:barChart>
      <c:catAx>
        <c:axId val="234842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234842800"/>
        <c:crosses val="autoZero"/>
        <c:auto val="1"/>
        <c:lblAlgn val="ctr"/>
        <c:lblOffset val="100"/>
        <c:tickLblSkip val="1"/>
        <c:tickMarkSkip val="1"/>
        <c:noMultiLvlLbl val="0"/>
      </c:catAx>
      <c:valAx>
        <c:axId val="23484280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234842408"/>
        <c:crosses val="autoZero"/>
        <c:crossBetween val="between"/>
      </c:valAx>
      <c:spPr>
        <a:noFill/>
        <a:ln w="25400">
          <a:noFill/>
        </a:ln>
      </c:spPr>
    </c:plotArea>
    <c:legend>
      <c:legendPos val="r"/>
      <c:layout>
        <c:manualLayout>
          <c:xMode val="edge"/>
          <c:yMode val="edge"/>
          <c:x val="0.222910216718266"/>
          <c:y val="0.90579630021132296"/>
          <c:w val="0.50154798761609898"/>
          <c:h val="7.9710074418596399E-2"/>
        </c:manualLayout>
      </c:layout>
      <c:overlay val="0"/>
      <c:spPr>
        <a:solidFill>
          <a:srgbClr val="FFFFFF"/>
        </a:solidFill>
        <a:ln w="3175">
          <a:solidFill>
            <a:srgbClr val="000000"/>
          </a:solidFill>
          <a:prstDash val="solid"/>
        </a:ln>
      </c:spPr>
      <c:txPr>
        <a:bodyPr/>
        <a:lstStyle/>
        <a:p>
          <a:pPr>
            <a:defRPr sz="5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Entry'!$G$112</c:f>
              <c:strCache>
                <c:ptCount val="1"/>
              </c:strCache>
            </c:strRef>
          </c:tx>
          <c:spPr>
            <a:solidFill>
              <a:srgbClr val="0066CC"/>
            </a:solidFill>
            <a:ln w="25400">
              <a:noFill/>
            </a:ln>
          </c:spPr>
          <c:invertIfNegative val="0"/>
          <c:val>
            <c:numRef>
              <c:f>'Data Entry'!$H$112:$U$112</c:f>
              <c:numCache>
                <c:formatCode>"Q"#,##0_);[Red]\("Q"#,##0\)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1"/>
          <c:order val="1"/>
          <c:tx>
            <c:strRef>
              <c:f>'Data Entry'!$G$113</c:f>
              <c:strCache>
                <c:ptCount val="1"/>
              </c:strCache>
            </c:strRef>
          </c:tx>
          <c:spPr>
            <a:solidFill>
              <a:srgbClr val="00CCFF"/>
            </a:solidFill>
            <a:ln w="12700">
              <a:solidFill>
                <a:srgbClr val="000000"/>
              </a:solidFill>
              <a:prstDash val="solid"/>
            </a:ln>
          </c:spPr>
          <c:invertIfNegative val="0"/>
          <c:val>
            <c:numRef>
              <c:f>'Data Entry'!$H$113:$U$113</c:f>
              <c:numCache>
                <c:formatCode>"Q"#,##0_);[Red]\("Q"#,##0\)</c:formatCode>
                <c:ptCount val="14"/>
              </c:numCache>
            </c:numRef>
          </c:val>
        </c:ser>
        <c:ser>
          <c:idx val="2"/>
          <c:order val="2"/>
          <c:tx>
            <c:strRef>
              <c:f>'Data Entry'!$G$114</c:f>
              <c:strCache>
                <c:ptCount val="1"/>
                <c:pt idx="0">
                  <c:v>Target</c:v>
                </c:pt>
              </c:strCache>
            </c:strRef>
          </c:tx>
          <c:spPr>
            <a:solidFill>
              <a:srgbClr val="1F497D"/>
            </a:solidFill>
            <a:ln w="25400">
              <a:noFill/>
            </a:ln>
          </c:spPr>
          <c:invertIfNegative val="0"/>
          <c:val>
            <c:numRef>
              <c:f>'Data Entry'!$H$114:$U$114</c:f>
              <c:numCache>
                <c:formatCode>#,##0</c:formatCode>
                <c:ptCount val="14"/>
                <c:pt idx="0">
                  <c:v>3250</c:v>
                </c:pt>
                <c:pt idx="1">
                  <c:v>3500</c:v>
                </c:pt>
                <c:pt idx="2">
                  <c:v>3750</c:v>
                </c:pt>
                <c:pt idx="3">
                  <c:v>4000</c:v>
                </c:pt>
                <c:pt idx="4">
                  <c:v>4375</c:v>
                </c:pt>
                <c:pt idx="5">
                  <c:v>4750</c:v>
                </c:pt>
                <c:pt idx="6">
                  <c:v>4832</c:v>
                </c:pt>
                <c:pt idx="7">
                  <c:v>5207</c:v>
                </c:pt>
                <c:pt idx="8">
                  <c:v>5357</c:v>
                </c:pt>
                <c:pt idx="9">
                  <c:v>5507</c:v>
                </c:pt>
                <c:pt idx="10">
                  <c:v>5657</c:v>
                </c:pt>
                <c:pt idx="11">
                  <c:v>5807</c:v>
                </c:pt>
                <c:pt idx="12">
                  <c:v>5947</c:v>
                </c:pt>
                <c:pt idx="13">
                  <c:v>6087</c:v>
                </c:pt>
              </c:numCache>
            </c:numRef>
          </c:val>
        </c:ser>
        <c:ser>
          <c:idx val="3"/>
          <c:order val="3"/>
          <c:tx>
            <c:strRef>
              <c:f>'Data Entry'!$G$115</c:f>
              <c:strCache>
                <c:ptCount val="1"/>
                <c:pt idx="0">
                  <c:v>Achieved </c:v>
                </c:pt>
              </c:strCache>
            </c:strRef>
          </c:tx>
          <c:spPr>
            <a:solidFill>
              <a:srgbClr val="00B0F0"/>
            </a:solidFill>
            <a:ln w="25400">
              <a:noFill/>
            </a:ln>
          </c:spPr>
          <c:invertIfNegative val="0"/>
          <c:val>
            <c:numRef>
              <c:f>'Data Entry'!$H$115:$U$115</c:f>
              <c:numCache>
                <c:formatCode>#,##0</c:formatCode>
                <c:ptCount val="14"/>
                <c:pt idx="0">
                  <c:v>2093</c:v>
                </c:pt>
                <c:pt idx="1">
                  <c:v>2817</c:v>
                </c:pt>
                <c:pt idx="2">
                  <c:v>3197</c:v>
                </c:pt>
                <c:pt idx="3">
                  <c:v>3717</c:v>
                </c:pt>
                <c:pt idx="4">
                  <c:v>3976</c:v>
                </c:pt>
                <c:pt idx="5">
                  <c:v>4296</c:v>
                </c:pt>
                <c:pt idx="6">
                  <c:v>4564</c:v>
                </c:pt>
                <c:pt idx="7">
                  <c:v>4853</c:v>
                </c:pt>
                <c:pt idx="8">
                  <c:v>5107</c:v>
                </c:pt>
                <c:pt idx="9">
                  <c:v>5327</c:v>
                </c:pt>
                <c:pt idx="10">
                  <c:v>5519</c:v>
                </c:pt>
                <c:pt idx="11">
                  <c:v>5704</c:v>
                </c:pt>
                <c:pt idx="12">
                  <c:v>5874</c:v>
                </c:pt>
                <c:pt idx="13">
                  <c:v>6085</c:v>
                </c:pt>
              </c:numCache>
            </c:numRef>
          </c:val>
        </c:ser>
        <c:dLbls>
          <c:showLegendKey val="0"/>
          <c:showVal val="0"/>
          <c:showCatName val="0"/>
          <c:showSerName val="0"/>
          <c:showPercent val="0"/>
          <c:showBubbleSize val="0"/>
        </c:dLbls>
        <c:gapWidth val="150"/>
        <c:axId val="234843584"/>
        <c:axId val="234843976"/>
      </c:barChart>
      <c:catAx>
        <c:axId val="23484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234843976"/>
        <c:crosses val="autoZero"/>
        <c:auto val="1"/>
        <c:lblAlgn val="ctr"/>
        <c:lblOffset val="100"/>
        <c:tickLblSkip val="1"/>
        <c:tickMarkSkip val="1"/>
        <c:noMultiLvlLbl val="0"/>
      </c:catAx>
      <c:valAx>
        <c:axId val="23484397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234843584"/>
        <c:crosses val="autoZero"/>
        <c:crossBetween val="between"/>
      </c:valAx>
      <c:spPr>
        <a:noFill/>
        <a:ln w="25400">
          <a:noFill/>
        </a:ln>
      </c:spPr>
    </c:plotArea>
    <c:legend>
      <c:legendPos val="r"/>
      <c:layout>
        <c:manualLayout>
          <c:xMode val="edge"/>
          <c:yMode val="edge"/>
          <c:x val="0.19461106294890099"/>
          <c:y val="0.89361392670265805"/>
          <c:w val="0.197605079301961"/>
          <c:h val="9.21982622788457E-2"/>
        </c:manualLayout>
      </c:layout>
      <c:overlay val="0"/>
      <c:spPr>
        <a:solidFill>
          <a:srgbClr val="FFFFFF"/>
        </a:solidFill>
        <a:ln w="3175">
          <a:solidFill>
            <a:srgbClr val="000000"/>
          </a:solidFill>
          <a:prstDash val="solid"/>
        </a:ln>
      </c:spPr>
      <c:txPr>
        <a:bodyPr/>
        <a:lstStyle/>
        <a:p>
          <a:pPr>
            <a:defRPr sz="5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3">
                  <c:v>P1-P12 (Q1.2010-Q4.2012)</c:v>
                </c:pt>
                <c:pt idx="4">
                  <c:v>P13 (Q1.2013)</c:v>
                </c:pt>
                <c:pt idx="5">
                  <c:v>P14 (Q2.2013)</c:v>
                </c:pt>
                <c:pt idx="6">
                  <c:v>P15 (Q3.2013)</c:v>
                </c:pt>
                <c:pt idx="7">
                  <c:v>P16 (Q4.2013)</c:v>
                </c:pt>
                <c:pt idx="8">
                  <c:v>P17 (Q1.2014)</c:v>
                </c:pt>
                <c:pt idx="9">
                  <c:v>P18 (Q2.2014)</c:v>
                </c:pt>
                <c:pt idx="10">
                  <c:v>P19 (Q3.2014)</c:v>
                </c:pt>
              </c:strCache>
            </c:strRef>
          </c:cat>
          <c:val>
            <c:numRef>
              <c:f>'Data Entry'!$C$33:$M$33</c:f>
              <c:numCache>
                <c:formatCode>#,##0</c:formatCode>
                <c:ptCount val="11"/>
                <c:pt idx="3">
                  <c:v>8116137</c:v>
                </c:pt>
                <c:pt idx="4">
                  <c:v>8586249.8200000003</c:v>
                </c:pt>
                <c:pt idx="5">
                  <c:v>9093181.9900000002</c:v>
                </c:pt>
                <c:pt idx="6">
                  <c:v>9591664.0600000005</c:v>
                </c:pt>
                <c:pt idx="7">
                  <c:v>10102673.09</c:v>
                </c:pt>
                <c:pt idx="8">
                  <c:v>10568035.906880001</c:v>
                </c:pt>
                <c:pt idx="9">
                  <c:v>11055215.576400001</c:v>
                </c:pt>
                <c:pt idx="10">
                  <c:v>11546653.525600001</c:v>
                </c:pt>
              </c:numCache>
            </c:numRef>
          </c:val>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3">
                  <c:v>P1-P12 (Q1.2010-Q4.2012)</c:v>
                </c:pt>
                <c:pt idx="4">
                  <c:v>P13 (Q1.2013)</c:v>
                </c:pt>
                <c:pt idx="5">
                  <c:v>P14 (Q2.2013)</c:v>
                </c:pt>
                <c:pt idx="6">
                  <c:v>P15 (Q3.2013)</c:v>
                </c:pt>
                <c:pt idx="7">
                  <c:v>P16 (Q4.2013)</c:v>
                </c:pt>
                <c:pt idx="8">
                  <c:v>P17 (Q1.2014)</c:v>
                </c:pt>
                <c:pt idx="9">
                  <c:v>P18 (Q2.2014)</c:v>
                </c:pt>
                <c:pt idx="10">
                  <c:v>P19 (Q3.2014)</c:v>
                </c:pt>
              </c:strCache>
            </c:strRef>
          </c:cat>
          <c:val>
            <c:numRef>
              <c:f>'Data Entry'!$C$34:$M$34</c:f>
              <c:numCache>
                <c:formatCode>#,##0</c:formatCode>
                <c:ptCount val="11"/>
                <c:pt idx="3">
                  <c:v>8116137</c:v>
                </c:pt>
                <c:pt idx="4">
                  <c:v>10565582.91</c:v>
                </c:pt>
                <c:pt idx="5">
                  <c:v>10565582.91</c:v>
                </c:pt>
                <c:pt idx="6">
                  <c:v>10565582.91</c:v>
                </c:pt>
                <c:pt idx="7">
                  <c:v>10565582.91</c:v>
                </c:pt>
                <c:pt idx="8">
                  <c:v>10565582.91</c:v>
                </c:pt>
                <c:pt idx="9">
                  <c:v>12054956.91</c:v>
                </c:pt>
                <c:pt idx="10">
                  <c:v>12054956.91</c:v>
                </c:pt>
              </c:numCache>
            </c:numRef>
          </c:val>
        </c:ser>
        <c:dLbls>
          <c:showLegendKey val="0"/>
          <c:showVal val="0"/>
          <c:showCatName val="0"/>
          <c:showSerName val="0"/>
          <c:showPercent val="0"/>
          <c:showBubbleSize val="0"/>
        </c:dLbls>
        <c:dropLines>
          <c:spPr>
            <a:ln w="3175">
              <a:solidFill>
                <a:srgbClr val="000000"/>
              </a:solidFill>
              <a:prstDash val="solid"/>
            </a:ln>
          </c:spPr>
        </c:dropLines>
        <c:axId val="234844368"/>
        <c:axId val="234844760"/>
      </c:areaChart>
      <c:catAx>
        <c:axId val="234844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234844760"/>
        <c:crosses val="autoZero"/>
        <c:auto val="1"/>
        <c:lblAlgn val="ctr"/>
        <c:lblOffset val="100"/>
        <c:tickLblSkip val="8"/>
        <c:tickMarkSkip val="1"/>
        <c:noMultiLvlLbl val="0"/>
      </c:catAx>
      <c:valAx>
        <c:axId val="23484476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23484436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Entry'!$B$48:$B$51</c:f>
              <c:strCache>
                <c:ptCount val="4"/>
                <c:pt idx="0">
                  <c:v>Disbursed by Global Fund</c:v>
                </c:pt>
                <c:pt idx="1">
                  <c:v>PR expenditure and disbursement</c:v>
                </c:pt>
                <c:pt idx="2">
                  <c:v>Disbursed to SRs</c:v>
                </c:pt>
                <c:pt idx="3">
                  <c:v>SR expenditures</c:v>
                </c:pt>
              </c:strCache>
            </c:strRef>
          </c:cat>
          <c:val>
            <c:numRef>
              <c:f>'Data Entry'!$C$48:$C$51</c:f>
              <c:numCache>
                <c:formatCode>#,##0</c:formatCode>
                <c:ptCount val="4"/>
                <c:pt idx="0">
                  <c:v>12054956.91</c:v>
                </c:pt>
                <c:pt idx="1">
                  <c:v>4567114.5876331637</c:v>
                </c:pt>
                <c:pt idx="2">
                  <c:v>6668981.1299999999</c:v>
                </c:pt>
                <c:pt idx="3">
                  <c:v>6555586.25</c:v>
                </c:pt>
              </c:numCache>
            </c:numRef>
          </c:val>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Entry'!$B$48:$B$51</c:f>
              <c:strCache>
                <c:ptCount val="4"/>
                <c:pt idx="0">
                  <c:v>Disbursed by Global Fund</c:v>
                </c:pt>
                <c:pt idx="1">
                  <c:v>PR expenditure and disbursement</c:v>
                </c:pt>
                <c:pt idx="2">
                  <c:v>Disbursed to SRs</c:v>
                </c:pt>
                <c:pt idx="3">
                  <c:v>SR expenditures</c:v>
                </c:pt>
              </c:strCache>
            </c:strRef>
          </c:cat>
          <c:val>
            <c:numRef>
              <c:f>'Data Entry'!$D$48:$D$51</c:f>
              <c:numCache>
                <c:formatCode>#,##0</c:formatCode>
                <c:ptCount val="4"/>
                <c:pt idx="1">
                  <c:v>485865.58236683661</c:v>
                </c:pt>
                <c:pt idx="2">
                  <c:v>434899</c:v>
                </c:pt>
                <c:pt idx="3">
                  <c:v>493492.17999999993</c:v>
                </c:pt>
              </c:numCache>
            </c:numRef>
          </c:val>
        </c:ser>
        <c:dLbls>
          <c:showLegendKey val="0"/>
          <c:showVal val="0"/>
          <c:showCatName val="0"/>
          <c:showSerName val="0"/>
          <c:showPercent val="0"/>
          <c:showBubbleSize val="0"/>
        </c:dLbls>
        <c:gapWidth val="150"/>
        <c:overlap val="100"/>
        <c:axId val="233369976"/>
        <c:axId val="233370368"/>
      </c:barChart>
      <c:catAx>
        <c:axId val="23336997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233370368"/>
        <c:crossesAt val="0"/>
        <c:auto val="1"/>
        <c:lblAlgn val="ctr"/>
        <c:lblOffset val="100"/>
        <c:noMultiLvlLbl val="0"/>
      </c:catAx>
      <c:valAx>
        <c:axId val="23337036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23336997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Entry'!$B$39:$B$42</c:f>
              <c:strCache>
                <c:ptCount val="4"/>
                <c:pt idx="0">
                  <c:v>Develop capacity and ensure program sustainability</c:v>
                </c:pt>
                <c:pt idx="1">
                  <c:v>Support PLHIV, PWID and ensure institutionalization</c:v>
                </c:pt>
                <c:pt idx="2">
                  <c:v>Ensure engagement of civil society and key affected population and promote human rights </c:v>
                </c:pt>
                <c:pt idx="3">
                  <c:v>Planning and administration</c:v>
                </c:pt>
              </c:strCache>
            </c:strRef>
          </c:cat>
          <c:val>
            <c:numRef>
              <c:f>'Data Entry'!$C$39:$C$42</c:f>
              <c:numCache>
                <c:formatCode>#,##0</c:formatCode>
                <c:ptCount val="4"/>
                <c:pt idx="0">
                  <c:v>1254200.9364</c:v>
                </c:pt>
                <c:pt idx="1">
                  <c:v>7701497.2196800001</c:v>
                </c:pt>
                <c:pt idx="2">
                  <c:v>1210094.4791999999</c:v>
                </c:pt>
                <c:pt idx="3">
                  <c:v>1891617.42</c:v>
                </c:pt>
              </c:numCache>
            </c:numRef>
          </c:val>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Entry'!$B$39:$B$42</c:f>
              <c:strCache>
                <c:ptCount val="4"/>
                <c:pt idx="0">
                  <c:v>Develop capacity and ensure program sustainability</c:v>
                </c:pt>
                <c:pt idx="1">
                  <c:v>Support PLHIV, PWID and ensure institutionalization</c:v>
                </c:pt>
                <c:pt idx="2">
                  <c:v>Ensure engagement of civil society and key affected population and promote human rights </c:v>
                </c:pt>
                <c:pt idx="3">
                  <c:v>Planning and administration</c:v>
                </c:pt>
              </c:strCache>
            </c:strRef>
          </c:cat>
          <c:val>
            <c:numRef>
              <c:f>'Data Entry'!$D$39:$D$42</c:f>
              <c:numCache>
                <c:formatCode>#,##0</c:formatCode>
                <c:ptCount val="4"/>
                <c:pt idx="0">
                  <c:v>1252215.6796518732</c:v>
                </c:pt>
                <c:pt idx="1">
                  <c:v>7733134.2851123679</c:v>
                </c:pt>
                <c:pt idx="2">
                  <c:v>1208483.2205934157</c:v>
                </c:pt>
                <c:pt idx="3">
                  <c:v>1963026.7799780096</c:v>
                </c:pt>
              </c:numCache>
            </c:numRef>
          </c:val>
        </c:ser>
        <c:dLbls>
          <c:showLegendKey val="0"/>
          <c:showVal val="0"/>
          <c:showCatName val="0"/>
          <c:showSerName val="0"/>
          <c:showPercent val="0"/>
          <c:showBubbleSize val="0"/>
        </c:dLbls>
        <c:gapWidth val="150"/>
        <c:axId val="233371544"/>
        <c:axId val="233371936"/>
      </c:barChart>
      <c:catAx>
        <c:axId val="233371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233371936"/>
        <c:crosses val="autoZero"/>
        <c:auto val="1"/>
        <c:lblAlgn val="ctr"/>
        <c:lblOffset val="100"/>
        <c:tickMarkSkip val="1"/>
        <c:noMultiLvlLbl val="0"/>
      </c:catAx>
      <c:valAx>
        <c:axId val="2333719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23337154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5712529260651E-2"/>
          <c:y val="0.41884816753926701"/>
          <c:w val="0.85562810100704301"/>
          <c:h val="0.324607329842932"/>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Entry'!$C$75</c:f>
              <c:numCache>
                <c:formatCode>General</c:formatCode>
                <c:ptCount val="1"/>
                <c:pt idx="0">
                  <c:v>14</c:v>
                </c:pt>
              </c:numCache>
            </c:numRef>
          </c:val>
        </c:ser>
        <c:dLbls>
          <c:showLegendKey val="0"/>
          <c:showVal val="0"/>
          <c:showCatName val="0"/>
          <c:showSerName val="0"/>
          <c:showPercent val="0"/>
          <c:showBubbleSize val="0"/>
        </c:dLbls>
        <c:gapWidth val="79"/>
        <c:overlap val="100"/>
        <c:axId val="234127880"/>
        <c:axId val="234128272"/>
      </c:barChart>
      <c:catAx>
        <c:axId val="234127880"/>
        <c:scaling>
          <c:orientation val="minMax"/>
        </c:scaling>
        <c:delete val="1"/>
        <c:axPos val="l"/>
        <c:majorTickMark val="out"/>
        <c:minorTickMark val="none"/>
        <c:tickLblPos val="nextTo"/>
        <c:crossAx val="234128272"/>
        <c:crosses val="autoZero"/>
        <c:auto val="1"/>
        <c:lblAlgn val="ctr"/>
        <c:lblOffset val="100"/>
        <c:noMultiLvlLbl val="0"/>
      </c:catAx>
      <c:valAx>
        <c:axId val="23412827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234127880"/>
        <c:crosses val="max"/>
        <c:crossBetween val="between"/>
      </c:valAx>
      <c:spPr>
        <a:solidFill>
          <a:srgbClr val="FFFFFF"/>
        </a:solidFill>
        <a:ln w="25400">
          <a:noFill/>
        </a:ln>
      </c:spPr>
    </c:plotArea>
    <c:legend>
      <c:legendPos val="r"/>
      <c:legendEntry>
        <c:idx val="0"/>
        <c:delete val="1"/>
      </c:legendEntry>
      <c:layout>
        <c:manualLayout>
          <c:xMode val="edge"/>
          <c:yMode val="edge"/>
          <c:x val="0.30223108765337398"/>
          <c:y val="0.84404047824898898"/>
          <c:w val="0.17038531116029099"/>
          <c:h val="0.110092236293346"/>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Entry'!$C$80</c:f>
              <c:numCache>
                <c:formatCode>General</c:formatCode>
                <c:ptCount val="1"/>
                <c:pt idx="0">
                  <c:v>4</c:v>
                </c:pt>
              </c:numCache>
            </c:numRef>
          </c:val>
        </c:ser>
        <c:dLbls>
          <c:showLegendKey val="0"/>
          <c:showVal val="0"/>
          <c:showCatName val="0"/>
          <c:showSerName val="0"/>
          <c:showPercent val="0"/>
          <c:showBubbleSize val="0"/>
        </c:dLbls>
        <c:gapWidth val="150"/>
        <c:overlap val="-20"/>
        <c:axId val="234129448"/>
        <c:axId val="234129840"/>
      </c:barChart>
      <c:catAx>
        <c:axId val="234129448"/>
        <c:scaling>
          <c:orientation val="minMax"/>
        </c:scaling>
        <c:delete val="0"/>
        <c:axPos val="b"/>
        <c:majorTickMark val="none"/>
        <c:minorTickMark val="none"/>
        <c:tickLblPos val="none"/>
        <c:spPr>
          <a:ln w="3175">
            <a:solidFill>
              <a:srgbClr val="000000"/>
            </a:solidFill>
            <a:prstDash val="solid"/>
          </a:ln>
        </c:spPr>
        <c:crossAx val="234129840"/>
        <c:crosses val="autoZero"/>
        <c:auto val="0"/>
        <c:lblAlgn val="ctr"/>
        <c:lblOffset val="100"/>
        <c:tickMarkSkip val="1"/>
        <c:noMultiLvlLbl val="0"/>
      </c:catAx>
      <c:valAx>
        <c:axId val="2341298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234129448"/>
        <c:crosses val="autoZero"/>
        <c:crossBetween val="between"/>
      </c:valAx>
      <c:spPr>
        <a:noFill/>
        <a:ln w="25400">
          <a:noFill/>
        </a:ln>
      </c:spPr>
    </c:plotArea>
    <c:legend>
      <c:legendPos val="r"/>
      <c:layout>
        <c:manualLayout>
          <c:xMode val="edge"/>
          <c:yMode val="edge"/>
          <c:x val="0.117166134591244"/>
          <c:y val="0.84374758601879296"/>
          <c:w val="0.74386871496301599"/>
          <c:h val="0.117187164724832"/>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Entry'!$D$67</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Entry'!$B$68:$B$69</c:f>
              <c:strCache>
                <c:ptCount val="2"/>
                <c:pt idx="0">
                  <c:v>Conditions precedent (CPs)</c:v>
                </c:pt>
                <c:pt idx="1">
                  <c:v>Time Bound Actions (TBAs)</c:v>
                </c:pt>
              </c:strCache>
            </c:strRef>
          </c:cat>
          <c:val>
            <c:numRef>
              <c:f>'Data Entry'!$D$68:$D$69</c:f>
              <c:numCache>
                <c:formatCode>0</c:formatCode>
                <c:ptCount val="2"/>
                <c:pt idx="0">
                  <c:v>2</c:v>
                </c:pt>
              </c:numCache>
            </c:numRef>
          </c:val>
        </c:ser>
        <c:ser>
          <c:idx val="1"/>
          <c:order val="1"/>
          <c:tx>
            <c:strRef>
              <c:f>'Data Entry'!$E$67</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Entry'!$E$68:$E$69</c:f>
              <c:numCache>
                <c:formatCode>0</c:formatCode>
                <c:ptCount val="2"/>
              </c:numCache>
            </c:numRef>
          </c:val>
        </c:ser>
        <c:ser>
          <c:idx val="2"/>
          <c:order val="2"/>
          <c:tx>
            <c:strRef>
              <c:f>'Data Entry'!$F$67</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Entry'!$F$68:$F$69</c:f>
              <c:numCache>
                <c:formatCode>0</c:formatCode>
                <c:ptCount val="2"/>
              </c:numCache>
            </c:numRef>
          </c:val>
        </c:ser>
        <c:dLbls>
          <c:showLegendKey val="0"/>
          <c:showVal val="0"/>
          <c:showCatName val="0"/>
          <c:showSerName val="0"/>
          <c:showPercent val="0"/>
          <c:showBubbleSize val="0"/>
        </c:dLbls>
        <c:gapWidth val="70"/>
        <c:overlap val="100"/>
        <c:axId val="234130624"/>
        <c:axId val="234377680"/>
      </c:barChart>
      <c:catAx>
        <c:axId val="2341306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234377680"/>
        <c:crosses val="autoZero"/>
        <c:auto val="1"/>
        <c:lblAlgn val="ctr"/>
        <c:lblOffset val="100"/>
        <c:tickLblSkip val="1"/>
        <c:tickMarkSkip val="1"/>
        <c:noMultiLvlLbl val="0"/>
      </c:catAx>
      <c:valAx>
        <c:axId val="23437768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234130624"/>
        <c:crosses val="autoZero"/>
        <c:crossBetween val="between"/>
      </c:valAx>
      <c:spPr>
        <a:noFill/>
        <a:ln w="25400">
          <a:noFill/>
        </a:ln>
      </c:spPr>
    </c:plotArea>
    <c:legend>
      <c:legendPos val="r"/>
      <c:layout>
        <c:manualLayout>
          <c:xMode val="edge"/>
          <c:yMode val="edge"/>
          <c:x val="1.0638290964789901E-2"/>
          <c:y val="0.80681594344830998"/>
          <c:w val="0.83244626799480803"/>
          <c:h val="0.17045407255950201"/>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Entry'!$D$84</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Entry'!$B$85:$B$86</c:f>
              <c:strCache>
                <c:ptCount val="2"/>
                <c:pt idx="0">
                  <c:v>SSR to SR</c:v>
                </c:pt>
                <c:pt idx="1">
                  <c:v>SRs to PR</c:v>
                </c:pt>
              </c:strCache>
            </c:strRef>
          </c:cat>
          <c:val>
            <c:numRef>
              <c:f>'Data Entry'!$D$85:$D$86</c:f>
              <c:numCache>
                <c:formatCode>0</c:formatCode>
                <c:ptCount val="2"/>
                <c:pt idx="0">
                  <c:v>17</c:v>
                </c:pt>
                <c:pt idx="1">
                  <c:v>2</c:v>
                </c:pt>
              </c:numCache>
            </c:numRef>
          </c:val>
        </c:ser>
        <c:ser>
          <c:idx val="2"/>
          <c:order val="1"/>
          <c:tx>
            <c:strRef>
              <c:f>'Data Entry'!$E$84</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Entry'!$B$85:$B$86</c:f>
              <c:strCache>
                <c:ptCount val="2"/>
                <c:pt idx="0">
                  <c:v>SSR to SR</c:v>
                </c:pt>
                <c:pt idx="1">
                  <c:v>SRs to PR</c:v>
                </c:pt>
              </c:strCache>
            </c:strRef>
          </c:cat>
          <c:val>
            <c:numRef>
              <c:f>'Data Entry'!$E$85:$E$86</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234378464"/>
        <c:axId val="234378856"/>
      </c:barChart>
      <c:catAx>
        <c:axId val="2343784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234378856"/>
        <c:crosses val="autoZero"/>
        <c:auto val="1"/>
        <c:lblAlgn val="ctr"/>
        <c:lblOffset val="100"/>
        <c:noMultiLvlLbl val="0"/>
      </c:catAx>
      <c:valAx>
        <c:axId val="23437885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234378464"/>
        <c:crosses val="max"/>
        <c:crossBetween val="between"/>
      </c:valAx>
      <c:spPr>
        <a:solidFill>
          <a:srgbClr val="FFFFFF"/>
        </a:solidFill>
        <a:ln w="25400">
          <a:noFill/>
        </a:ln>
      </c:spPr>
    </c:plotArea>
    <c:legend>
      <c:legendPos val="r"/>
      <c:legendEntry>
        <c:idx val="0"/>
        <c:txPr>
          <a:bodyPr/>
          <a:lstStyle/>
          <a:p>
            <a:pPr>
              <a:defRPr sz="520" b="0" i="0" u="none" strike="noStrike" baseline="0">
                <a:solidFill>
                  <a:srgbClr val="000000"/>
                </a:solidFill>
                <a:latin typeface="Calibri"/>
                <a:ea typeface="Calibri"/>
                <a:cs typeface="Calibri"/>
              </a:defRPr>
            </a:pPr>
            <a:endParaRPr lang="ro-RO"/>
          </a:p>
        </c:txPr>
      </c:legendEntry>
      <c:legendEntry>
        <c:idx val="1"/>
        <c:txPr>
          <a:bodyPr/>
          <a:lstStyle/>
          <a:p>
            <a:pPr>
              <a:defRPr sz="520" b="0" i="0" u="none" strike="noStrike" baseline="0">
                <a:solidFill>
                  <a:srgbClr val="000000"/>
                </a:solidFill>
                <a:latin typeface="Calibri"/>
                <a:ea typeface="Calibri"/>
                <a:cs typeface="Calibri"/>
              </a:defRPr>
            </a:pPr>
            <a:endParaRPr lang="ro-RO"/>
          </a:p>
        </c:txPr>
      </c:legendEntry>
      <c:layout>
        <c:manualLayout>
          <c:xMode val="edge"/>
          <c:yMode val="edge"/>
          <c:x val="0.33606532157623697"/>
          <c:y val="0.79527864818623994"/>
          <c:w val="0.31147517609504899"/>
          <c:h val="0.14173282838962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Entry'!$B$94</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Entry'!$C$94:$N$94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'Data Entry'!$B$95</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Entry'!$C$95:$N$95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2"/>
          <c:order val="2"/>
          <c:tx>
            <c:strRef>
              <c:f>'Data Entry'!$B$96</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Entry'!$C$96:$N$96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34129056"/>
        <c:axId val="234379640"/>
      </c:lineChart>
      <c:catAx>
        <c:axId val="234129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234379640"/>
        <c:crosses val="autoZero"/>
        <c:auto val="1"/>
        <c:lblAlgn val="ctr"/>
        <c:lblOffset val="100"/>
        <c:tickLblSkip val="1"/>
        <c:tickMarkSkip val="1"/>
        <c:noMultiLvlLbl val="0"/>
      </c:catAx>
      <c:valAx>
        <c:axId val="23437964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234129056"/>
        <c:crosses val="autoZero"/>
        <c:crossBetween val="between"/>
      </c:valAx>
      <c:spPr>
        <a:solidFill>
          <a:srgbClr val="FFFFFF"/>
        </a:solidFill>
        <a:ln w="12700">
          <a:solidFill>
            <a:srgbClr val="808080"/>
          </a:solidFill>
          <a:prstDash val="solid"/>
        </a:ln>
      </c:spPr>
    </c:plotArea>
    <c:legend>
      <c:legendPos val="r"/>
      <c:layout>
        <c:manualLayout>
          <c:xMode val="edge"/>
          <c:yMode val="edge"/>
          <c:x val="0.118497151632903"/>
          <c:y val="0.67669048716061297"/>
          <c:w val="0.80346849155968203"/>
          <c:h val="0.180450796576163"/>
        </c:manualLayout>
      </c:layout>
      <c:overlay val="0"/>
      <c:spPr>
        <a:noFill/>
        <a:ln w="25400">
          <a:noFill/>
        </a:ln>
      </c:spPr>
      <c:txPr>
        <a:bodyPr/>
        <a:lstStyle/>
        <a:p>
          <a:pPr>
            <a:defRPr sz="38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Entry'!$G$116</c:f>
              <c:strCache>
                <c:ptCount val="1"/>
                <c:pt idx="0">
                  <c:v>Target</c:v>
                </c:pt>
              </c:strCache>
            </c:strRef>
          </c:tx>
          <c:spPr>
            <a:solidFill>
              <a:srgbClr val="0066CC"/>
            </a:solidFill>
            <a:ln w="25400">
              <a:noFill/>
            </a:ln>
          </c:spPr>
          <c:invertIfNegative val="0"/>
          <c:val>
            <c:numRef>
              <c:f>'Data Entry'!$H$116:$U$116</c:f>
              <c:numCache>
                <c:formatCode>#,##0</c:formatCode>
                <c:ptCount val="14"/>
                <c:pt idx="0">
                  <c:v>95</c:v>
                </c:pt>
                <c:pt idx="1">
                  <c:v>125</c:v>
                </c:pt>
                <c:pt idx="2">
                  <c:v>155</c:v>
                </c:pt>
                <c:pt idx="3">
                  <c:v>185</c:v>
                </c:pt>
                <c:pt idx="4">
                  <c:v>216</c:v>
                </c:pt>
                <c:pt idx="5">
                  <c:v>248</c:v>
                </c:pt>
                <c:pt idx="6">
                  <c:v>352</c:v>
                </c:pt>
                <c:pt idx="7">
                  <c:v>372</c:v>
                </c:pt>
                <c:pt idx="8">
                  <c:v>392</c:v>
                </c:pt>
                <c:pt idx="9">
                  <c:v>412</c:v>
                </c:pt>
                <c:pt idx="10">
                  <c:v>432</c:v>
                </c:pt>
                <c:pt idx="11">
                  <c:v>452</c:v>
                </c:pt>
                <c:pt idx="12">
                  <c:v>230</c:v>
                </c:pt>
                <c:pt idx="13">
                  <c:v>244</c:v>
                </c:pt>
              </c:numCache>
            </c:numRef>
          </c:val>
        </c:ser>
        <c:ser>
          <c:idx val="1"/>
          <c:order val="1"/>
          <c:tx>
            <c:strRef>
              <c:f>'Data Entry'!$G$117</c:f>
              <c:strCache>
                <c:ptCount val="1"/>
                <c:pt idx="0">
                  <c:v>Achieved </c:v>
                </c:pt>
              </c:strCache>
            </c:strRef>
          </c:tx>
          <c:spPr>
            <a:solidFill>
              <a:srgbClr val="00CCFF"/>
            </a:solidFill>
            <a:ln w="12700">
              <a:solidFill>
                <a:srgbClr val="000000"/>
              </a:solidFill>
              <a:prstDash val="solid"/>
            </a:ln>
          </c:spPr>
          <c:invertIfNegative val="0"/>
          <c:val>
            <c:numRef>
              <c:f>'Data Entry'!$H$117:$U$117</c:f>
              <c:numCache>
                <c:formatCode>#,##0</c:formatCode>
                <c:ptCount val="14"/>
                <c:pt idx="0">
                  <c:v>91</c:v>
                </c:pt>
                <c:pt idx="1">
                  <c:v>133</c:v>
                </c:pt>
                <c:pt idx="2">
                  <c:v>195</c:v>
                </c:pt>
                <c:pt idx="3">
                  <c:v>236</c:v>
                </c:pt>
                <c:pt idx="4">
                  <c:v>298</c:v>
                </c:pt>
                <c:pt idx="5">
                  <c:v>332</c:v>
                </c:pt>
                <c:pt idx="6">
                  <c:v>363</c:v>
                </c:pt>
                <c:pt idx="7">
                  <c:v>395</c:v>
                </c:pt>
                <c:pt idx="8">
                  <c:v>395</c:v>
                </c:pt>
                <c:pt idx="9">
                  <c:v>462</c:v>
                </c:pt>
                <c:pt idx="10">
                  <c:v>482</c:v>
                </c:pt>
                <c:pt idx="11">
                  <c:v>509</c:v>
                </c:pt>
                <c:pt idx="12">
                  <c:v>229</c:v>
                </c:pt>
                <c:pt idx="13">
                  <c:v>264</c:v>
                </c:pt>
              </c:numCache>
            </c:numRef>
          </c:val>
        </c:ser>
        <c:dLbls>
          <c:showLegendKey val="0"/>
          <c:showVal val="0"/>
          <c:showCatName val="0"/>
          <c:showSerName val="0"/>
          <c:showPercent val="0"/>
          <c:showBubbleSize val="0"/>
        </c:dLbls>
        <c:gapWidth val="150"/>
        <c:axId val="234380424"/>
        <c:axId val="234380816"/>
      </c:barChart>
      <c:catAx>
        <c:axId val="234380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234380816"/>
        <c:crosses val="autoZero"/>
        <c:auto val="1"/>
        <c:lblAlgn val="ctr"/>
        <c:lblOffset val="100"/>
        <c:tickLblSkip val="1"/>
        <c:tickMarkSkip val="1"/>
        <c:noMultiLvlLbl val="0"/>
      </c:catAx>
      <c:valAx>
        <c:axId val="23438081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234380424"/>
        <c:crosses val="autoZero"/>
        <c:crossBetween val="between"/>
      </c:valAx>
      <c:spPr>
        <a:noFill/>
        <a:ln w="25400">
          <a:noFill/>
        </a:ln>
      </c:spPr>
    </c:plotArea>
    <c:legend>
      <c:legendPos val="r"/>
      <c:layout>
        <c:manualLayout>
          <c:xMode val="edge"/>
          <c:yMode val="edge"/>
          <c:x val="0.21479732377357799"/>
          <c:y val="0.90647561621411299"/>
          <c:w val="0.50835366626413503"/>
          <c:h val="7.9136760145676499E-2"/>
        </c:manualLayout>
      </c:layout>
      <c:overlay val="0"/>
      <c:spPr>
        <a:solidFill>
          <a:srgbClr val="FFFFFF"/>
        </a:solidFill>
        <a:ln w="3175">
          <a:solidFill>
            <a:srgbClr val="000000"/>
          </a:solidFill>
          <a:prstDash val="solid"/>
        </a:ln>
      </c:spPr>
      <c:txPr>
        <a:bodyPr/>
        <a:lstStyle/>
        <a:p>
          <a:pPr>
            <a:defRPr sz="5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139700</xdr:rowOff>
    </xdr:from>
    <xdr:to>
      <xdr:col>11</xdr:col>
      <xdr:colOff>723900</xdr:colOff>
      <xdr:row>19</xdr:row>
      <xdr:rowOff>101600</xdr:rowOff>
    </xdr:to>
    <xdr:pic>
      <xdr:nvPicPr>
        <xdr:cNvPr id="9064804"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46200"/>
          <a:ext cx="8775700" cy="2628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50800</xdr:rowOff>
    </xdr:from>
    <xdr:to>
      <xdr:col>11</xdr:col>
      <xdr:colOff>622300</xdr:colOff>
      <xdr:row>18</xdr:row>
      <xdr:rowOff>139700</xdr:rowOff>
    </xdr:to>
    <xdr:pic>
      <xdr:nvPicPr>
        <xdr:cNvPr id="9064805" name="Picture 8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790700"/>
          <a:ext cx="2590800" cy="2044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76200</xdr:rowOff>
    </xdr:to>
    <xdr:sp macro="" textlink="">
      <xdr:nvSpPr>
        <xdr:cNvPr id="9064806" name="AutoShape 27"/>
        <xdr:cNvSpPr>
          <a:spLocks noChangeArrowheads="1"/>
        </xdr:cNvSpPr>
      </xdr:nvSpPr>
      <xdr:spPr bwMode="gray">
        <a:xfrm>
          <a:off x="3009900" y="1841500"/>
          <a:ext cx="2971800" cy="19304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50800</xdr:rowOff>
    </xdr:from>
    <xdr:to>
      <xdr:col>6</xdr:col>
      <xdr:colOff>609600</xdr:colOff>
      <xdr:row>12</xdr:row>
      <xdr:rowOff>38100</xdr:rowOff>
    </xdr:to>
    <xdr:grpSp>
      <xdr:nvGrpSpPr>
        <xdr:cNvPr id="9064807" name="Group 25">
          <a:hlinkClick xmlns:r="http://schemas.openxmlformats.org/officeDocument/2006/relationships" r:id="rId3"/>
        </xdr:cNvPr>
        <xdr:cNvGrpSpPr>
          <a:grpSpLocks/>
        </xdr:cNvGrpSpPr>
      </xdr:nvGrpSpPr>
      <xdr:grpSpPr bwMode="auto">
        <a:xfrm>
          <a:off x="3457575" y="2439988"/>
          <a:ext cx="1041400" cy="368300"/>
          <a:chOff x="1200" y="1912"/>
          <a:chExt cx="3456" cy="774"/>
        </a:xfrm>
      </xdr:grpSpPr>
      <xdr:sp macro="" textlink="">
        <xdr:nvSpPr>
          <xdr:cNvPr id="906485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xdr:cNvSpPr>
            <a:spLocks noChangeArrowheads="1"/>
          </xdr:cNvSpPr>
        </xdr:nvSpPr>
        <xdr:spPr bwMode="gray">
          <a:xfrm>
            <a:off x="1276" y="1998"/>
            <a:ext cx="3266" cy="602"/>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314" y="1998"/>
            <a:ext cx="342" cy="34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165100</xdr:rowOff>
    </xdr:from>
    <xdr:to>
      <xdr:col>6</xdr:col>
      <xdr:colOff>723900</xdr:colOff>
      <xdr:row>17</xdr:row>
      <xdr:rowOff>152400</xdr:rowOff>
    </xdr:to>
    <xdr:grpSp>
      <xdr:nvGrpSpPr>
        <xdr:cNvPr id="9064808" name="Group 25">
          <a:hlinkClick xmlns:r="http://schemas.openxmlformats.org/officeDocument/2006/relationships" r:id="rId4"/>
        </xdr:cNvPr>
        <xdr:cNvGrpSpPr>
          <a:grpSpLocks/>
        </xdr:cNvGrpSpPr>
      </xdr:nvGrpSpPr>
      <xdr:grpSpPr bwMode="auto">
        <a:xfrm>
          <a:off x="3495675" y="3506788"/>
          <a:ext cx="1117600" cy="368300"/>
          <a:chOff x="1200" y="1912"/>
          <a:chExt cx="3456" cy="774"/>
        </a:xfrm>
      </xdr:grpSpPr>
      <xdr:sp macro="" textlink="">
        <xdr:nvSpPr>
          <xdr:cNvPr id="906484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xdr:cNvSpPr>
            <a:spLocks noChangeArrowheads="1"/>
          </xdr:cNvSpPr>
        </xdr:nvSpPr>
        <xdr:spPr bwMode="gray">
          <a:xfrm>
            <a:off x="1307" y="1998"/>
            <a:ext cx="3278" cy="602"/>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307" y="1998"/>
            <a:ext cx="356" cy="34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9064809" name="Group 25">
          <a:hlinkClick xmlns:r="http://schemas.openxmlformats.org/officeDocument/2006/relationships" r:id="rId5"/>
        </xdr:cNvPr>
        <xdr:cNvGrpSpPr>
          <a:grpSpLocks/>
        </xdr:cNvGrpSpPr>
      </xdr:nvGrpSpPr>
      <xdr:grpSpPr bwMode="auto">
        <a:xfrm>
          <a:off x="3457575" y="2973388"/>
          <a:ext cx="1117600" cy="368300"/>
          <a:chOff x="1200" y="1912"/>
          <a:chExt cx="3456" cy="774"/>
        </a:xfrm>
      </xdr:grpSpPr>
      <xdr:sp macro="" textlink="">
        <xdr:nvSpPr>
          <xdr:cNvPr id="906484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xdr:cNvSpPr>
            <a:spLocks noChangeArrowheads="1"/>
          </xdr:cNvSpPr>
        </xdr:nvSpPr>
        <xdr:spPr bwMode="gray">
          <a:xfrm>
            <a:off x="1307" y="1998"/>
            <a:ext cx="3278" cy="602"/>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307" y="1998"/>
            <a:ext cx="356" cy="344"/>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361950</xdr:colOff>
      <xdr:row>5</xdr:row>
      <xdr:rowOff>0</xdr:rowOff>
    </xdr:from>
    <xdr:to>
      <xdr:col>7</xdr:col>
      <xdr:colOff>463610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9064811" name="Group 832">
          <a:hlinkClick xmlns:r="http://schemas.openxmlformats.org/officeDocument/2006/relationships" r:id="rId6"/>
        </xdr:cNvPr>
        <xdr:cNvGrpSpPr>
          <a:grpSpLocks/>
        </xdr:cNvGrpSpPr>
      </xdr:nvGrpSpPr>
      <xdr:grpSpPr bwMode="auto">
        <a:xfrm>
          <a:off x="5756275" y="2579688"/>
          <a:ext cx="1482725" cy="406400"/>
          <a:chOff x="599" y="262"/>
          <a:chExt cx="158" cy="43"/>
        </a:xfrm>
      </xdr:grpSpPr>
      <xdr:sp macro="" textlink="">
        <xdr:nvSpPr>
          <xdr:cNvPr id="906484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906484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92677" y="2760213"/>
              <a:ext cx="3606197" cy="58045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9064844"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76200</xdr:rowOff>
    </xdr:from>
    <xdr:to>
      <xdr:col>4</xdr:col>
      <xdr:colOff>127000</xdr:colOff>
      <xdr:row>18</xdr:row>
      <xdr:rowOff>101600</xdr:rowOff>
    </xdr:to>
    <xdr:grpSp>
      <xdr:nvGrpSpPr>
        <xdr:cNvPr id="9064812" name="Group 830"/>
        <xdr:cNvGrpSpPr>
          <a:grpSpLocks/>
        </xdr:cNvGrpSpPr>
      </xdr:nvGrpSpPr>
      <xdr:grpSpPr bwMode="auto">
        <a:xfrm>
          <a:off x="358775" y="1893888"/>
          <a:ext cx="2133600" cy="2120900"/>
          <a:chOff x="32" y="188"/>
          <a:chExt cx="225" cy="225"/>
        </a:xfrm>
      </xdr:grpSpPr>
      <xdr:sp macro="" textlink="">
        <xdr:nvSpPr>
          <xdr:cNvPr id="906483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50800</xdr:rowOff>
    </xdr:from>
    <xdr:to>
      <xdr:col>11</xdr:col>
      <xdr:colOff>177800</xdr:colOff>
      <xdr:row>16</xdr:row>
      <xdr:rowOff>76200</xdr:rowOff>
    </xdr:to>
    <xdr:grpSp>
      <xdr:nvGrpSpPr>
        <xdr:cNvPr id="9064813" name="Group 826"/>
        <xdr:cNvGrpSpPr>
          <a:grpSpLocks/>
        </xdr:cNvGrpSpPr>
      </xdr:nvGrpSpPr>
      <xdr:grpSpPr bwMode="auto">
        <a:xfrm>
          <a:off x="5743575" y="3201988"/>
          <a:ext cx="1482725" cy="406400"/>
          <a:chOff x="578" y="328"/>
          <a:chExt cx="158" cy="43"/>
        </a:xfrm>
      </xdr:grpSpPr>
      <xdr:sp macro="" textlink="">
        <xdr:nvSpPr>
          <xdr:cNvPr id="906483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906483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906483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88900</xdr:rowOff>
    </xdr:to>
    <xdr:grpSp>
      <xdr:nvGrpSpPr>
        <xdr:cNvPr id="9064814" name="Group 831">
          <a:hlinkClick xmlns:r="http://schemas.openxmlformats.org/officeDocument/2006/relationships" r:id="rId8"/>
        </xdr:cNvPr>
        <xdr:cNvGrpSpPr>
          <a:grpSpLocks/>
        </xdr:cNvGrpSpPr>
      </xdr:nvGrpSpPr>
      <xdr:grpSpPr bwMode="auto">
        <a:xfrm>
          <a:off x="676275" y="3468688"/>
          <a:ext cx="1498600" cy="342900"/>
          <a:chOff x="56" y="259"/>
          <a:chExt cx="158" cy="40"/>
        </a:xfrm>
      </xdr:grpSpPr>
      <xdr:sp macro="" textlink="">
        <xdr:nvSpPr>
          <xdr:cNvPr id="906483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906483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92677" y="2785758"/>
              <a:ext cx="3606197" cy="56695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48157" y="2842454"/>
              <a:ext cx="360620" cy="255131"/>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9064815" name="37 Grupo">
          <a:hlinkClick xmlns:r="http://schemas.openxmlformats.org/officeDocument/2006/relationships" r:id="rId9"/>
        </xdr:cNvPr>
        <xdr:cNvGrpSpPr>
          <a:grpSpLocks/>
        </xdr:cNvGrpSpPr>
      </xdr:nvGrpSpPr>
      <xdr:grpSpPr bwMode="auto">
        <a:xfrm>
          <a:off x="676275" y="2414588"/>
          <a:ext cx="1498600" cy="368300"/>
          <a:chOff x="1343025" y="2428876"/>
          <a:chExt cx="3240982" cy="617274"/>
        </a:xfrm>
      </xdr:grpSpPr>
      <xdr:sp macro="" textlink="">
        <xdr:nvSpPr>
          <xdr:cNvPr id="906482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906482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099421" y="2773929"/>
              <a:ext cx="3605494" cy="56656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4890" y="2799681"/>
              <a:ext cx="360549" cy="3090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165100</xdr:rowOff>
    </xdr:from>
    <xdr:to>
      <xdr:col>3</xdr:col>
      <xdr:colOff>571500</xdr:colOff>
      <xdr:row>14</xdr:row>
      <xdr:rowOff>165100</xdr:rowOff>
    </xdr:to>
    <xdr:grpSp>
      <xdr:nvGrpSpPr>
        <xdr:cNvPr id="9064816" name="37 Grupo">
          <a:hlinkClick xmlns:r="http://schemas.openxmlformats.org/officeDocument/2006/relationships" r:id="rId10"/>
        </xdr:cNvPr>
        <xdr:cNvGrpSpPr>
          <a:grpSpLocks/>
        </xdr:cNvGrpSpPr>
      </xdr:nvGrpSpPr>
      <xdr:grpSpPr bwMode="auto">
        <a:xfrm>
          <a:off x="676275" y="2935288"/>
          <a:ext cx="1498600" cy="381000"/>
          <a:chOff x="1343025" y="2428876"/>
          <a:chExt cx="3240982" cy="617274"/>
        </a:xfrm>
      </xdr:grpSpPr>
      <xdr:sp macro="" textlink="">
        <xdr:nvSpPr>
          <xdr:cNvPr id="906482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906482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099421" y="2771169"/>
              <a:ext cx="3605494" cy="571159"/>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4890" y="2796002"/>
              <a:ext cx="360549" cy="322829"/>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9064817" name="Picture 2012"/>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03400"/>
          <a:ext cx="2463800" cy="419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415925</xdr:colOff>
      <xdr:row>7</xdr:row>
      <xdr:rowOff>85725</xdr:rowOff>
    </xdr:from>
    <xdr:to>
      <xdr:col>4</xdr:col>
      <xdr:colOff>57407</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9064819" name="Picture 2016"/>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03400"/>
          <a:ext cx="2997200" cy="419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679450</xdr:colOff>
      <xdr:row>7</xdr:row>
      <xdr:rowOff>95250</xdr:rowOff>
    </xdr:from>
    <xdr:to>
      <xdr:col>7</xdr:col>
      <xdr:colOff>346023</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76200</xdr:rowOff>
    </xdr:from>
    <xdr:to>
      <xdr:col>11</xdr:col>
      <xdr:colOff>571500</xdr:colOff>
      <xdr:row>9</xdr:row>
      <xdr:rowOff>127000</xdr:rowOff>
    </xdr:to>
    <xdr:pic>
      <xdr:nvPicPr>
        <xdr:cNvPr id="9064821" name="Picture 201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816100"/>
          <a:ext cx="2489200" cy="406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8</xdr:col>
      <xdr:colOff>69850</xdr:colOff>
      <xdr:row>7</xdr:row>
      <xdr:rowOff>95250</xdr:rowOff>
    </xdr:from>
    <xdr:to>
      <xdr:col>11</xdr:col>
      <xdr:colOff>473099</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76200</xdr:rowOff>
    </xdr:to>
    <xdr:pic>
      <xdr:nvPicPr>
        <xdr:cNvPr id="10184" name="Picture 2" descr="C:\Documents and Settings\Administrator\My Documents\My Pictures\Prueba.jpg"/>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41300"/>
          <a:ext cx="850900" cy="965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1288310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1069932</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38</xdr:row>
      <xdr:rowOff>127000</xdr:rowOff>
    </xdr:from>
    <xdr:to>
      <xdr:col>6</xdr:col>
      <xdr:colOff>1143000</xdr:colOff>
      <xdr:row>41</xdr:row>
      <xdr:rowOff>190500</xdr:rowOff>
    </xdr:to>
    <xdr:cxnSp macro="">
      <xdr:nvCxnSpPr>
        <xdr:cNvPr id="7552397" name="AutoShape 100"/>
        <xdr:cNvCxnSpPr>
          <a:cxnSpLocks noChangeShapeType="1"/>
        </xdr:cNvCxnSpPr>
      </xdr:nvCxnSpPr>
      <xdr:spPr bwMode="auto">
        <a:xfrm>
          <a:off x="10668000" y="6324600"/>
          <a:ext cx="0" cy="1206500"/>
        </a:xfrm>
        <a:prstGeom prst="straightConnector1">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cxnSp>
    <xdr:clientData/>
  </xdr:twoCellAnchor>
  <xdr:twoCellAnchor>
    <xdr:from>
      <xdr:col>4</xdr:col>
      <xdr:colOff>0</xdr:colOff>
      <xdr:row>42</xdr:row>
      <xdr:rowOff>101600</xdr:rowOff>
    </xdr:from>
    <xdr:to>
      <xdr:col>4</xdr:col>
      <xdr:colOff>1219200</xdr:colOff>
      <xdr:row>42</xdr:row>
      <xdr:rowOff>101600</xdr:rowOff>
    </xdr:to>
    <xdr:cxnSp macro="">
      <xdr:nvCxnSpPr>
        <xdr:cNvPr id="7552398" name="AutoShape 101"/>
        <xdr:cNvCxnSpPr>
          <a:cxnSpLocks noChangeShapeType="1"/>
        </xdr:cNvCxnSpPr>
      </xdr:nvCxnSpPr>
      <xdr:spPr bwMode="auto">
        <a:xfrm rot="10800000">
          <a:off x="6934200" y="78232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225425</xdr:colOff>
      <xdr:row>2</xdr:row>
      <xdr:rowOff>0</xdr:rowOff>
    </xdr:from>
    <xdr:to>
      <xdr:col>0</xdr:col>
      <xdr:colOff>1346654</xdr:colOff>
      <xdr:row>2</xdr:row>
      <xdr:rowOff>435240</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6350</xdr:rowOff>
    </xdr:from>
    <xdr:to>
      <xdr:col>0</xdr:col>
      <xdr:colOff>1266377</xdr:colOff>
      <xdr:row>1</xdr:row>
      <xdr:rowOff>85803</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76201</xdr:colOff>
      <xdr:row>9</xdr:row>
      <xdr:rowOff>29307</xdr:rowOff>
    </xdr:from>
    <xdr:to>
      <xdr:col>5</xdr:col>
      <xdr:colOff>886558</xdr:colOff>
      <xdr:row>20</xdr:row>
      <xdr:rowOff>175846</xdr:rowOff>
    </xdr:to>
    <xdr:graphicFrame macro="">
      <xdr:nvGraphicFramePr>
        <xdr:cNvPr id="9139216"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2</xdr:col>
      <xdr:colOff>3907</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279400</xdr:colOff>
      <xdr:row>9</xdr:row>
      <xdr:rowOff>76200</xdr:rowOff>
    </xdr:from>
    <xdr:to>
      <xdr:col>11</xdr:col>
      <xdr:colOff>254000</xdr:colOff>
      <xdr:row>21</xdr:row>
      <xdr:rowOff>12700</xdr:rowOff>
    </xdr:to>
    <xdr:grpSp>
      <xdr:nvGrpSpPr>
        <xdr:cNvPr id="9139218" name="Group 489"/>
        <xdr:cNvGrpSpPr>
          <a:grpSpLocks/>
        </xdr:cNvGrpSpPr>
      </xdr:nvGrpSpPr>
      <xdr:grpSpPr bwMode="auto">
        <a:xfrm>
          <a:off x="4128965" y="3490546"/>
          <a:ext cx="3928208" cy="2222500"/>
          <a:chOff x="410" y="229"/>
          <a:chExt cx="366" cy="234"/>
        </a:xfrm>
      </xdr:grpSpPr>
      <xdr:graphicFrame macro="">
        <xdr:nvGraphicFramePr>
          <xdr:cNvPr id="9139222"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9139223" name="Picture 477" descr="on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grpSp>
    <xdr:clientData/>
  </xdr:twoCellAnchor>
  <xdr:twoCellAnchor>
    <xdr:from>
      <xdr:col>0</xdr:col>
      <xdr:colOff>82551</xdr:colOff>
      <xdr:row>22</xdr:row>
      <xdr:rowOff>1626089</xdr:rowOff>
    </xdr:from>
    <xdr:to>
      <xdr:col>6</xdr:col>
      <xdr:colOff>95251</xdr:colOff>
      <xdr:row>32</xdr:row>
      <xdr:rowOff>15631</xdr:rowOff>
    </xdr:to>
    <xdr:grpSp>
      <xdr:nvGrpSpPr>
        <xdr:cNvPr id="9139219" name="Group 490"/>
        <xdr:cNvGrpSpPr>
          <a:grpSpLocks/>
        </xdr:cNvGrpSpPr>
      </xdr:nvGrpSpPr>
      <xdr:grpSpPr bwMode="auto">
        <a:xfrm>
          <a:off x="82551" y="7546243"/>
          <a:ext cx="3881315" cy="2419350"/>
          <a:chOff x="0" y="505"/>
          <a:chExt cx="407" cy="245"/>
        </a:xfrm>
      </xdr:grpSpPr>
      <xdr:graphicFrame macro="">
        <xdr:nvGraphicFramePr>
          <xdr:cNvPr id="9139220"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9139221" name="Picture 487" descr="ok"/>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6" y="708"/>
            <a:ext cx="259" cy="2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584200</xdr:rowOff>
    </xdr:from>
    <xdr:to>
      <xdr:col>12</xdr:col>
      <xdr:colOff>266700</xdr:colOff>
      <xdr:row>14</xdr:row>
      <xdr:rowOff>152400</xdr:rowOff>
    </xdr:to>
    <xdr:graphicFrame macro="">
      <xdr:nvGraphicFramePr>
        <xdr:cNvPr id="7558924"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7558925"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7558926"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7558927"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50800</xdr:rowOff>
    </xdr:from>
    <xdr:to>
      <xdr:col>5</xdr:col>
      <xdr:colOff>749300</xdr:colOff>
      <xdr:row>33</xdr:row>
      <xdr:rowOff>254000</xdr:rowOff>
    </xdr:to>
    <xdr:graphicFrame macro="">
      <xdr:nvGraphicFramePr>
        <xdr:cNvPr id="7558928"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2198</xdr:colOff>
      <xdr:row>1</xdr:row>
      <xdr:rowOff>855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190500</xdr:colOff>
      <xdr:row>9</xdr:row>
      <xdr:rowOff>50800</xdr:rowOff>
    </xdr:from>
    <xdr:to>
      <xdr:col>11</xdr:col>
      <xdr:colOff>50800</xdr:colOff>
      <xdr:row>17</xdr:row>
      <xdr:rowOff>0</xdr:rowOff>
    </xdr:to>
    <xdr:graphicFrame macro="">
      <xdr:nvGraphicFramePr>
        <xdr:cNvPr id="7564808"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876300</xdr:colOff>
      <xdr:row>17</xdr:row>
      <xdr:rowOff>12700</xdr:rowOff>
    </xdr:to>
    <xdr:graphicFrame macro="">
      <xdr:nvGraphicFramePr>
        <xdr:cNvPr id="7564810"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7564811"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8532634" name="Group 41"/>
        <xdr:cNvGrpSpPr>
          <a:grpSpLocks/>
        </xdr:cNvGrpSpPr>
      </xdr:nvGrpSpPr>
      <xdr:grpSpPr bwMode="auto">
        <a:xfrm>
          <a:off x="5545667" y="5154083"/>
          <a:ext cx="101600" cy="0"/>
          <a:chOff x="595" y="540"/>
          <a:chExt cx="9" cy="9"/>
        </a:xfrm>
      </xdr:grpSpPr>
      <xdr:sp macro="" textlink="">
        <xdr:nvSpPr>
          <xdr:cNvPr id="8532645"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8532646"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8532635" name="Group 44"/>
        <xdr:cNvGrpSpPr>
          <a:grpSpLocks/>
        </xdr:cNvGrpSpPr>
      </xdr:nvGrpSpPr>
      <xdr:grpSpPr bwMode="auto">
        <a:xfrm>
          <a:off x="6606117" y="5154083"/>
          <a:ext cx="10583" cy="0"/>
          <a:chOff x="698" y="540"/>
          <a:chExt cx="9" cy="9"/>
        </a:xfrm>
      </xdr:grpSpPr>
      <xdr:sp macro="" textlink="">
        <xdr:nvSpPr>
          <xdr:cNvPr id="8532643"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8532644"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8532636" name="Group 47"/>
        <xdr:cNvGrpSpPr>
          <a:grpSpLocks/>
        </xdr:cNvGrpSpPr>
      </xdr:nvGrpSpPr>
      <xdr:grpSpPr bwMode="auto">
        <a:xfrm>
          <a:off x="5262033" y="5154083"/>
          <a:ext cx="0" cy="0"/>
          <a:chOff x="698" y="540"/>
          <a:chExt cx="9" cy="9"/>
        </a:xfrm>
      </xdr:grpSpPr>
      <xdr:sp macro="" textlink="">
        <xdr:nvSpPr>
          <xdr:cNvPr id="8532641"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8532642"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8532637" name="Group 50"/>
        <xdr:cNvGrpSpPr>
          <a:grpSpLocks/>
        </xdr:cNvGrpSpPr>
      </xdr:nvGrpSpPr>
      <xdr:grpSpPr bwMode="auto">
        <a:xfrm>
          <a:off x="1439333" y="5154083"/>
          <a:ext cx="101600" cy="0"/>
          <a:chOff x="595" y="540"/>
          <a:chExt cx="9" cy="9"/>
        </a:xfrm>
      </xdr:grpSpPr>
      <xdr:sp macro="" textlink="">
        <xdr:nvSpPr>
          <xdr:cNvPr id="8532639"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85326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1340614</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75696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921275</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Liliana/Downloads/CCM_Dashboard_S1.2014_HIV%20SSF_P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LILIAN~1/AppData/Local/Temp/bat/HIV_CCM_Generic_Dashboard_sem1%202013)_15.11.1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List of Indicators"/>
      <sheetName val="Data Entry"/>
      <sheetName val="Grant Detail"/>
      <sheetName val="Finance"/>
      <sheetName val="Management"/>
      <sheetName val="Programmatic"/>
      <sheetName val="Recommendations"/>
      <sheetName val="Actions"/>
      <sheetName val="Setup"/>
    </sheetNames>
    <sheetDataSet>
      <sheetData sheetId="0" refreshError="1"/>
      <sheetData sheetId="1" refreshError="1"/>
      <sheetData sheetId="2" refreshError="1">
        <row r="120">
          <cell r="B120" t="str">
            <v>Number of children infected and affected by HIV/AIDS who receive social support _x000D_(Numărul de copii infectaţi şi afectaţi de HIV/SIDA care primesc suport social)</v>
          </cell>
        </row>
        <row r="122">
          <cell r="B122" t="str">
            <v>Number of Injecting drug users on opioid substitution therapy that receive at least 3 support services from NGOs working in DUs rehabilitation _x000D_(Numărul de CDI care sunt în terapia de substituţie cu metadonă şi primesc cel puţin 3 servicii de suport din p</v>
          </cell>
        </row>
        <row r="124">
          <cell r="B124" t="str">
            <v xml:space="preserve">Number of medical (doctors and nurses) and non-medical staff (psychologists, social assistants, peer consultants) trained in HIV/AIDS _x000D_(Numărul personalului medical (medici şi asistente medicale) şi non-medical (psihologi, asistenţi sociali, educatori de </v>
          </cell>
        </row>
        <row r="126">
          <cell r="B126" t="str">
            <v>Number of PLHIV receiving food parcels to improve ARV treatment adherence _x000D_(Numărul de PTH care primesc pachete alimentare pentru a îmbunătăți aderenţa la tratamentul ARV)</v>
          </cell>
        </row>
        <row r="128">
          <cell r="B128" t="str">
            <v>Number and percentage of individuals currently on OST who have been on OST continuously at least 6 months for the past 12 months _x000D_(Numărul şi procentul persoanelor aflate în tratamentul de substituție cu metadonă (TSO) care au fost în TSO continuu cel puț</v>
          </cell>
        </row>
        <row r="130">
          <cell r="B130" t="str">
            <v>Number of human rights strategic litigation cases for PLWH initiated _x000D_(Numărul de cazuri de încălcare a drepturilor PTH inițiate pentru litigare strategică)</v>
          </cell>
        </row>
        <row r="132">
          <cell r="B132" t="str">
            <v>Number of PLHIV assisted by legal aid (consultancies offered by legal network) _x000D_(Numărul de PTH care au beneficiat de asistență juridică)</v>
          </cell>
        </row>
        <row r="134">
          <cell r="B134" t="str">
            <v>Number of members of the civil society trained in services provision to PLHIV _x000D_(Numărul de membri ai societăţii civile instruiţi în furnizarea de servicii pentru PTH)</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iu"/>
      <sheetName val="Lista Indicatorilor"/>
      <sheetName val="Introducerea datelor"/>
      <sheetName val="Detalii despre Grant"/>
      <sheetName val="Financiar"/>
      <sheetName val="Management"/>
      <sheetName val="Programatic"/>
      <sheetName val="Recomandari"/>
      <sheetName val="Actions"/>
      <sheetName val="Setup"/>
    </sheetNames>
    <sheetDataSet>
      <sheetData sheetId="0" refreshError="1"/>
      <sheetData sheetId="1" refreshError="1"/>
      <sheetData sheetId="2" refreshError="1">
        <row r="124">
          <cell r="I124">
            <v>0.6</v>
          </cell>
        </row>
        <row r="128">
          <cell r="I128">
            <v>70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1" connectionId="0">
    <xmlCellPr id="1" uniqueName="1">
      <xmlPr mapId="43" xpath="/ns1:Root/ns1:F2/ns1:TB__ID_cases_Cumulative_Budget__in___" xmlDataType="double"/>
    </xmlCellPr>
  </singleXmlCell>
  <singleXmlCell id="463" r="D41" connectionId="0">
    <xmlCellPr id="1" uniqueName="1">
      <xmlPr mapId="43" xpath="/ns1:Root/ns1:F2/ns1:TB__ID_cases_Cumulative_Expenditures__in___" xmlDataType="double"/>
    </xmlCellPr>
  </singleXmlCell>
  <singleXmlCell id="464" r="C40" connectionId="0">
    <xmlCellPr id="1" uniqueName="1">
      <xmlPr mapId="43" xpath="/ns1:Root/ns1:F2/ns1:TB_HIV__Cumulative_Budget__in___" xmlDataType="double"/>
    </xmlCellPr>
  </singleXmlCell>
  <singleXmlCell id="465" r="D40" connectionId="0">
    <xmlCellPr id="1" uniqueName="1">
      <xmlPr mapId="43" xpath="/ns1:Root/ns1:F2/ns1:TB_HIV__Cumulative_Expenditures__in___" xmlDataType="double"/>
    </xmlCellPr>
  </singleXmlCell>
  <singleXmlCell id="476" r="C48" connectionId="0">
    <xmlCellPr id="1" uniqueName="1">
      <xmlPr mapId="43" xpath="/ns1:Root/ns1:F3/ns1:Disbursed_by_Global_Fund_Prior_to_reporting_period__in___" xmlDataType="double"/>
    </xmlCellPr>
  </singleXmlCell>
  <singleXmlCell id="477" r="D48" connectionId="0">
    <xmlCellPr id="1" uniqueName="1">
      <xmlPr mapId="43" xpath="/ns1:Root/ns1:F3/ns1:Disbursed_by_Global_Fund_Reporting_period__in___" xmlDataType="double"/>
    </xmlCellPr>
  </singleXmlCell>
  <singleXmlCell id="478" r="C49" connectionId="0">
    <xmlCellPr id="1" uniqueName="1">
      <xmlPr mapId="43" xpath="/ns1:Root/ns1:F3/ns1:PR_expenditure_and_disbursement_Prior_to_reporting_period__in___" xmlDataType="double"/>
    </xmlCellPr>
  </singleXmlCell>
  <singleXmlCell id="479" r="D49" connectionId="0">
    <xmlCellPr id="1" uniqueName="1">
      <xmlPr mapId="43" xpath="/ns1:Root/ns1:F3/ns1:PR_expenditure_and_disbursement_Reporting_period__in___" xmlDataType="double"/>
    </xmlCellPr>
  </singleXmlCell>
  <singleXmlCell id="480" r="C50" connectionId="0">
    <xmlCellPr id="1" uniqueName="1">
      <xmlPr mapId="43" xpath="/ns1:Root/ns1:F3/ns1:Disbursed_to_SRs_Prior_to_reporting_period__in___" xmlDataType="double"/>
    </xmlCellPr>
  </singleXmlCell>
  <singleXmlCell id="481" r="D50" connectionId="0">
    <xmlCellPr id="1" uniqueName="1">
      <xmlPr mapId="43" xpath="/ns1:Root/ns1:F3/ns1:Disbursed_to_SRs_Reporting_period__in___" xmlDataType="double"/>
    </xmlCellPr>
  </singleXmlCell>
  <singleXmlCell id="482" r="C51" connectionId="0">
    <xmlCellPr id="1" uniqueName="1">
      <xmlPr mapId="43" xpath="/ns1:Root/ns1:F3/ns1:SR_expenditures_Prior_to_reporting_period__in___" xmlDataType="double"/>
    </xmlCellPr>
  </singleXmlCell>
  <singleXmlCell id="483" r="D51" connectionId="0">
    <xmlCellPr id="1" uniqueName="1">
      <xmlPr mapId="43" xpath="/ns1:Root/ns1:F3/ns1:SR_expenditures_Reporting_period__in___" xmlDataType="double"/>
    </xmlCellPr>
  </singleXmlCell>
  <singleXmlCell id="484" r="C58" connectionId="0">
    <xmlCellPr id="1" uniqueName="1">
      <xmlPr mapId="43" xpath="/ns1:Root/ns1:F4/ns1:Days_taken_to_submit_acceptable_PU_DR_to_LFA_Expected__days_" xmlDataType="double"/>
    </xmlCellPr>
  </singleXmlCell>
  <singleXmlCell id="485" r="D58" connectionId="0">
    <xmlCellPr id="1" uniqueName="1">
      <xmlPr mapId="43" xpath="/ns1:Root/ns1:F4/ns1:Days_taken_to_submit_acceptable_PU_DR_to_LFA_Actual__days_" xmlDataType="double"/>
    </xmlCellPr>
  </singleXmlCell>
  <singleXmlCell id="486" r="C59" connectionId="0">
    <xmlCellPr id="1" uniqueName="1">
      <xmlPr mapId="43" xpath="/ns1:Root/ns1:F4/ns1:Days_taken_for_disbursement_to_reach_PR_Expected__days_" xmlDataType="double"/>
    </xmlCellPr>
  </singleXmlCell>
  <singleXmlCell id="487" r="D59" connectionId="0">
    <xmlCellPr id="1" uniqueName="1">
      <xmlPr mapId="43" xpath="/ns1:Root/ns1:F4/ns1:Days_taken_for_disbursement_to_reach_PR_Actual__days_" xmlDataType="double"/>
    </xmlCellPr>
  </singleXmlCell>
  <singleXmlCell id="488" r="C60" connectionId="0">
    <xmlCellPr id="1" uniqueName="1">
      <xmlPr mapId="43" xpath="/ns1:Root/ns1:F4/ns1:Days_taken_for_disbursement_to_reach_SRs__Expected__days_" xmlDataType="double"/>
    </xmlCellPr>
  </singleXmlCell>
  <singleXmlCell id="489" r="D60" connectionId="0">
    <xmlCellPr id="1" uniqueName="1">
      <xmlPr mapId="43" xpath="/ns1:Root/ns1:F4/ns1:Days_taken_for_disbursement_to_reach_SRs__Actual__days_" xmlDataType="double"/>
    </xmlCellPr>
  </singleXmlCell>
  <singleXmlCell id="490" r="B68" connectionId="0">
    <xmlCellPr id="1" uniqueName="1">
      <xmlPr mapId="43" xpath="/ns1:Root/ns1:M1/ns1:Conditions_precedents__CPs__" xmlDataType="string"/>
    </xmlCellPr>
  </singleXmlCell>
  <singleXmlCell id="491" r="D68" connectionId="0">
    <xmlCellPr id="1" uniqueName="1">
      <xmlPr mapId="43" xpath="/ns1:Root/ns1:M1/ns1:Conditions_precedents__CPs__Fulfilled" xmlDataType="double"/>
    </xmlCellPr>
  </singleXmlCell>
  <singleXmlCell id="492" r="E68" connectionId="0">
    <xmlCellPr id="1" uniqueName="1">
      <xmlPr mapId="43" xpath="/ns1:Root/ns1:M1/ns1:Conditions_precedents__CPs__Not_fulfilled__but_within_deadline" xmlDataType="double"/>
    </xmlCellPr>
  </singleXmlCell>
  <singleXmlCell id="493" r="F68" connectionId="0">
    <xmlCellPr id="1" uniqueName="1">
      <xmlPr mapId="43" xpath="/ns1:Root/ns1:M1/ns1:Conditions_precedents__CPs__Not_fulfilled__and_past_the_deadline" xmlDataType="double"/>
    </xmlCellPr>
  </singleXmlCell>
  <singleXmlCell id="494" r="B69" connectionId="0">
    <xmlCellPr id="1" uniqueName="1">
      <xmlPr mapId="43" xpath="/ns1:Root/ns1:M1/ns1:Time_Bound_Actions__TBAs__" xmlDataType="string"/>
    </xmlCellPr>
  </singleXmlCell>
  <singleXmlCell id="495" r="D69" connectionId="0">
    <xmlCellPr id="1" uniqueName="1">
      <xmlPr mapId="43" xpath="/ns1:Root/ns1:M1/ns1:Time_Bound_Actions__TBAs__Fulfilled" xmlDataType="double"/>
    </xmlCellPr>
  </singleXmlCell>
  <singleXmlCell id="496" r="E69" connectionId="0">
    <xmlCellPr id="1" uniqueName="1">
      <xmlPr mapId="43" xpath="/ns1:Root/ns1:M1/ns1:Time_Bound_Actions__TBAs__Not_fulfilled__but_within_deadline" xmlDataType="string"/>
    </xmlCellPr>
  </singleXmlCell>
  <singleXmlCell id="497" r="F69" connectionId="0">
    <xmlCellPr id="1" uniqueName="1">
      <xmlPr mapId="43" xpath="/ns1:Root/ns1:M1/ns1:Time_Bound_Actions__TBAs__Not_fulfilled__and_past_the_deadline" xmlDataType="double"/>
    </xmlCellPr>
  </singleXmlCell>
  <singleXmlCell id="498" r="C75" connectionId="0">
    <xmlCellPr id="1" uniqueName="1">
      <xmlPr mapId="43" xpath="/ns1:Root/ns1:M2/ns1:PMU_Planned" xmlDataType="double"/>
    </xmlCellPr>
  </singleXmlCell>
  <singleXmlCell id="499" r="D75" connectionId="0">
    <xmlCellPr id="1" uniqueName="1">
      <xmlPr mapId="43" xpath="/ns1:Root/ns1:M2/ns1:PMU_Filled" xmlDataType="double"/>
    </xmlCellPr>
  </singleXmlCell>
  <singleXmlCell id="500" r="C80" connectionId="0">
    <xmlCellPr id="1" uniqueName="1">
      <xmlPr mapId="43" xpath="/ns1:Root/ns1:M3/ns1:SRs_Identified" xmlDataType="double"/>
    </xmlCellPr>
  </singleXmlCell>
  <singleXmlCell id="501" r="D80" connectionId="0">
    <xmlCellPr id="1" uniqueName="1">
      <xmlPr mapId="43" xpath="/ns1:Root/ns1:M3/ns1:SRs_Assessed" xmlDataType="double"/>
    </xmlCellPr>
  </singleXmlCell>
  <singleXmlCell id="502" r="E80" connectionId="0">
    <xmlCellPr id="1" uniqueName="1">
      <xmlPr mapId="43" xpath="/ns1:Root/ns1:M3/ns1:SRs_Approved" xmlDataType="double"/>
    </xmlCellPr>
  </singleXmlCell>
  <singleXmlCell id="503" r="F80" connectionId="0">
    <xmlCellPr id="1" uniqueName="1">
      <xmlPr mapId="43" xpath="/ns1:Root/ns1:M3/ns1:SRs_Signed" xmlDataType="double"/>
    </xmlCellPr>
  </singleXmlCell>
  <singleXmlCell id="504" r="G80" connectionId="0">
    <xmlCellPr id="1" uniqueName="1">
      <xmlPr mapId="43" xpath="/ns1:Root/ns1:M3/ns1:SRs_Receiving_Funding" xmlDataType="double"/>
    </xmlCellPr>
  </singleXmlCell>
  <singleXmlCell id="506" r="C85" connectionId="0">
    <xmlCellPr id="1" uniqueName="1">
      <xmlPr mapId="43" xpath="/ns1:Root/ns1:M4/ns1:SSR_to_SR__IR_____Expected" xmlDataType="string"/>
    </xmlCellPr>
  </singleXmlCell>
  <singleXmlCell id="507" r="D85" connectionId="0">
    <xmlCellPr id="1" uniqueName="1">
      <xmlPr mapId="43" xpath="/ns1:Root/ns1:M4/ns1:SSR_to_SR__IR____Received" xmlDataType="string"/>
    </xmlCellPr>
  </singleXmlCell>
  <singleXmlCell id="509" r="C86" connectionId="0">
    <xmlCellPr id="1" uniqueName="1">
      <xmlPr mapId="43" xpath="/ns1:Root/ns1:M4/ns1:SRs__IRs__to_PR____Expected" xmlDataType="double"/>
    </xmlCellPr>
  </singleXmlCell>
  <singleXmlCell id="510" r="D86" connectionId="0">
    <xmlCellPr id="1" uniqueName="1">
      <xmlPr mapId="43" xpath="/ns1:Root/ns1:M4/ns1:SRs__IRs__to_PR___Received" xmlDataType="double"/>
    </xmlCellPr>
  </singleXmlCell>
  <singleXmlCell id="511" r="C91" connectionId="0">
    <xmlCellPr id="1" uniqueName="1">
      <xmlPr mapId="43" xpath="/ns1:Root/ns1:M5/ns1:Budget_Approved__P1" xmlDataType="double"/>
    </xmlCellPr>
  </singleXmlCell>
  <singleXmlCell id="512" r="D91" connectionId="0">
    <xmlCellPr id="1" uniqueName="1">
      <xmlPr mapId="43" xpath="/ns1:Root/ns1:M5/ns1:Budget_Approved__P2" xmlDataType="double"/>
    </xmlCellPr>
  </singleXmlCell>
  <singleXmlCell id="513" r="E91" connectionId="0">
    <xmlCellPr id="1" uniqueName="1">
      <xmlPr mapId="43" xpath="/ns1:Root/ns1:M5/ns1:Budget_Approved__P3" xmlDataType="double"/>
    </xmlCellPr>
  </singleXmlCell>
  <singleXmlCell id="514" r="F91" connectionId="0">
    <xmlCellPr id="1" uniqueName="1">
      <xmlPr mapId="43" xpath="/ns1:Root/ns1:M5/ns1:Budget_Approved__P4" xmlDataType="double"/>
    </xmlCellPr>
  </singleXmlCell>
  <singleXmlCell id="515" r="G91" connectionId="0">
    <xmlCellPr id="1" uniqueName="1">
      <xmlPr mapId="43" xpath="/ns1:Root/ns1:M5/ns1:Budget_Approved__P5" xmlDataType="double"/>
    </xmlCellPr>
  </singleXmlCell>
  <singleXmlCell id="516" r="H91" connectionId="0">
    <xmlCellPr id="1" uniqueName="1">
      <xmlPr mapId="43" xpath="/ns1:Root/ns1:M5/ns1:Budget_Approved__P6" xmlDataType="double"/>
    </xmlCellPr>
  </singleXmlCell>
  <singleXmlCell id="517" r="I91" connectionId="0">
    <xmlCellPr id="1" uniqueName="1">
      <xmlPr mapId="43" xpath="/ns1:Root/ns1:M5/ns1:Budget_Approved__P7" xmlDataType="double"/>
    </xmlCellPr>
  </singleXmlCell>
  <singleXmlCell id="518" r="J91" connectionId="0">
    <xmlCellPr id="1" uniqueName="1">
      <xmlPr mapId="43" xpath="/ns1:Root/ns1:M5/ns1:Budget_Approved__P8" xmlDataType="double"/>
    </xmlCellPr>
  </singleXmlCell>
  <singleXmlCell id="519" r="K91" connectionId="0">
    <xmlCellPr id="1" uniqueName="1">
      <xmlPr mapId="43" xpath="/ns1:Root/ns1:M5/ns1:Budget_Approved__P9" xmlDataType="double"/>
    </xmlCellPr>
  </singleXmlCell>
  <singleXmlCell id="520" r="L91" connectionId="0">
    <xmlCellPr id="1" uniqueName="1">
      <xmlPr mapId="43" xpath="/ns1:Root/ns1:M5/ns1:Budget_Approved__P10" xmlDataType="double"/>
    </xmlCellPr>
  </singleXmlCell>
  <singleXmlCell id="521" r="M91" connectionId="0">
    <xmlCellPr id="1" uniqueName="1">
      <xmlPr mapId="43" xpath="/ns1:Root/ns1:M5/ns1:Budget_Approved__P11" xmlDataType="double"/>
    </xmlCellPr>
  </singleXmlCell>
  <singleXmlCell id="522" r="N91" connectionId="0">
    <xmlCellPr id="1" uniqueName="1">
      <xmlPr mapId="43" xpath="/ns1:Root/ns1:M5/ns1:Budget_Approved__P12" xmlDataType="double"/>
    </xmlCellPr>
  </singleXmlCell>
  <singleXmlCell id="523" r="C92" connectionId="0">
    <xmlCellPr id="1" uniqueName="1">
      <xmlPr mapId="43" xpath="/ns1:Root/ns1:M5/ns1:Obligations_P1" xmlDataType="double"/>
    </xmlCellPr>
  </singleXmlCell>
  <singleXmlCell id="524" r="D92" connectionId="0">
    <xmlCellPr id="1" uniqueName="1">
      <xmlPr mapId="43" xpath="/ns1:Root/ns1:M5/ns1:Obligations_P2" xmlDataType="double"/>
    </xmlCellPr>
  </singleXmlCell>
  <singleXmlCell id="525" r="E92" connectionId="0">
    <xmlCellPr id="1" uniqueName="1">
      <xmlPr mapId="43" xpath="/ns1:Root/ns1:M5/ns1:Obligations_P3" xmlDataType="double"/>
    </xmlCellPr>
  </singleXmlCell>
  <singleXmlCell id="526" r="F92" connectionId="0">
    <xmlCellPr id="1" uniqueName="1">
      <xmlPr mapId="43" xpath="/ns1:Root/ns1:M5/ns1:Obligations_P4" xmlDataType="double"/>
    </xmlCellPr>
  </singleXmlCell>
  <singleXmlCell id="527" r="G92" connectionId="0">
    <xmlCellPr id="1" uniqueName="1">
      <xmlPr mapId="43" xpath="/ns1:Root/ns1:M5/ns1:Obligations_P5" xmlDataType="double"/>
    </xmlCellPr>
  </singleXmlCell>
  <singleXmlCell id="528" r="H92" connectionId="0">
    <xmlCellPr id="1" uniqueName="1">
      <xmlPr mapId="43" xpath="/ns1:Root/ns1:M5/ns1:Obligations_P6" xmlDataType="double"/>
    </xmlCellPr>
  </singleXmlCell>
  <singleXmlCell id="529" r="I92" connectionId="0">
    <xmlCellPr id="1" uniqueName="1">
      <xmlPr mapId="43" xpath="/ns1:Root/ns1:M5/ns1:Obligations_P7" xmlDataType="double"/>
    </xmlCellPr>
  </singleXmlCell>
  <singleXmlCell id="530" r="J92" connectionId="0">
    <xmlCellPr id="1" uniqueName="1">
      <xmlPr mapId="43" xpath="/ns1:Root/ns1:M5/ns1:Obligations_P8" xmlDataType="double"/>
    </xmlCellPr>
  </singleXmlCell>
  <singleXmlCell id="531" r="K92" connectionId="0">
    <xmlCellPr id="1" uniqueName="1">
      <xmlPr mapId="43" xpath="/ns1:Root/ns1:M5/ns1:Obligations_P9" xmlDataType="double"/>
    </xmlCellPr>
  </singleXmlCell>
  <singleXmlCell id="532" r="L92" connectionId="0">
    <xmlCellPr id="1" uniqueName="1">
      <xmlPr mapId="43" xpath="/ns1:Root/ns1:M5/ns1:Obligations_P10" xmlDataType="double"/>
    </xmlCellPr>
  </singleXmlCell>
  <singleXmlCell id="533" r="M92" connectionId="0">
    <xmlCellPr id="1" uniqueName="1">
      <xmlPr mapId="43" xpath="/ns1:Root/ns1:M5/ns1:Obligations_P11" xmlDataType="double"/>
    </xmlCellPr>
  </singleXmlCell>
  <singleXmlCell id="534" r="N92" connectionId="0">
    <xmlCellPr id="1" uniqueName="1">
      <xmlPr mapId="43" xpath="/ns1:Root/ns1:M5/ns1:Obligations_P12" xmlDataType="double"/>
    </xmlCellPr>
  </singleXmlCell>
  <singleXmlCell id="535" r="C93" connectionId="0">
    <xmlCellPr id="1" uniqueName="1">
      <xmlPr mapId="43" xpath="/ns1:Root/ns1:M5/ns1:Expenditures_P1" xmlDataType="double"/>
    </xmlCellPr>
  </singleXmlCell>
  <singleXmlCell id="536" r="D93" connectionId="0">
    <xmlCellPr id="1" uniqueName="1">
      <xmlPr mapId="43" xpath="/ns1:Root/ns1:M5/ns1:Expenditures_P2" xmlDataType="double"/>
    </xmlCellPr>
  </singleXmlCell>
  <singleXmlCell id="537" r="E93" connectionId="0">
    <xmlCellPr id="1" uniqueName="1">
      <xmlPr mapId="43" xpath="/ns1:Root/ns1:M5/ns1:Expenditures_P3" xmlDataType="double"/>
    </xmlCellPr>
  </singleXmlCell>
  <singleXmlCell id="538" r="F93" connectionId="0">
    <xmlCellPr id="1" uniqueName="1">
      <xmlPr mapId="43" xpath="/ns1:Root/ns1:M5/ns1:Expenditures_P4" xmlDataType="double"/>
    </xmlCellPr>
  </singleXmlCell>
  <singleXmlCell id="539" r="G93" connectionId="0">
    <xmlCellPr id="1" uniqueName="1">
      <xmlPr mapId="43" xpath="/ns1:Root/ns1:M5/ns1:Expenditures_P5" xmlDataType="double"/>
    </xmlCellPr>
  </singleXmlCell>
  <singleXmlCell id="540" r="H93" connectionId="0">
    <xmlCellPr id="1" uniqueName="1">
      <xmlPr mapId="43" xpath="/ns1:Root/ns1:M5/ns1:Expenditures_P6" xmlDataType="double"/>
    </xmlCellPr>
  </singleXmlCell>
  <singleXmlCell id="541" r="I93" connectionId="0">
    <xmlCellPr id="1" uniqueName="1">
      <xmlPr mapId="43" xpath="/ns1:Root/ns1:M5/ns1:Expenditures_P7" xmlDataType="double"/>
    </xmlCellPr>
  </singleXmlCell>
  <singleXmlCell id="542" r="J93" connectionId="0">
    <xmlCellPr id="1" uniqueName="1">
      <xmlPr mapId="43" xpath="/ns1:Root/ns1:M5/ns1:Expenditures_P8" xmlDataType="double"/>
    </xmlCellPr>
  </singleXmlCell>
  <singleXmlCell id="543" r="K93" connectionId="0">
    <xmlCellPr id="1" uniqueName="1">
      <xmlPr mapId="43" xpath="/ns1:Root/ns1:M5/ns1:Expenditures_P9" xmlDataType="double"/>
    </xmlCellPr>
  </singleXmlCell>
  <singleXmlCell id="544" r="L93" connectionId="0">
    <xmlCellPr id="1" uniqueName="1">
      <xmlPr mapId="43" xpath="/ns1:Root/ns1:M5/ns1:Expenditures_P10" xmlDataType="double"/>
    </xmlCellPr>
  </singleXmlCell>
  <singleXmlCell id="545" r="M93" connectionId="0">
    <xmlCellPr id="1" uniqueName="1">
      <xmlPr mapId="43" xpath="/ns1:Root/ns1:M5/ns1:Expenditures_P11" xmlDataType="double"/>
    </xmlCellPr>
  </singleXmlCell>
  <singleXmlCell id="546" r="N93" connectionId="0">
    <xmlCellPr id="1" uniqueName="1">
      <xmlPr mapId="43" xpath="/ns1:Root/ns1:M5/ns1:Expenditures_P12" xmlDataType="double"/>
    </xmlCellPr>
  </singleXmlCell>
  <singleXmlCell id="547" r="C104" connectionId="0">
    <xmlCellPr id="1" uniqueName="1">
      <xmlPr mapId="43" xpath="/ns1:Root/ns1:M6/ns1:HIV___AIDS_Products" xmlDataType="string"/>
    </xmlCellPr>
  </singleXmlCell>
  <singleXmlCell id="548" r="D104" connectionId="0">
    <xmlCellPr id="1" uniqueName="1">
      <xmlPr mapId="43" xpath="/ns1:Root/ns1:M6/ns1:HIV___AIDS__1__Number_of_tablets_per_patient_per_day__Review_country_treatment_guidelines_" xmlDataType="double"/>
    </xmlCellPr>
  </singleXmlCell>
  <singleXmlCell id="549" r="F104" connectionId="0">
    <xmlCellPr id="1" uniqueName="1">
      <xmlPr mapId="43" xpath="/ns1:Root/ns1:M6/ns1:HIV___AIDS__3__Total_patients_in_treatment" xmlDataType="double"/>
    </xmlCellPr>
  </singleXmlCell>
  <singleXmlCell id="550" r="H104" connectionId="0">
    <xmlCellPr id="1" uniqueName="1">
      <xmlPr mapId="43" xpath="/ns1:Root/ns1:M6/ns1:HIV___AIDS__5__Current_stock_in_central_warehouse__that_does_not_expire_within_the_next_3_months_" xmlDataType="double"/>
    </xmlCellPr>
  </singleXmlCell>
  <singleXmlCell id="551" r="J104" connectionId="0">
    <xmlCellPr id="1" uniqueName="1">
      <xmlPr mapId="43" xpath="/ns1:Root/ns1:M6/ns1:HIV___AIDS__7__Level_of_safety_stock__expressed_in_months_and_defined_by_country__" xmlDataType="double"/>
    </xmlCellPr>
  </singleXmlCell>
  <singleXmlCell id="552" r="C105" connectionId="0">
    <xmlCellPr id="1" uniqueName="1">
      <xmlPr mapId="43" xpath="/ns1:Root/ns1:M6/ns1:_Products_1" xmlDataType="string"/>
    </xmlCellPr>
  </singleXmlCell>
  <singleXmlCell id="553" r="D105" connectionId="0">
    <xmlCellPr id="1" uniqueName="1">
      <xmlPr mapId="43" xpath="/ns1:Root/ns1:M6/ns1:__1__Number_of_tablets_per_patient_per_day__Review_country_treatment_guidelines__1" xmlDataType="double"/>
    </xmlCellPr>
  </singleXmlCell>
  <singleXmlCell id="554" r="F105" connectionId="0">
    <xmlCellPr id="1" uniqueName="1">
      <xmlPr mapId="43" xpath="/ns1:Root/ns1:M6/ns1:__3__Total_patients_in_treatment_1" xmlDataType="double"/>
    </xmlCellPr>
  </singleXmlCell>
  <singleXmlCell id="555" r="H105" connectionId="0">
    <xmlCellPr id="1" uniqueName="1">
      <xmlPr mapId="43" xpath="/ns1:Root/ns1:M6/ns1:__5__Current_stock_in_central_warehouse__that_does_not_expire_within_the_next_3_months__1" xmlDataType="double"/>
    </xmlCellPr>
  </singleXmlCell>
  <singleXmlCell id="556" r="J105" connectionId="0">
    <xmlCellPr id="1" uniqueName="1">
      <xmlPr mapId="43" xpath="/ns1:Root/ns1:M6/ns1:__7__Level_of_safety_stock__expressed_in_months_and_defined_by_country___1" xmlDataType="double"/>
    </xmlCellPr>
  </singleXmlCell>
  <singleXmlCell id="557" r="C106" connectionId="0">
    <xmlCellPr id="1" uniqueName="1">
      <xmlPr mapId="43" xpath="/ns1:Root/ns1:M6/ns1:_Products_2" xmlDataType="string"/>
    </xmlCellPr>
  </singleXmlCell>
  <singleXmlCell id="558" r="D106" connectionId="0">
    <xmlCellPr id="1" uniqueName="1">
      <xmlPr mapId="43" xpath="/ns1:Root/ns1:M6/ns1:__1__Number_of_tablets_per_patient_per_day__Review_country_treatment_guidelines__2" xmlDataType="double"/>
    </xmlCellPr>
  </singleXmlCell>
  <singleXmlCell id="559" r="F106" connectionId="0">
    <xmlCellPr id="1" uniqueName="1">
      <xmlPr mapId="43" xpath="/ns1:Root/ns1:M6/ns1:__3__Total_patients_in_treatment_2" xmlDataType="double"/>
    </xmlCellPr>
  </singleXmlCell>
  <singleXmlCell id="560" r="H106" connectionId="0">
    <xmlCellPr id="1" uniqueName="1">
      <xmlPr mapId="43" xpath="/ns1:Root/ns1:M6/ns1:__5__Current_stock_in_central_warehouse__that_does_not_expire_within_the_next_3_months__2" xmlDataType="double"/>
    </xmlCellPr>
  </singleXmlCell>
  <singleXmlCell id="561" r="J106" connectionId="0">
    <xmlCellPr id="1" uniqueName="1">
      <xmlPr mapId="43" xpath="/ns1:Root/ns1:M6/ns1:__7__Level_of_safety_stock__expressed_in_months_and_defined_by_country___2" xmlDataType="double"/>
    </xmlCellPr>
  </singleXmlCell>
  <singleXmlCell id="562" r="C107" connectionId="0">
    <xmlCellPr id="1" uniqueName="1">
      <xmlPr mapId="43" xpath="/ns1:Root/ns1:M6/ns1:_Products" xmlDataType="string"/>
    </xmlCellPr>
  </singleXmlCell>
  <singleXmlCell id="563" r="D107" connectionId="0">
    <xmlCellPr id="1" uniqueName="1">
      <xmlPr mapId="43" xpath="/ns1:Root/ns1:M6/ns1:__1__Number_of_tablets_per_patient_per_day__Review_country_treatment_guidelines_" xmlDataType="double"/>
    </xmlCellPr>
  </singleXmlCell>
  <singleXmlCell id="564" r="F107" connectionId="0">
    <xmlCellPr id="1" uniqueName="1">
      <xmlPr mapId="43" xpath="/ns1:Root/ns1:M6/ns1:__3__Total_patients_in_treatment" xmlDataType="double"/>
    </xmlCellPr>
  </singleXmlCell>
  <singleXmlCell id="565" r="H107" connectionId="0">
    <xmlCellPr id="1" uniqueName="1">
      <xmlPr mapId="43" xpath="/ns1:Root/ns1:M6/ns1:__5__Current_stock_in_central_warehouse__that_does_not_expire_within_the_next_3_months_" xmlDataType="double"/>
    </xmlCellPr>
  </singleXmlCell>
  <singleXmlCell id="566" r="J107" connectionId="0">
    <xmlCellPr id="1" uniqueName="1">
      <xmlPr mapId="43" xpath="/ns1:Root/ns1:M6/ns1:__7__Level_of_safety_stock__expressed_in_months_and_defined_by_country__" xmlDataType="double"/>
    </xmlCellPr>
  </singleXmlCell>
  <singleXmlCell id="567" r="H114" connectionId="0">
    <xmlCellPr id="1" uniqueName="1">
      <xmlPr mapId="43" xpath="/ns1:Root/ns1:Prog/ns1:Target_P1_1" xmlDataType="double"/>
    </xmlCellPr>
  </singleXmlCell>
  <singleXmlCell id="568" r="I114" connectionId="0">
    <xmlCellPr id="1" uniqueName="1">
      <xmlPr mapId="43" xpath="/ns1:Root/ns1:Prog/ns1:Target_P2_1" xmlDataType="double"/>
    </xmlCellPr>
  </singleXmlCell>
  <singleXmlCell id="569" r="J114" connectionId="0">
    <xmlCellPr id="1" uniqueName="1">
      <xmlPr mapId="43" xpath="/ns1:Root/ns1:Prog/ns1:Target_P3_1" xmlDataType="double"/>
    </xmlCellPr>
  </singleXmlCell>
  <singleXmlCell id="570" r="K114" connectionId="0">
    <xmlCellPr id="1" uniqueName="1">
      <xmlPr mapId="43" xpath="/ns1:Root/ns1:Prog/ns1:Target_P4_1" xmlDataType="double"/>
    </xmlCellPr>
  </singleXmlCell>
  <singleXmlCell id="571" r="L114" connectionId="0">
    <xmlCellPr id="1" uniqueName="1">
      <xmlPr mapId="43" xpath="/ns1:Root/ns1:Prog/ns1:Target_P5_1" xmlDataType="double"/>
    </xmlCellPr>
  </singleXmlCell>
  <singleXmlCell id="572" r="M114" connectionId="0">
    <xmlCellPr id="1" uniqueName="1">
      <xmlPr mapId="43" xpath="/ns1:Root/ns1:Prog/ns1:Target_P6_1" xmlDataType="double"/>
    </xmlCellPr>
  </singleXmlCell>
  <singleXmlCell id="579" r="H115" connectionId="0">
    <xmlCellPr id="1" uniqueName="1">
      <xmlPr mapId="43" xpath="/ns1:Root/ns1:Prog/ns1:Achieved__P1_1" xmlDataType="double"/>
    </xmlCellPr>
  </singleXmlCell>
  <singleXmlCell id="580" r="I115" connectionId="0">
    <xmlCellPr id="1" uniqueName="1">
      <xmlPr mapId="43" xpath="/ns1:Root/ns1:Prog/ns1:Achieved__P2_1" xmlDataType="double"/>
    </xmlCellPr>
  </singleXmlCell>
  <singleXmlCell id="581" r="J115" connectionId="0">
    <xmlCellPr id="1" uniqueName="1">
      <xmlPr mapId="43" xpath="/ns1:Root/ns1:Prog/ns1:Achieved__P3_1" xmlDataType="double"/>
    </xmlCellPr>
  </singleXmlCell>
  <singleXmlCell id="582" r="K115" connectionId="0">
    <xmlCellPr id="1" uniqueName="1">
      <xmlPr mapId="43" xpath="/ns1:Root/ns1:Prog/ns1:Achieved__P4_1" xmlDataType="double"/>
    </xmlCellPr>
  </singleXmlCell>
  <singleXmlCell id="583" r="L115" connectionId="0">
    <xmlCellPr id="1" uniqueName="1">
      <xmlPr mapId="43" xpath="/ns1:Root/ns1:Prog/ns1:Achieved__P5_1" xmlDataType="string"/>
    </xmlCellPr>
  </singleXmlCell>
  <singleXmlCell id="584" r="M115" connectionId="0">
    <xmlCellPr id="1" uniqueName="1">
      <xmlPr mapId="43" xpath="/ns1:Root/ns1:Prog/ns1:Achieved__P6_1" xmlDataType="string"/>
    </xmlCellPr>
  </singleXmlCell>
  <singleXmlCell id="591" r="H116" connectionId="0">
    <xmlCellPr id="1" uniqueName="1">
      <xmlPr mapId="43" xpath="/ns1:Root/ns1:Prog/ns1:Target_P1_2" xmlDataType="double"/>
    </xmlCellPr>
  </singleXmlCell>
  <singleXmlCell id="592" r="I116" connectionId="0">
    <xmlCellPr id="1" uniqueName="1">
      <xmlPr mapId="43" xpath="/ns1:Root/ns1:Prog/ns1:Target_P2_2" xmlDataType="double"/>
    </xmlCellPr>
  </singleXmlCell>
  <singleXmlCell id="593" r="J116" connectionId="0">
    <xmlCellPr id="1" uniqueName="1">
      <xmlPr mapId="43" xpath="/ns1:Root/ns1:Prog/ns1:Target_P3_2" xmlDataType="double"/>
    </xmlCellPr>
  </singleXmlCell>
  <singleXmlCell id="594" r="L116" connectionId="0">
    <xmlCellPr id="1" uniqueName="1">
      <xmlPr mapId="43" xpath="/ns1:Root/ns1:Prog/ns1:Target_P5_2" xmlDataType="double"/>
    </xmlCellPr>
  </singleXmlCell>
  <singleXmlCell id="595" r="M116" connectionId="0">
    <xmlCellPr id="1" uniqueName="1">
      <xmlPr mapId="43" xpath="/ns1:Root/ns1:Prog/ns1:Target_P6_2" xmlDataType="double"/>
    </xmlCellPr>
  </singleXmlCell>
  <singleXmlCell id="596" r="N116" connectionId="0">
    <xmlCellPr id="1" uniqueName="1">
      <xmlPr mapId="43" xpath="/ns1:Root/ns1:Prog/ns1:Target_P7_2" xmlDataType="double"/>
    </xmlCellPr>
  </singleXmlCell>
  <singleXmlCell id="597" r="O116" connectionId="0">
    <xmlCellPr id="1" uniqueName="1">
      <xmlPr mapId="43" xpath="/ns1:Root/ns1:Prog/ns1:Target_P8_2" xmlDataType="double"/>
    </xmlCellPr>
  </singleXmlCell>
  <singleXmlCell id="598" r="P116" connectionId="0">
    <xmlCellPr id="1" uniqueName="1">
      <xmlPr mapId="43" xpath="/ns1:Root/ns1:Prog/ns1:Target_P9_2" xmlDataType="double"/>
    </xmlCellPr>
  </singleXmlCell>
  <singleXmlCell id="599" r="Q116" connectionId="0">
    <xmlCellPr id="1" uniqueName="1">
      <xmlPr mapId="43" xpath="/ns1:Root/ns1:Prog/ns1:Target_P10_2" xmlDataType="double"/>
    </xmlCellPr>
  </singleXmlCell>
  <singleXmlCell id="600" r="R116" connectionId="0">
    <xmlCellPr id="1" uniqueName="1">
      <xmlPr mapId="43" xpath="/ns1:Root/ns1:Prog/ns1:Target_P11_2" xmlDataType="double"/>
    </xmlCellPr>
  </singleXmlCell>
  <singleXmlCell id="601" r="S116" connectionId="0">
    <xmlCellPr id="1" uniqueName="1">
      <xmlPr mapId="43" xpath="/ns1:Root/ns1:Prog/ns1:Target_P12_2" xmlDataType="double"/>
    </xmlCellPr>
  </singleXmlCell>
  <singleXmlCell id="602" r="H117" connectionId="0">
    <xmlCellPr id="1" uniqueName="1">
      <xmlPr mapId="43" xpath="/ns1:Root/ns1:Prog/ns1:Achieved__P1_2" xmlDataType="double"/>
    </xmlCellPr>
  </singleXmlCell>
  <singleXmlCell id="603" r="I117" connectionId="0">
    <xmlCellPr id="1" uniqueName="1">
      <xmlPr mapId="43" xpath="/ns1:Root/ns1:Prog/ns1:Achieved__P2_2" xmlDataType="double"/>
    </xmlCellPr>
  </singleXmlCell>
  <singleXmlCell id="604" r="J117" connectionId="0">
    <xmlCellPr id="1" uniqueName="1">
      <xmlPr mapId="43" xpath="/ns1:Root/ns1:Prog/ns1:Achieved__P3_2" xmlDataType="double"/>
    </xmlCellPr>
  </singleXmlCell>
  <singleXmlCell id="605" r="K117" connectionId="0">
    <xmlCellPr id="1" uniqueName="1">
      <xmlPr mapId="43" xpath="/ns1:Root/ns1:Prog/ns1:Achieved__P4_2" xmlDataType="double"/>
    </xmlCellPr>
  </singleXmlCell>
  <singleXmlCell id="606" r="L117" connectionId="0">
    <xmlCellPr id="1" uniqueName="1">
      <xmlPr mapId="43" xpath="/ns1:Root/ns1:Prog/ns1:Achieved__P5_2" xmlDataType="string"/>
    </xmlCellPr>
  </singleXmlCell>
  <singleXmlCell id="607" r="M117" connectionId="0">
    <xmlCellPr id="1" uniqueName="1">
      <xmlPr mapId="43" xpath="/ns1:Root/ns1:Prog/ns1:Achieved__P6_2" xmlDataType="string"/>
    </xmlCellPr>
  </singleXmlCell>
  <singleXmlCell id="608" r="N117" connectionId="0">
    <xmlCellPr id="1" uniqueName="1">
      <xmlPr mapId="43" xpath="/ns1:Root/ns1:Prog/ns1:Achieved__P7_2" xmlDataType="string"/>
    </xmlCellPr>
  </singleXmlCell>
  <singleXmlCell id="609" r="O117" connectionId="0">
    <xmlCellPr id="1" uniqueName="1">
      <xmlPr mapId="43" xpath="/ns1:Root/ns1:Prog/ns1:Achieved__P8_2" xmlDataType="string"/>
    </xmlCellPr>
  </singleXmlCell>
  <singleXmlCell id="610" r="P117" connectionId="0">
    <xmlCellPr id="1" uniqueName="1">
      <xmlPr mapId="43" xpath="/ns1:Root/ns1:Prog/ns1:Achieved__P9_2" xmlDataType="string"/>
    </xmlCellPr>
  </singleXmlCell>
  <singleXmlCell id="611" r="Q117" connectionId="0">
    <xmlCellPr id="1" uniqueName="1">
      <xmlPr mapId="43" xpath="/ns1:Root/ns1:Prog/ns1:Achieved__P10_2" xmlDataType="string"/>
    </xmlCellPr>
  </singleXmlCell>
  <singleXmlCell id="612" r="R117" connectionId="0">
    <xmlCellPr id="1" uniqueName="1">
      <xmlPr mapId="43" xpath="/ns1:Root/ns1:Prog/ns1:Achieved__P11_2" xmlDataType="string"/>
    </xmlCellPr>
  </singleXmlCell>
  <singleXmlCell id="613" r="S117" connectionId="0">
    <xmlCellPr id="1" uniqueName="1">
      <xmlPr mapId="43" xpath="/ns1:Root/ns1:Prog/ns1:Achieved__P12_2" xmlDataType="string"/>
    </xmlCellPr>
  </singleXmlCell>
  <singleXmlCell id="614" r="H118" connectionId="0">
    <xmlCellPr id="1" uniqueName="1">
      <xmlPr mapId="43" xpath="/ns1:Root/ns1:Prog/ns1:Target_P1_3" xmlDataType="double"/>
    </xmlCellPr>
  </singleXmlCell>
  <singleXmlCell id="615" r="I118" connectionId="0">
    <xmlCellPr id="1" uniqueName="1">
      <xmlPr mapId="43" xpath="/ns1:Root/ns1:Prog/ns1:Target_P2_3" xmlDataType="double"/>
    </xmlCellPr>
  </singleXmlCell>
  <singleXmlCell id="616" r="J118" connectionId="0">
    <xmlCellPr id="1" uniqueName="1">
      <xmlPr mapId="43" xpath="/ns1:Root/ns1:Prog/ns1:Target_P3_3" xmlDataType="double"/>
    </xmlCellPr>
  </singleXmlCell>
  <singleXmlCell id="617" r="K118" connectionId="0">
    <xmlCellPr id="1" uniqueName="1">
      <xmlPr mapId="43" xpath="/ns1:Root/ns1:Prog/ns1:Target_P4_3" xmlDataType="double"/>
    </xmlCellPr>
  </singleXmlCell>
  <singleXmlCell id="618" r="L118" connectionId="0">
    <xmlCellPr id="1" uniqueName="1">
      <xmlPr mapId="43" xpath="/ns1:Root/ns1:Prog/ns1:Target_P5_3" xmlDataType="double"/>
    </xmlCellPr>
  </singleXmlCell>
  <singleXmlCell id="619" r="M118" connectionId="0">
    <xmlCellPr id="1" uniqueName="1">
      <xmlPr mapId="43" xpath="/ns1:Root/ns1:Prog/ns1:Target_P6_3" xmlDataType="double"/>
    </xmlCellPr>
  </singleXmlCell>
  <singleXmlCell id="620" r="N118" connectionId="0">
    <xmlCellPr id="1" uniqueName="1">
      <xmlPr mapId="43" xpath="/ns1:Root/ns1:Prog/ns1:Target_P7_3" xmlDataType="double"/>
    </xmlCellPr>
  </singleXmlCell>
  <singleXmlCell id="621" r="O118" connectionId="0">
    <xmlCellPr id="1" uniqueName="1">
      <xmlPr mapId="43" xpath="/ns1:Root/ns1:Prog/ns1:Target_P8_3" xmlDataType="double"/>
    </xmlCellPr>
  </singleXmlCell>
  <singleXmlCell id="622" r="P118" connectionId="0">
    <xmlCellPr id="1" uniqueName="1">
      <xmlPr mapId="43" xpath="/ns1:Root/ns1:Prog/ns1:Target_P9_3" xmlDataType="double"/>
    </xmlCellPr>
  </singleXmlCell>
  <singleXmlCell id="623" r="Q118" connectionId="0">
    <xmlCellPr id="1" uniqueName="1">
      <xmlPr mapId="43" xpath="/ns1:Root/ns1:Prog/ns1:Target_P10_3" xmlDataType="string"/>
    </xmlCellPr>
  </singleXmlCell>
  <singleXmlCell id="624" r="R118" connectionId="0">
    <xmlCellPr id="1" uniqueName="1">
      <xmlPr mapId="43" xpath="/ns1:Root/ns1:Prog/ns1:Target_P11_3" xmlDataType="string"/>
    </xmlCellPr>
  </singleXmlCell>
  <singleXmlCell id="625" r="S118" connectionId="0">
    <xmlCellPr id="1" uniqueName="1">
      <xmlPr mapId="43" xpath="/ns1:Root/ns1:Prog/ns1:Target_P12_3" xmlDataType="double"/>
    </xmlCellPr>
  </singleXmlCell>
  <singleXmlCell id="626" r="H119" connectionId="0">
    <xmlCellPr id="1" uniqueName="1">
      <xmlPr mapId="43" xpath="/ns1:Root/ns1:Prog/ns1:Achieved__P1_3" xmlDataType="string"/>
    </xmlCellPr>
  </singleXmlCell>
  <singleXmlCell id="627" r="I119" connectionId="0">
    <xmlCellPr id="1" uniqueName="1">
      <xmlPr mapId="43" xpath="/ns1:Root/ns1:Prog/ns1:Achieved__P2_3" xmlDataType="double"/>
    </xmlCellPr>
  </singleXmlCell>
  <singleXmlCell id="628" r="J119" connectionId="0">
    <xmlCellPr id="1" uniqueName="1">
      <xmlPr mapId="43" xpath="/ns1:Root/ns1:Prog/ns1:Achieved__P3_3" xmlDataType="string"/>
    </xmlCellPr>
  </singleXmlCell>
  <singleXmlCell id="629" r="K119" connectionId="0">
    <xmlCellPr id="1" uniqueName="1">
      <xmlPr mapId="43" xpath="/ns1:Root/ns1:Prog/ns1:Achieved__P4_3" xmlDataType="double"/>
    </xmlCellPr>
  </singleXmlCell>
  <singleXmlCell id="630" r="L119" connectionId="0">
    <xmlCellPr id="1" uniqueName="1">
      <xmlPr mapId="43" xpath="/ns1:Root/ns1:Prog/ns1:Achieved__P5_3" xmlDataType="string"/>
    </xmlCellPr>
  </singleXmlCell>
  <singleXmlCell id="631" r="M119" connectionId="0">
    <xmlCellPr id="1" uniqueName="1">
      <xmlPr mapId="43" xpath="/ns1:Root/ns1:Prog/ns1:Achieved__P6_3" xmlDataType="string"/>
    </xmlCellPr>
  </singleXmlCell>
  <singleXmlCell id="632" r="N119" connectionId="0">
    <xmlCellPr id="1" uniqueName="1">
      <xmlPr mapId="43" xpath="/ns1:Root/ns1:Prog/ns1:Achieved__P7_3" xmlDataType="string"/>
    </xmlCellPr>
  </singleXmlCell>
  <singleXmlCell id="633" r="O119" connectionId="0">
    <xmlCellPr id="1" uniqueName="1">
      <xmlPr mapId="43" xpath="/ns1:Root/ns1:Prog/ns1:Achieved__P8_3" xmlDataType="string"/>
    </xmlCellPr>
  </singleXmlCell>
  <singleXmlCell id="634" r="P119" connectionId="0">
    <xmlCellPr id="1" uniqueName="1">
      <xmlPr mapId="43" xpath="/ns1:Root/ns1:Prog/ns1:Achieved__P9_3" xmlDataType="string"/>
    </xmlCellPr>
  </singleXmlCell>
  <singleXmlCell id="635" r="Q119" connectionId="0">
    <xmlCellPr id="1" uniqueName="1">
      <xmlPr mapId="43" xpath="/ns1:Root/ns1:Prog/ns1:Achieved__P10_3" xmlDataType="string"/>
    </xmlCellPr>
  </singleXmlCell>
  <singleXmlCell id="636" r="R119" connectionId="0">
    <xmlCellPr id="1" uniqueName="1">
      <xmlPr mapId="43" xpath="/ns1:Root/ns1:Prog/ns1:Achieved__P11_3" xmlDataType="string"/>
    </xmlCellPr>
  </singleXmlCell>
  <singleXmlCell id="637" r="S119" connectionId="0">
    <xmlCellPr id="1" uniqueName="1">
      <xmlPr mapId="43" xpath="/ns1:Root/ns1:Prog/ns1:Achieved__P12_3" xmlDataType="string"/>
    </xmlCellPr>
  </singleXmlCell>
  <singleXmlCell id="638" r="H120" connectionId="0">
    <xmlCellPr id="1" uniqueName="1">
      <xmlPr mapId="43" xpath="/ns1:Root/ns1:Prog/ns1:Target_P1_4" xmlDataType="string"/>
    </xmlCellPr>
  </singleXmlCell>
  <singleXmlCell id="639" r="I120" connectionId="0">
    <xmlCellPr id="1" uniqueName="1">
      <xmlPr mapId="43" xpath="/ns1:Root/ns1:Prog/ns1:Target_P2_4" xmlDataType="string"/>
    </xmlCellPr>
  </singleXmlCell>
  <singleXmlCell id="640" r="J120" connectionId="0">
    <xmlCellPr id="1" uniqueName="1">
      <xmlPr mapId="43" xpath="/ns1:Root/ns1:Prog/ns1:Target_P3_4" xmlDataType="string"/>
    </xmlCellPr>
  </singleXmlCell>
  <singleXmlCell id="641" r="K120" connectionId="0">
    <xmlCellPr id="1" uniqueName="1">
      <xmlPr mapId="43" xpath="/ns1:Root/ns1:Prog/ns1:Target_P4_4" xmlDataType="double"/>
    </xmlCellPr>
  </singleXmlCell>
  <singleXmlCell id="642" r="L120" connectionId="0">
    <xmlCellPr id="1" uniqueName="1">
      <xmlPr mapId="43" xpath="/ns1:Root/ns1:Prog/ns1:Target_P5_4" xmlDataType="string"/>
    </xmlCellPr>
  </singleXmlCell>
  <singleXmlCell id="643" r="M120" connectionId="0">
    <xmlCellPr id="1" uniqueName="1">
      <xmlPr mapId="43" xpath="/ns1:Root/ns1:Prog/ns1:Target_P6_4" xmlDataType="string"/>
    </xmlCellPr>
  </singleXmlCell>
  <singleXmlCell id="644" r="N120" connectionId="0">
    <xmlCellPr id="1" uniqueName="1">
      <xmlPr mapId="43" xpath="/ns1:Root/ns1:Prog/ns1:Target_P7_4" xmlDataType="string"/>
    </xmlCellPr>
  </singleXmlCell>
  <singleXmlCell id="645" r="O120" connectionId="0">
    <xmlCellPr id="1" uniqueName="1">
      <xmlPr mapId="43" xpath="/ns1:Root/ns1:Prog/ns1:Target_P8_4" xmlDataType="double"/>
    </xmlCellPr>
  </singleXmlCell>
  <singleXmlCell id="646" r="P120" connectionId="0">
    <xmlCellPr id="1" uniqueName="1">
      <xmlPr mapId="43" xpath="/ns1:Root/ns1:Prog/ns1:Target_P9_4" xmlDataType="string"/>
    </xmlCellPr>
  </singleXmlCell>
  <singleXmlCell id="647" r="Q120" connectionId="0">
    <xmlCellPr id="1" uniqueName="1">
      <xmlPr mapId="43" xpath="/ns1:Root/ns1:Prog/ns1:Target_P10_4" xmlDataType="string"/>
    </xmlCellPr>
  </singleXmlCell>
  <singleXmlCell id="648" r="R120" connectionId="0">
    <xmlCellPr id="1" uniqueName="1">
      <xmlPr mapId="43" xpath="/ns1:Root/ns1:Prog/ns1:Target_P11_4" xmlDataType="string"/>
    </xmlCellPr>
  </singleXmlCell>
  <singleXmlCell id="649" r="S120" connectionId="0">
    <xmlCellPr id="1" uniqueName="1">
      <xmlPr mapId="43" xpath="/ns1:Root/ns1:Prog/ns1:Target_P12_4" xmlDataType="double"/>
    </xmlCellPr>
  </singleXmlCell>
  <singleXmlCell id="650" r="H121" connectionId="0">
    <xmlCellPr id="1" uniqueName="1">
      <xmlPr mapId="43" xpath="/ns1:Root/ns1:Prog/ns1:Achieved__P1_4" xmlDataType="string"/>
    </xmlCellPr>
  </singleXmlCell>
  <singleXmlCell id="651" r="I121" connectionId="0">
    <xmlCellPr id="1" uniqueName="1">
      <xmlPr mapId="43" xpath="/ns1:Root/ns1:Prog/ns1:Achieved__P2_4" xmlDataType="string"/>
    </xmlCellPr>
  </singleXmlCell>
  <singleXmlCell id="652" r="J121" connectionId="0">
    <xmlCellPr id="1" uniqueName="1">
      <xmlPr mapId="43" xpath="/ns1:Root/ns1:Prog/ns1:Achieved__P3_4" xmlDataType="string"/>
    </xmlCellPr>
  </singleXmlCell>
  <singleXmlCell id="653" r="K121" connectionId="0">
    <xmlCellPr id="1" uniqueName="1">
      <xmlPr mapId="43" xpath="/ns1:Root/ns1:Prog/ns1:Achieved__P4_4" xmlDataType="double"/>
    </xmlCellPr>
  </singleXmlCell>
  <singleXmlCell id="654" r="L121" connectionId="0">
    <xmlCellPr id="1" uniqueName="1">
      <xmlPr mapId="43" xpath="/ns1:Root/ns1:Prog/ns1:Achieved__P5_4" xmlDataType="string"/>
    </xmlCellPr>
  </singleXmlCell>
  <singleXmlCell id="655" r="M121" connectionId="0">
    <xmlCellPr id="1" uniqueName="1">
      <xmlPr mapId="43" xpath="/ns1:Root/ns1:Prog/ns1:Achieved__P6_4" xmlDataType="string"/>
    </xmlCellPr>
  </singleXmlCell>
  <singleXmlCell id="656" r="N121" connectionId="0">
    <xmlCellPr id="1" uniqueName="1">
      <xmlPr mapId="43" xpath="/ns1:Root/ns1:Prog/ns1:Achieved__P7_4" xmlDataType="string"/>
    </xmlCellPr>
  </singleXmlCell>
  <singleXmlCell id="657" r="O121" connectionId="0">
    <xmlCellPr id="1" uniqueName="1">
      <xmlPr mapId="43" xpath="/ns1:Root/ns1:Prog/ns1:Achieved__P8_4" xmlDataType="string"/>
    </xmlCellPr>
  </singleXmlCell>
  <singleXmlCell id="658" r="P121" connectionId="0">
    <xmlCellPr id="1" uniqueName="1">
      <xmlPr mapId="43" xpath="/ns1:Root/ns1:Prog/ns1:Achieved__P9_4" xmlDataType="string"/>
    </xmlCellPr>
  </singleXmlCell>
  <singleXmlCell id="659" r="Q121" connectionId="0">
    <xmlCellPr id="1" uniqueName="1">
      <xmlPr mapId="43" xpath="/ns1:Root/ns1:Prog/ns1:Achieved__P10_4" xmlDataType="string"/>
    </xmlCellPr>
  </singleXmlCell>
  <singleXmlCell id="660" r="R121" connectionId="0">
    <xmlCellPr id="1" uniqueName="1">
      <xmlPr mapId="43" xpath="/ns1:Root/ns1:Prog/ns1:Achieved__P11_4" xmlDataType="string"/>
    </xmlCellPr>
  </singleXmlCell>
  <singleXmlCell id="661" r="S121" connectionId="0">
    <xmlCellPr id="1" uniqueName="1">
      <xmlPr mapId="43" xpath="/ns1:Root/ns1:Prog/ns1:Achieved__P12_4" xmlDataType="string"/>
    </xmlCellPr>
  </singleXmlCell>
  <singleXmlCell id="662" r="H122" connectionId="0">
    <xmlCellPr id="1" uniqueName="1">
      <xmlPr mapId="43" xpath="/ns1:Root/ns1:Prog/ns1:Target_P1_5" xmlDataType="double"/>
    </xmlCellPr>
  </singleXmlCell>
  <singleXmlCell id="663" r="I122" connectionId="0">
    <xmlCellPr id="1" uniqueName="1">
      <xmlPr mapId="43" xpath="/ns1:Root/ns1:Prog/ns1:Target_P2_5" xmlDataType="double"/>
    </xmlCellPr>
  </singleXmlCell>
  <singleXmlCell id="664" r="J122" connectionId="0">
    <xmlCellPr id="1" uniqueName="1">
      <xmlPr mapId="43" xpath="/ns1:Root/ns1:Prog/ns1:Target_P3_5" xmlDataType="double"/>
    </xmlCellPr>
  </singleXmlCell>
  <singleXmlCell id="665" r="K122" connectionId="0">
    <xmlCellPr id="1" uniqueName="1">
      <xmlPr mapId="43" xpath="/ns1:Root/ns1:Prog/ns1:Target_P4_5" xmlDataType="double"/>
    </xmlCellPr>
  </singleXmlCell>
  <singleXmlCell id="666" r="L122" connectionId="0">
    <xmlCellPr id="1" uniqueName="1">
      <xmlPr mapId="43" xpath="/ns1:Root/ns1:Prog/ns1:Target_P5_5" xmlDataType="double"/>
    </xmlCellPr>
  </singleXmlCell>
  <singleXmlCell id="667" r="M122" connectionId="0">
    <xmlCellPr id="1" uniqueName="1">
      <xmlPr mapId="43" xpath="/ns1:Root/ns1:Prog/ns1:Target_P6_5" xmlDataType="double"/>
    </xmlCellPr>
  </singleXmlCell>
  <singleXmlCell id="668" r="N122" connectionId="0">
    <xmlCellPr id="1" uniqueName="1">
      <xmlPr mapId="43" xpath="/ns1:Root/ns1:Prog/ns1:Target_P7_5" xmlDataType="double"/>
    </xmlCellPr>
  </singleXmlCell>
  <singleXmlCell id="669" r="O122" connectionId="0">
    <xmlCellPr id="1" uniqueName="1">
      <xmlPr mapId="43" xpath="/ns1:Root/ns1:Prog/ns1:Target_P8_5" xmlDataType="double"/>
    </xmlCellPr>
  </singleXmlCell>
  <singleXmlCell id="670" r="P122" connectionId="0">
    <xmlCellPr id="1" uniqueName="1">
      <xmlPr mapId="43" xpath="/ns1:Root/ns1:Prog/ns1:Target_P9_5" xmlDataType="double"/>
    </xmlCellPr>
  </singleXmlCell>
  <singleXmlCell id="671" r="Q122" connectionId="0">
    <xmlCellPr id="1" uniqueName="1">
      <xmlPr mapId="43" xpath="/ns1:Root/ns1:Prog/ns1:Target_P10_5" xmlDataType="double"/>
    </xmlCellPr>
  </singleXmlCell>
  <singleXmlCell id="672" r="R122" connectionId="0">
    <xmlCellPr id="1" uniqueName="1">
      <xmlPr mapId="43" xpath="/ns1:Root/ns1:Prog/ns1:Target_P11_5" xmlDataType="double"/>
    </xmlCellPr>
  </singleXmlCell>
  <singleXmlCell id="673" r="S122" connectionId="0">
    <xmlCellPr id="1" uniqueName="1">
      <xmlPr mapId="43" xpath="/ns1:Root/ns1:Prog/ns1:Target_P12_5" xmlDataType="double"/>
    </xmlCellPr>
  </singleXmlCell>
  <singleXmlCell id="674" r="H123" connectionId="0">
    <xmlCellPr id="1" uniqueName="1">
      <xmlPr mapId="43" xpath="/ns1:Root/ns1:Prog/ns1:Achieved__P1_5" xmlDataType="double"/>
    </xmlCellPr>
  </singleXmlCell>
  <singleXmlCell id="675" r="I123" connectionId="0">
    <xmlCellPr id="1" uniqueName="1">
      <xmlPr mapId="43" xpath="/ns1:Root/ns1:Prog/ns1:Achieved__P2_5" xmlDataType="double"/>
    </xmlCellPr>
  </singleXmlCell>
  <singleXmlCell id="676" r="J123" connectionId="0">
    <xmlCellPr id="1" uniqueName="1">
      <xmlPr mapId="43" xpath="/ns1:Root/ns1:Prog/ns1:Achieved__P3_5" xmlDataType="double"/>
    </xmlCellPr>
  </singleXmlCell>
  <singleXmlCell id="677" r="K123" connectionId="0">
    <xmlCellPr id="1" uniqueName="1">
      <xmlPr mapId="43" xpath="/ns1:Root/ns1:Prog/ns1:Achieved__P4_5" xmlDataType="double"/>
    </xmlCellPr>
  </singleXmlCell>
  <singleXmlCell id="678" r="L123" connectionId="0">
    <xmlCellPr id="1" uniqueName="1">
      <xmlPr mapId="43" xpath="/ns1:Root/ns1:Prog/ns1:Achieved__P5_5" xmlDataType="string"/>
    </xmlCellPr>
  </singleXmlCell>
  <singleXmlCell id="679" r="M123" connectionId="0">
    <xmlCellPr id="1" uniqueName="1">
      <xmlPr mapId="43" xpath="/ns1:Root/ns1:Prog/ns1:Achieved__P6_5" xmlDataType="string"/>
    </xmlCellPr>
  </singleXmlCell>
  <singleXmlCell id="680" r="N123" connectionId="0">
    <xmlCellPr id="1" uniqueName="1">
      <xmlPr mapId="43" xpath="/ns1:Root/ns1:Prog/ns1:Achieved__P7_5" xmlDataType="string"/>
    </xmlCellPr>
  </singleXmlCell>
  <singleXmlCell id="681" r="O123" connectionId="0">
    <xmlCellPr id="1" uniqueName="1">
      <xmlPr mapId="43" xpath="/ns1:Root/ns1:Prog/ns1:Achieved__P8_5" xmlDataType="string"/>
    </xmlCellPr>
  </singleXmlCell>
  <singleXmlCell id="682" r="P123" connectionId="0">
    <xmlCellPr id="1" uniqueName="1">
      <xmlPr mapId="43" xpath="/ns1:Root/ns1:Prog/ns1:Achieved__P9_5" xmlDataType="string"/>
    </xmlCellPr>
  </singleXmlCell>
  <singleXmlCell id="683" r="Q123" connectionId="0">
    <xmlCellPr id="1" uniqueName="1">
      <xmlPr mapId="43" xpath="/ns1:Root/ns1:Prog/ns1:Achieved__P10_5" xmlDataType="string"/>
    </xmlCellPr>
  </singleXmlCell>
  <singleXmlCell id="684" r="R123" connectionId="0">
    <xmlCellPr id="1" uniqueName="1">
      <xmlPr mapId="43" xpath="/ns1:Root/ns1:Prog/ns1:Achieved__P11_5" xmlDataType="string"/>
    </xmlCellPr>
  </singleXmlCell>
  <singleXmlCell id="685" r="S123" connectionId="0">
    <xmlCellPr id="1" uniqueName="1">
      <xmlPr mapId="43" xpath="/ns1:Root/ns1:Prog/ns1:Achieved__P12_5" xmlDataType="string"/>
    </xmlCellPr>
  </singleXmlCell>
  <singleXmlCell id="686" r="H124" connectionId="0">
    <xmlCellPr id="1" uniqueName="1">
      <xmlPr mapId="43" xpath="/ns1:Root/ns1:Prog/ns1:Target_P1_6" xmlDataType="double"/>
    </xmlCellPr>
  </singleXmlCell>
  <singleXmlCell id="687" r="I124" connectionId="0">
    <xmlCellPr id="1" uniqueName="1">
      <xmlPr mapId="43" xpath="/ns1:Root/ns1:Prog/ns1:Target_P2_6" xmlDataType="double"/>
    </xmlCellPr>
  </singleXmlCell>
  <singleXmlCell id="688" r="J124" connectionId="0">
    <xmlCellPr id="1" uniqueName="1">
      <xmlPr mapId="43" xpath="/ns1:Root/ns1:Prog/ns1:Target_P3_6" xmlDataType="double"/>
    </xmlCellPr>
  </singleXmlCell>
  <singleXmlCell id="689" r="K124" connectionId="0">
    <xmlCellPr id="1" uniqueName="1">
      <xmlPr mapId="43" xpath="/ns1:Root/ns1:Prog/ns1:Target_P4_6" xmlDataType="double"/>
    </xmlCellPr>
  </singleXmlCell>
  <singleXmlCell id="690" r="L124" connectionId="0">
    <xmlCellPr id="1" uniqueName="1">
      <xmlPr mapId="43" xpath="/ns1:Root/ns1:Prog/ns1:Target_P5_6" xmlDataType="double"/>
    </xmlCellPr>
  </singleXmlCell>
  <singleXmlCell id="691" r="M124" connectionId="0">
    <xmlCellPr id="1" uniqueName="1">
      <xmlPr mapId="43" xpath="/ns1:Root/ns1:Prog/ns1:Target_P6_6" xmlDataType="double"/>
    </xmlCellPr>
  </singleXmlCell>
  <singleXmlCell id="692" r="N124" connectionId="0">
    <xmlCellPr id="1" uniqueName="1">
      <xmlPr mapId="43" xpath="/ns1:Root/ns1:Prog/ns1:Target_P7_6" xmlDataType="double"/>
    </xmlCellPr>
  </singleXmlCell>
  <singleXmlCell id="693" r="O124" connectionId="0">
    <xmlCellPr id="1" uniqueName="1">
      <xmlPr mapId="43" xpath="/ns1:Root/ns1:Prog/ns1:Target_P8_6" xmlDataType="double"/>
    </xmlCellPr>
  </singleXmlCell>
  <singleXmlCell id="694" r="P124" connectionId="0">
    <xmlCellPr id="1" uniqueName="1">
      <xmlPr mapId="43" xpath="/ns1:Root/ns1:Prog/ns1:Target_P9_6" xmlDataType="double"/>
    </xmlCellPr>
  </singleXmlCell>
  <singleXmlCell id="695" r="Q124" connectionId="0">
    <xmlCellPr id="1" uniqueName="1">
      <xmlPr mapId="43" xpath="/ns1:Root/ns1:Prog/ns1:Target_P10_6" xmlDataType="double"/>
    </xmlCellPr>
  </singleXmlCell>
  <singleXmlCell id="696" r="R124" connectionId="0">
    <xmlCellPr id="1" uniqueName="1">
      <xmlPr mapId="43" xpath="/ns1:Root/ns1:Prog/ns1:Target_P11_6" xmlDataType="double"/>
    </xmlCellPr>
  </singleXmlCell>
  <singleXmlCell id="697" r="S124" connectionId="0">
    <xmlCellPr id="1" uniqueName="1">
      <xmlPr mapId="43" xpath="/ns1:Root/ns1:Prog/ns1:Target_P12_6" xmlDataType="double"/>
    </xmlCellPr>
  </singleXmlCell>
  <singleXmlCell id="698" r="H125" connectionId="0">
    <xmlCellPr id="1" uniqueName="1">
      <xmlPr mapId="43" xpath="/ns1:Root/ns1:Prog/ns1:Achieved__P1_6" xmlDataType="double"/>
    </xmlCellPr>
  </singleXmlCell>
  <singleXmlCell id="699" r="I125" connectionId="0">
    <xmlCellPr id="1" uniqueName="1">
      <xmlPr mapId="43" xpath="/ns1:Root/ns1:Prog/ns1:Achieved__P2_6" xmlDataType="double"/>
    </xmlCellPr>
  </singleXmlCell>
  <singleXmlCell id="700" r="J125" connectionId="0">
    <xmlCellPr id="1" uniqueName="1">
      <xmlPr mapId="43" xpath="/ns1:Root/ns1:Prog/ns1:Achieved__P3_6" xmlDataType="double"/>
    </xmlCellPr>
  </singleXmlCell>
  <singleXmlCell id="701" r="K125" connectionId="0">
    <xmlCellPr id="1" uniqueName="1">
      <xmlPr mapId="43" xpath="/ns1:Root/ns1:Prog/ns1:Achieved__P4_6" xmlDataType="double"/>
    </xmlCellPr>
  </singleXmlCell>
  <singleXmlCell id="702" r="L125" connectionId="0">
    <xmlCellPr id="1" uniqueName="1">
      <xmlPr mapId="43" xpath="/ns1:Root/ns1:Prog/ns1:Achieved__P5_6" xmlDataType="string"/>
    </xmlCellPr>
  </singleXmlCell>
  <singleXmlCell id="703" r="M125" connectionId="0">
    <xmlCellPr id="1" uniqueName="1">
      <xmlPr mapId="43" xpath="/ns1:Root/ns1:Prog/ns1:Achieved__P6_6" xmlDataType="string"/>
    </xmlCellPr>
  </singleXmlCell>
  <singleXmlCell id="704" r="N125" connectionId="0">
    <xmlCellPr id="1" uniqueName="1">
      <xmlPr mapId="43" xpath="/ns1:Root/ns1:Prog/ns1:Achieved__P7_6" xmlDataType="string"/>
    </xmlCellPr>
  </singleXmlCell>
  <singleXmlCell id="705" r="O125" connectionId="0">
    <xmlCellPr id="1" uniqueName="1">
      <xmlPr mapId="43" xpath="/ns1:Root/ns1:Prog/ns1:Achieved__P8_6" xmlDataType="string"/>
    </xmlCellPr>
  </singleXmlCell>
  <singleXmlCell id="706" r="P125" connectionId="0">
    <xmlCellPr id="1" uniqueName="1">
      <xmlPr mapId="43" xpath="/ns1:Root/ns1:Prog/ns1:Achieved__P9_6" xmlDataType="string"/>
    </xmlCellPr>
  </singleXmlCell>
  <singleXmlCell id="707" r="Q125" connectionId="0">
    <xmlCellPr id="1" uniqueName="1">
      <xmlPr mapId="43" xpath="/ns1:Root/ns1:Prog/ns1:Achieved__P10_6" xmlDataType="string"/>
    </xmlCellPr>
  </singleXmlCell>
  <singleXmlCell id="708" r="R125" connectionId="0">
    <xmlCellPr id="1" uniqueName="1">
      <xmlPr mapId="43" xpath="/ns1:Root/ns1:Prog/ns1:Achieved__P11_6" xmlDataType="string"/>
    </xmlCellPr>
  </singleXmlCell>
  <singleXmlCell id="709" r="S125" connectionId="0">
    <xmlCellPr id="1" uniqueName="1">
      <xmlPr mapId="43" xpath="/ns1:Root/ns1:Prog/ns1:Achieved__P12_6" xmlDataType="string"/>
    </xmlCellPr>
  </singleXmlCell>
  <singleXmlCell id="710" r="H126" connectionId="0">
    <xmlCellPr id="1" uniqueName="1">
      <xmlPr mapId="43" xpath="/ns1:Root/ns1:Prog/ns1:Target_P1_7" xmlDataType="double"/>
    </xmlCellPr>
  </singleXmlCell>
  <singleXmlCell id="711" r="I126" connectionId="0">
    <xmlCellPr id="1" uniqueName="1">
      <xmlPr mapId="43" xpath="/ns1:Root/ns1:Prog/ns1:Target_P2_7" xmlDataType="double"/>
    </xmlCellPr>
  </singleXmlCell>
  <singleXmlCell id="712" r="J126" connectionId="0">
    <xmlCellPr id="1" uniqueName="1">
      <xmlPr mapId="43" xpath="/ns1:Root/ns1:Prog/ns1:Target_P3_7" xmlDataType="double"/>
    </xmlCellPr>
  </singleXmlCell>
  <singleXmlCell id="713" r="K126" connectionId="0">
    <xmlCellPr id="1" uniqueName="1">
      <xmlPr mapId="43" xpath="/ns1:Root/ns1:Prog/ns1:Target_P4_7" xmlDataType="double"/>
    </xmlCellPr>
  </singleXmlCell>
  <singleXmlCell id="714" r="L126" connectionId="0">
    <xmlCellPr id="1" uniqueName="1">
      <xmlPr mapId="43" xpath="/ns1:Root/ns1:Prog/ns1:Target_P5_7" xmlDataType="double"/>
    </xmlCellPr>
  </singleXmlCell>
  <singleXmlCell id="715" r="M126" connectionId="0">
    <xmlCellPr id="1" uniqueName="1">
      <xmlPr mapId="43" xpath="/ns1:Root/ns1:Prog/ns1:Target_P6_7" xmlDataType="double"/>
    </xmlCellPr>
  </singleXmlCell>
  <singleXmlCell id="716" r="N126" connectionId="0">
    <xmlCellPr id="1" uniqueName="1">
      <xmlPr mapId="43" xpath="/ns1:Root/ns1:Prog/ns1:Target_P7_7" xmlDataType="double"/>
    </xmlCellPr>
  </singleXmlCell>
  <singleXmlCell id="717" r="O126" connectionId="0">
    <xmlCellPr id="1" uniqueName="1">
      <xmlPr mapId="43" xpath="/ns1:Root/ns1:Prog/ns1:Target_P8_7" xmlDataType="double"/>
    </xmlCellPr>
  </singleXmlCell>
  <singleXmlCell id="718" r="P126" connectionId="0">
    <xmlCellPr id="1" uniqueName="1">
      <xmlPr mapId="43" xpath="/ns1:Root/ns1:Prog/ns1:Target_P9_7" xmlDataType="double"/>
    </xmlCellPr>
  </singleXmlCell>
  <singleXmlCell id="719" r="Q126" connectionId="0">
    <xmlCellPr id="1" uniqueName="1">
      <xmlPr mapId="43" xpath="/ns1:Root/ns1:Prog/ns1:Target_P10_7" xmlDataType="double"/>
    </xmlCellPr>
  </singleXmlCell>
  <singleXmlCell id="720" r="R126" connectionId="0">
    <xmlCellPr id="1" uniqueName="1">
      <xmlPr mapId="43" xpath="/ns1:Root/ns1:Prog/ns1:Target_P11_7" xmlDataType="double"/>
    </xmlCellPr>
  </singleXmlCell>
  <singleXmlCell id="721" r="S126" connectionId="0">
    <xmlCellPr id="1" uniqueName="1">
      <xmlPr mapId="43" xpath="/ns1:Root/ns1:Prog/ns1:Target_P12_7" xmlDataType="double"/>
    </xmlCellPr>
  </singleXmlCell>
  <singleXmlCell id="722" r="H127" connectionId="0">
    <xmlCellPr id="1" uniqueName="1">
      <xmlPr mapId="43" xpath="/ns1:Root/ns1:Prog/ns1:Achieved__P1_7" xmlDataType="double"/>
    </xmlCellPr>
  </singleXmlCell>
  <singleXmlCell id="723" r="I127" connectionId="0">
    <xmlCellPr id="1" uniqueName="1">
      <xmlPr mapId="43" xpath="/ns1:Root/ns1:Prog/ns1:Achieved__P2_7" xmlDataType="double"/>
    </xmlCellPr>
  </singleXmlCell>
  <singleXmlCell id="724" r="J127" connectionId="0">
    <xmlCellPr id="1" uniqueName="1">
      <xmlPr mapId="43" xpath="/ns1:Root/ns1:Prog/ns1:Achieved__P3_7" xmlDataType="double"/>
    </xmlCellPr>
  </singleXmlCell>
  <singleXmlCell id="725" r="K127" connectionId="0">
    <xmlCellPr id="1" uniqueName="1">
      <xmlPr mapId="43" xpath="/ns1:Root/ns1:Prog/ns1:Achieved__P4_7" xmlDataType="double"/>
    </xmlCellPr>
  </singleXmlCell>
  <singleXmlCell id="726" r="L127" connectionId="0">
    <xmlCellPr id="1" uniqueName="1">
      <xmlPr mapId="43" xpath="/ns1:Root/ns1:Prog/ns1:Achieved__P5_7" xmlDataType="string"/>
    </xmlCellPr>
  </singleXmlCell>
  <singleXmlCell id="727" r="M127" connectionId="0">
    <xmlCellPr id="1" uniqueName="1">
      <xmlPr mapId="43" xpath="/ns1:Root/ns1:Prog/ns1:Achieved__P6_7" xmlDataType="string"/>
    </xmlCellPr>
  </singleXmlCell>
  <singleXmlCell id="728" r="N127" connectionId="0">
    <xmlCellPr id="1" uniqueName="1">
      <xmlPr mapId="43" xpath="/ns1:Root/ns1:Prog/ns1:Achieved__P7_7" xmlDataType="string"/>
    </xmlCellPr>
  </singleXmlCell>
  <singleXmlCell id="729" r="O127" connectionId="0">
    <xmlCellPr id="1" uniqueName="1">
      <xmlPr mapId="43" xpath="/ns1:Root/ns1:Prog/ns1:Achieved__P8_7" xmlDataType="string"/>
    </xmlCellPr>
  </singleXmlCell>
  <singleXmlCell id="730" r="P127" connectionId="0">
    <xmlCellPr id="1" uniqueName="1">
      <xmlPr mapId="43" xpath="/ns1:Root/ns1:Prog/ns1:Achieved__P9_7" xmlDataType="string"/>
    </xmlCellPr>
  </singleXmlCell>
  <singleXmlCell id="731" r="Q127" connectionId="0">
    <xmlCellPr id="1" uniqueName="1">
      <xmlPr mapId="43" xpath="/ns1:Root/ns1:Prog/ns1:Achieved__P10_7" xmlDataType="string"/>
    </xmlCellPr>
  </singleXmlCell>
  <singleXmlCell id="732" r="R127" connectionId="0">
    <xmlCellPr id="1" uniqueName="1">
      <xmlPr mapId="43" xpath="/ns1:Root/ns1:Prog/ns1:Achieved__P11_7" xmlDataType="string"/>
    </xmlCellPr>
  </singleXmlCell>
  <singleXmlCell id="733" r="S127" connectionId="0">
    <xmlCellPr id="1" uniqueName="1">
      <xmlPr mapId="43" xpath="/ns1:Root/ns1:Prog/ns1:Achieved__P12_7" xmlDataType="string"/>
    </xmlCellPr>
  </singleXmlCell>
  <singleXmlCell id="734" r="H128" connectionId="0">
    <xmlCellPr id="1" uniqueName="1">
      <xmlPr mapId="43" xpath="/ns1:Root/ns1:Prog/ns1:Target_P1_8" xmlDataType="string"/>
    </xmlCellPr>
  </singleXmlCell>
  <singleXmlCell id="735" r="I128" connectionId="0">
    <xmlCellPr id="1" uniqueName="1">
      <xmlPr mapId="43" xpath="/ns1:Root/ns1:Prog/ns1:Target_P2_8" xmlDataType="double"/>
    </xmlCellPr>
  </singleXmlCell>
  <singleXmlCell id="736" r="J128" connectionId="0">
    <xmlCellPr id="1" uniqueName="1">
      <xmlPr mapId="43" xpath="/ns1:Root/ns1:Prog/ns1:Target_P3_8" xmlDataType="string"/>
    </xmlCellPr>
  </singleXmlCell>
  <singleXmlCell id="737" r="K128" connectionId="0">
    <xmlCellPr id="1" uniqueName="1">
      <xmlPr mapId="43" xpath="/ns1:Root/ns1:Prog/ns1:Target_P4_8" xmlDataType="double"/>
    </xmlCellPr>
  </singleXmlCell>
  <singleXmlCell id="738" r="L128" connectionId="0">
    <xmlCellPr id="1" uniqueName="1">
      <xmlPr mapId="43" xpath="/ns1:Root/ns1:Prog/ns1:Target_P5_8" xmlDataType="string"/>
    </xmlCellPr>
  </singleXmlCell>
  <singleXmlCell id="739" r="M128" connectionId="0">
    <xmlCellPr id="1" uniqueName="1">
      <xmlPr mapId="43" xpath="/ns1:Root/ns1:Prog/ns1:Target_P6_8" xmlDataType="double"/>
    </xmlCellPr>
  </singleXmlCell>
  <singleXmlCell id="740" r="N128" connectionId="0">
    <xmlCellPr id="1" uniqueName="1">
      <xmlPr mapId="43" xpath="/ns1:Root/ns1:Prog/ns1:Target_P7_8" xmlDataType="string"/>
    </xmlCellPr>
  </singleXmlCell>
  <singleXmlCell id="741" r="O128" connectionId="0">
    <xmlCellPr id="1" uniqueName="1">
      <xmlPr mapId="43" xpath="/ns1:Root/ns1:Prog/ns1:Target_P8_8" xmlDataType="double"/>
    </xmlCellPr>
  </singleXmlCell>
  <singleXmlCell id="742" r="P128" connectionId="0">
    <xmlCellPr id="1" uniqueName="1">
      <xmlPr mapId="43" xpath="/ns1:Root/ns1:Prog/ns1:Target_P9_8" xmlDataType="double"/>
    </xmlCellPr>
  </singleXmlCell>
  <singleXmlCell id="743" r="Q128" connectionId="0">
    <xmlCellPr id="1" uniqueName="1">
      <xmlPr mapId="43" xpath="/ns1:Root/ns1:Prog/ns1:Target_P10_8" xmlDataType="double"/>
    </xmlCellPr>
  </singleXmlCell>
  <singleXmlCell id="744" r="R128" connectionId="0">
    <xmlCellPr id="1" uniqueName="1">
      <xmlPr mapId="43" xpath="/ns1:Root/ns1:Prog/ns1:Target_P11_8" xmlDataType="double"/>
    </xmlCellPr>
  </singleXmlCell>
  <singleXmlCell id="745" r="S128" connectionId="0">
    <xmlCellPr id="1" uniqueName="1">
      <xmlPr mapId="43" xpath="/ns1:Root/ns1:Prog/ns1:Target_P12_8" xmlDataType="double"/>
    </xmlCellPr>
  </singleXmlCell>
  <singleXmlCell id="746" r="H129" connectionId="0">
    <xmlCellPr id="1" uniqueName="1">
      <xmlPr mapId="43" xpath="/ns1:Root/ns1:Prog/ns1:Achieved__P1_8" xmlDataType="string"/>
    </xmlCellPr>
  </singleXmlCell>
  <singleXmlCell id="747" r="I129" connectionId="0">
    <xmlCellPr id="1" uniqueName="1">
      <xmlPr mapId="43" xpath="/ns1:Root/ns1:Prog/ns1:Achieved__P2_8" xmlDataType="string"/>
    </xmlCellPr>
  </singleXmlCell>
  <singleXmlCell id="748" r="J129" connectionId="0">
    <xmlCellPr id="1" uniqueName="1">
      <xmlPr mapId="43" xpath="/ns1:Root/ns1:Prog/ns1:Achieved__P3_8" xmlDataType="string"/>
    </xmlCellPr>
  </singleXmlCell>
  <singleXmlCell id="749" r="K129" connectionId="0">
    <xmlCellPr id="1" uniqueName="1">
      <xmlPr mapId="43" xpath="/ns1:Root/ns1:Prog/ns1:Achieved__P4_8" xmlDataType="string"/>
    </xmlCellPr>
  </singleXmlCell>
  <singleXmlCell id="750" r="L129" connectionId="0">
    <xmlCellPr id="1" uniqueName="1">
      <xmlPr mapId="43" xpath="/ns1:Root/ns1:Prog/ns1:Achieved__P5_8" xmlDataType="string"/>
    </xmlCellPr>
  </singleXmlCell>
  <singleXmlCell id="751" r="M129" connectionId="0">
    <xmlCellPr id="1" uniqueName="1">
      <xmlPr mapId="43" xpath="/ns1:Root/ns1:Prog/ns1:Achieved__P6_8" xmlDataType="string"/>
    </xmlCellPr>
  </singleXmlCell>
  <singleXmlCell id="752" r="N129" connectionId="0">
    <xmlCellPr id="1" uniqueName="1">
      <xmlPr mapId="43" xpath="/ns1:Root/ns1:Prog/ns1:Achieved__P7_8" xmlDataType="string"/>
    </xmlCellPr>
  </singleXmlCell>
  <singleXmlCell id="753" r="O129" connectionId="0">
    <xmlCellPr id="1" uniqueName="1">
      <xmlPr mapId="43" xpath="/ns1:Root/ns1:Prog/ns1:Achieved__P8_8" xmlDataType="string"/>
    </xmlCellPr>
  </singleXmlCell>
  <singleXmlCell id="754" r="P129" connectionId="0">
    <xmlCellPr id="1" uniqueName="1">
      <xmlPr mapId="43" xpath="/ns1:Root/ns1:Prog/ns1:Achieved__P9_8" xmlDataType="string"/>
    </xmlCellPr>
  </singleXmlCell>
  <singleXmlCell id="755" r="Q129" connectionId="0">
    <xmlCellPr id="1" uniqueName="1">
      <xmlPr mapId="43" xpath="/ns1:Root/ns1:Prog/ns1:Achieved__P10_8" xmlDataType="string"/>
    </xmlCellPr>
  </singleXmlCell>
  <singleXmlCell id="756" r="R129" connectionId="0">
    <xmlCellPr id="1" uniqueName="1">
      <xmlPr mapId="43" xpath="/ns1:Root/ns1:Prog/ns1:Achieved__P11_8" xmlDataType="string"/>
    </xmlCellPr>
  </singleXmlCell>
  <singleXmlCell id="757" r="S129" connectionId="0">
    <xmlCellPr id="1" uniqueName="1">
      <xmlPr mapId="43" xpath="/ns1:Root/ns1:Prog/ns1:Achieved__P12_8" xmlDataType="string"/>
    </xmlCellPr>
  </singleXmlCell>
  <singleXmlCell id="758" r="H130" connectionId="0">
    <xmlCellPr id="1" uniqueName="1">
      <xmlPr mapId="43" xpath="/ns1:Root/ns1:Prog/ns1:Target_P1_9" xmlDataType="double"/>
    </xmlCellPr>
  </singleXmlCell>
  <singleXmlCell id="759" r="I130" connectionId="0">
    <xmlCellPr id="1" uniqueName="1">
      <xmlPr mapId="43" xpath="/ns1:Root/ns1:Prog/ns1:Target_P2_9" xmlDataType="double"/>
    </xmlCellPr>
  </singleXmlCell>
  <singleXmlCell id="760" r="J130" connectionId="0">
    <xmlCellPr id="1" uniqueName="1">
      <xmlPr mapId="43" xpath="/ns1:Root/ns1:Prog/ns1:Target_P3_9" xmlDataType="double"/>
    </xmlCellPr>
  </singleXmlCell>
  <singleXmlCell id="761" r="K130" connectionId="0">
    <xmlCellPr id="1" uniqueName="1">
      <xmlPr mapId="43" xpath="/ns1:Root/ns1:Prog/ns1:Target_P4_9" xmlDataType="double"/>
    </xmlCellPr>
  </singleXmlCell>
  <singleXmlCell id="762" r="L130" connectionId="0">
    <xmlCellPr id="1" uniqueName="1">
      <xmlPr mapId="43" xpath="/ns1:Root/ns1:Prog/ns1:Target_P5_9" xmlDataType="double"/>
    </xmlCellPr>
  </singleXmlCell>
  <singleXmlCell id="763" r="M130" connectionId="0">
    <xmlCellPr id="1" uniqueName="1">
      <xmlPr mapId="43" xpath="/ns1:Root/ns1:Prog/ns1:Target_P6_9" xmlDataType="double"/>
    </xmlCellPr>
  </singleXmlCell>
  <singleXmlCell id="764" r="N130" connectionId="0">
    <xmlCellPr id="1" uniqueName="1">
      <xmlPr mapId="43" xpath="/ns1:Root/ns1:Prog/ns1:Target_P7_9" xmlDataType="double"/>
    </xmlCellPr>
  </singleXmlCell>
  <singleXmlCell id="765" r="O130" connectionId="0">
    <xmlCellPr id="1" uniqueName="1">
      <xmlPr mapId="43" xpath="/ns1:Root/ns1:Prog/ns1:Target_P8_9" xmlDataType="double"/>
    </xmlCellPr>
  </singleXmlCell>
  <singleXmlCell id="766" r="P130" connectionId="0">
    <xmlCellPr id="1" uniqueName="1">
      <xmlPr mapId="43" xpath="/ns1:Root/ns1:Prog/ns1:Target_P9_9" xmlDataType="double"/>
    </xmlCellPr>
  </singleXmlCell>
  <singleXmlCell id="767" r="Q130" connectionId="0">
    <xmlCellPr id="1" uniqueName="1">
      <xmlPr mapId="43" xpath="/ns1:Root/ns1:Prog/ns1:Target_P10_9" xmlDataType="double"/>
    </xmlCellPr>
  </singleXmlCell>
  <singleXmlCell id="768" r="R130" connectionId="0">
    <xmlCellPr id="1" uniqueName="1">
      <xmlPr mapId="43" xpath="/ns1:Root/ns1:Prog/ns1:Target_P11_9" xmlDataType="double"/>
    </xmlCellPr>
  </singleXmlCell>
  <singleXmlCell id="769" r="S130" connectionId="0">
    <xmlCellPr id="1" uniqueName="1">
      <xmlPr mapId="43" xpath="/ns1:Root/ns1:Prog/ns1:Target_P12_9" xmlDataType="double"/>
    </xmlCellPr>
  </singleXmlCell>
  <singleXmlCell id="770" r="H131" connectionId="0">
    <xmlCellPr id="1" uniqueName="1">
      <xmlPr mapId="43" xpath="/ns1:Root/ns1:Prog/ns1:Achieved__P1_9" xmlDataType="string"/>
    </xmlCellPr>
  </singleXmlCell>
  <singleXmlCell id="771" r="I131" connectionId="0">
    <xmlCellPr id="1" uniqueName="1">
      <xmlPr mapId="43" xpath="/ns1:Root/ns1:Prog/ns1:Achieved__P2_9" xmlDataType="double"/>
    </xmlCellPr>
  </singleXmlCell>
  <singleXmlCell id="772" r="J131" connectionId="0">
    <xmlCellPr id="1" uniqueName="1">
      <xmlPr mapId="43" xpath="/ns1:Root/ns1:Prog/ns1:Achieved__P3_9" xmlDataType="string"/>
    </xmlCellPr>
  </singleXmlCell>
  <singleXmlCell id="773" r="K131" connectionId="0">
    <xmlCellPr id="1" uniqueName="1">
      <xmlPr mapId="43" xpath="/ns1:Root/ns1:Prog/ns1:Achieved__P4_9" xmlDataType="double"/>
    </xmlCellPr>
  </singleXmlCell>
  <singleXmlCell id="774" r="L131" connectionId="0">
    <xmlCellPr id="1" uniqueName="1">
      <xmlPr mapId="43" xpath="/ns1:Root/ns1:Prog/ns1:Achieved__P5_9" xmlDataType="string"/>
    </xmlCellPr>
  </singleXmlCell>
  <singleXmlCell id="775" r="M131" connectionId="0">
    <xmlCellPr id="1" uniqueName="1">
      <xmlPr mapId="43" xpath="/ns1:Root/ns1:Prog/ns1:Achieved__P6_9" xmlDataType="string"/>
    </xmlCellPr>
  </singleXmlCell>
  <singleXmlCell id="776" r="N131" connectionId="0">
    <xmlCellPr id="1" uniqueName="1">
      <xmlPr mapId="43" xpath="/ns1:Root/ns1:Prog/ns1:Achieved__P7_9" xmlDataType="string"/>
    </xmlCellPr>
  </singleXmlCell>
  <singleXmlCell id="777" r="O131" connectionId="0">
    <xmlCellPr id="1" uniqueName="1">
      <xmlPr mapId="43" xpath="/ns1:Root/ns1:Prog/ns1:Achieved__P8_9" xmlDataType="string"/>
    </xmlCellPr>
  </singleXmlCell>
  <singleXmlCell id="778" r="P131" connectionId="0">
    <xmlCellPr id="1" uniqueName="1">
      <xmlPr mapId="43" xpath="/ns1:Root/ns1:Prog/ns1:Achieved__P9_9" xmlDataType="string"/>
    </xmlCellPr>
  </singleXmlCell>
  <singleXmlCell id="779" r="Q131" connectionId="0">
    <xmlCellPr id="1" uniqueName="1">
      <xmlPr mapId="43" xpath="/ns1:Root/ns1:Prog/ns1:Achieved__P10_9" xmlDataType="string"/>
    </xmlCellPr>
  </singleXmlCell>
  <singleXmlCell id="780" r="R131" connectionId="0">
    <xmlCellPr id="1" uniqueName="1">
      <xmlPr mapId="43" xpath="/ns1:Root/ns1:Prog/ns1:Achieved__P11_9" xmlDataType="string"/>
    </xmlCellPr>
  </singleXmlCell>
  <singleXmlCell id="781" r="S131" connectionId="0">
    <xmlCellPr id="1" uniqueName="1">
      <xmlPr mapId="43" xpath="/ns1:Root/ns1:Prog/ns1:Achieved__P12_9" xmlDataType="string"/>
    </xmlCellPr>
  </singleXmlCell>
  <singleXmlCell id="806" r="K116" connectionId="0">
    <xmlCellPr id="1" uniqueName="1">
      <xmlPr mapId="43" xpath="/ns1:Root/ns1:Prog/ns1:Target_P4_2" xmlDataType="double"/>
    </xmlCellPr>
  </singleXmlCell>
  <singleXmlCell id="807" r="B114" connectionId="0">
    <xmlCellPr id="1" uniqueName="1">
      <xmlPr mapId="43" xpath="/ns1:Root/ns1:P1" xmlDataType="string"/>
    </xmlCellPr>
  </singleXmlCell>
  <singleXmlCell id="808" r="E114" connectionId="0">
    <xmlCellPr id="1" uniqueName="1">
      <xmlPr mapId="43" xpath="/ns1:Root/ns1:P1_Code" xmlDataType="double"/>
    </xmlCellPr>
  </singleXmlCell>
  <singleXmlCell id="809" r="F114" connectionId="0">
    <xmlCellPr id="1" uniqueName="1">
      <xmlPr mapId="43" xpath="/ns1:Root/ns1:P1_Tied" xmlDataType="string"/>
    </xmlCellPr>
  </singleXmlCell>
  <singleXmlCell id="810" r="B116" connectionId="0">
    <xmlCellPr id="1" uniqueName="1">
      <xmlPr mapId="43" xpath="/ns1:Root/ns1:P2" xmlDataType="string"/>
    </xmlCellPr>
  </singleXmlCell>
  <singleXmlCell id="811" r="E116" connectionId="0">
    <xmlCellPr id="1" uniqueName="1">
      <xmlPr mapId="43" xpath="/ns1:Root/ns1:P2_Code" xmlDataType="double"/>
    </xmlCellPr>
  </singleXmlCell>
  <singleXmlCell id="812" r="F116" connectionId="0">
    <xmlCellPr id="1" uniqueName="1">
      <xmlPr mapId="43" xpath="/ns1:Root/ns1:P2_Tied" xmlDataType="string"/>
    </xmlCellPr>
  </singleXmlCell>
  <singleXmlCell id="813" r="B118" connectionId="0">
    <xmlCellPr id="1" uniqueName="1">
      <xmlPr mapId="43" xpath="/ns1:Root/ns1:P3" xmlDataType="string"/>
    </xmlCellPr>
  </singleXmlCell>
  <singleXmlCell id="814" r="E118" connectionId="0">
    <xmlCellPr id="1" uniqueName="1">
      <xmlPr mapId="43" xpath="/ns1:Root/ns1:P3_Code" xmlDataType="double"/>
    </xmlCellPr>
  </singleXmlCell>
  <singleXmlCell id="815" r="F118" connectionId="0">
    <xmlCellPr id="1" uniqueName="1">
      <xmlPr mapId="43" xpath="/ns1:Root/ns1:P3_Tied" xmlDataType="string"/>
    </xmlCellPr>
  </singleXmlCell>
  <singleXmlCell id="816" r="B120" connectionId="0">
    <xmlCellPr id="1" uniqueName="1">
      <xmlPr mapId="43" xpath="/ns1:Root/ns1:P4" xmlDataType="string"/>
    </xmlCellPr>
  </singleXmlCell>
  <singleXmlCell id="817" r="E120" connectionId="0">
    <xmlCellPr id="1" uniqueName="1">
      <xmlPr mapId="43" xpath="/ns1:Root/ns1:P4_Code" xmlDataType="double"/>
    </xmlCellPr>
  </singleXmlCell>
  <singleXmlCell id="818" r="F120" connectionId="0">
    <xmlCellPr id="1" uniqueName="1">
      <xmlPr mapId="43" xpath="/ns1:Root/ns1:P4_Tied" xmlDataType="string"/>
    </xmlCellPr>
  </singleXmlCell>
  <singleXmlCell id="819" r="B122" connectionId="0">
    <xmlCellPr id="1" uniqueName="1">
      <xmlPr mapId="43" xpath="/ns1:Root/ns1:P5" xmlDataType="string"/>
    </xmlCellPr>
  </singleXmlCell>
  <singleXmlCell id="820" r="E122" connectionId="0">
    <xmlCellPr id="1" uniqueName="1">
      <xmlPr mapId="43" xpath="/ns1:Root/ns1:P5_Code" xmlDataType="double"/>
    </xmlCellPr>
  </singleXmlCell>
  <singleXmlCell id="821" r="F122" connectionId="0">
    <xmlCellPr id="1" uniqueName="1">
      <xmlPr mapId="43" xpath="/ns1:Root/ns1:P5_Tied" xmlDataType="string"/>
    </xmlCellPr>
  </singleXmlCell>
  <singleXmlCell id="822" r="B124" connectionId="0">
    <xmlCellPr id="1" uniqueName="1">
      <xmlPr mapId="43" xpath="/ns1:Root/ns1:P6" xmlDataType="string"/>
    </xmlCellPr>
  </singleXmlCell>
  <singleXmlCell id="823" r="E124" connectionId="0">
    <xmlCellPr id="1" uniqueName="1">
      <xmlPr mapId="43" xpath="/ns1:Root/ns1:P6_Code" xmlDataType="double"/>
    </xmlCellPr>
  </singleXmlCell>
  <singleXmlCell id="824" r="F124" connectionId="0">
    <xmlCellPr id="1" uniqueName="1">
      <xmlPr mapId="43" xpath="/ns1:Root/ns1:P6_Tied" xmlDataType="string"/>
    </xmlCellPr>
  </singleXmlCell>
  <singleXmlCell id="825" r="B126" connectionId="0">
    <xmlCellPr id="1" uniqueName="1">
      <xmlPr mapId="43" xpath="/ns1:Root/ns1:P7" xmlDataType="string"/>
    </xmlCellPr>
  </singleXmlCell>
  <singleXmlCell id="826" r="E126" connectionId="0">
    <xmlCellPr id="1" uniqueName="1">
      <xmlPr mapId="43" xpath="/ns1:Root/ns1:P7_Code" xmlDataType="double"/>
    </xmlCellPr>
  </singleXmlCell>
  <singleXmlCell id="827" r="F126" connectionId="0">
    <xmlCellPr id="1" uniqueName="1">
      <xmlPr mapId="43" xpath="/ns1:Root/ns1:P7_Tied" xmlDataType="string"/>
    </xmlCellPr>
  </singleXmlCell>
  <singleXmlCell id="828" r="B128" connectionId="0">
    <xmlCellPr id="1" uniqueName="1">
      <xmlPr mapId="43" xpath="/ns1:Root/ns1:P8" xmlDataType="string"/>
    </xmlCellPr>
  </singleXmlCell>
  <singleXmlCell id="829" r="E128" connectionId="0">
    <xmlCellPr id="1" uniqueName="1">
      <xmlPr mapId="43" xpath="/ns1:Root/ns1:P8_Code" xmlDataType="double"/>
    </xmlCellPr>
  </singleXmlCell>
  <singleXmlCell id="830" r="F128" connectionId="0">
    <xmlCellPr id="1" uniqueName="1">
      <xmlPr mapId="43" xpath="/ns1:Root/ns1:P8_Tied" xmlDataType="string"/>
    </xmlCellPr>
  </singleXmlCell>
  <singleXmlCell id="831" r="B130" connectionId="0">
    <xmlCellPr id="1" uniqueName="1">
      <xmlPr mapId="43" xpath="/ns1:Root/ns1:P9" xmlDataType="string"/>
    </xmlCellPr>
  </singleXmlCell>
  <singleXmlCell id="832" r="E130" connectionId="0">
    <xmlCellPr id="1" uniqueName="1">
      <xmlPr mapId="43" xpath="/ns1:Root/ns1:P9_Code" xmlDataType="double"/>
    </xmlCellPr>
  </singleXmlCell>
  <singleXmlCell id="833" r="F130" connectionId="0">
    <xmlCellPr id="1" uniqueName="1">
      <xmlPr mapId="43" xpath="/ns1:Root/ns1:P9_Tied" xmlDataType="double"/>
    </xmlCellPr>
  </singleXmlCell>
  <singleXmlCell id="837" r="D26" connectionId="0">
    <xmlCellPr id="1" uniqueName="1">
      <xmlPr mapId="43" xpath="/ns1:Root/ns1:Currency" xmlDataType="string"/>
    </xmlCellPr>
  </singleXmlCell>
  <singleXmlCell id="573" r="N114" connectionId="0">
    <xmlCellPr id="1" uniqueName="1">
      <xmlPr mapId="43" xpath="/ns1:Root/ns1:Prog/ns1:Target_P7_1" xmlDataType="double"/>
    </xmlCellPr>
  </singleXmlCell>
  <singleXmlCell id="574" r="O114" connectionId="0">
    <xmlCellPr id="1" uniqueName="1">
      <xmlPr mapId="43" xpath="/ns1:Root/ns1:Prog/ns1:Target_P8_1" xmlDataType="double"/>
    </xmlCellPr>
  </singleXmlCell>
  <singleXmlCell id="575" r="P114" connectionId="0">
    <xmlCellPr id="1" uniqueName="1">
      <xmlPr mapId="43" xpath="/ns1:Root/ns1:Prog/ns1:Target_P9_1" xmlDataType="double"/>
    </xmlCellPr>
  </singleXmlCell>
  <singleXmlCell id="576" r="Q114" connectionId="0">
    <xmlCellPr id="1" uniqueName="1">
      <xmlPr mapId="43" xpath="/ns1:Root/ns1:Prog/ns1:Target_P10_1" xmlDataType="double"/>
    </xmlCellPr>
  </singleXmlCell>
  <singleXmlCell id="577" r="R114" connectionId="0">
    <xmlCellPr id="1" uniqueName="1">
      <xmlPr mapId="43" xpath="/ns1:Root/ns1:Prog/ns1:Target_P11_1" xmlDataType="double"/>
    </xmlCellPr>
  </singleXmlCell>
  <singleXmlCell id="578" r="S114" connectionId="0">
    <xmlCellPr id="1" uniqueName="1">
      <xmlPr mapId="43" xpath="/ns1:Root/ns1:Prog/ns1:Target_P12_1" xmlDataType="double"/>
    </xmlCellPr>
  </singleXmlCell>
  <singleXmlCell id="585" r="N115" connectionId="0">
    <xmlCellPr id="1" uniqueName="1">
      <xmlPr mapId="43" xpath="/ns1:Root/ns1:Prog/ns1:Achieved__P7_1" xmlDataType="string"/>
    </xmlCellPr>
  </singleXmlCell>
  <singleXmlCell id="586" r="O115" connectionId="0">
    <xmlCellPr id="1" uniqueName="1">
      <xmlPr mapId="43" xpath="/ns1:Root/ns1:Prog/ns1:Achieved__P8_1" xmlDataType="string"/>
    </xmlCellPr>
  </singleXmlCell>
  <singleXmlCell id="587" r="P115" connectionId="0">
    <xmlCellPr id="1" uniqueName="1">
      <xmlPr mapId="43" xpath="/ns1:Root/ns1:Prog/ns1:Achieved__P9_1" xmlDataType="string"/>
    </xmlCellPr>
  </singleXmlCell>
  <singleXmlCell id="588" r="Q115" connectionId="0">
    <xmlCellPr id="1" uniqueName="1">
      <xmlPr mapId="43" xpath="/ns1:Root/ns1:Prog/ns1:Achieved__P10_1" xmlDataType="string"/>
    </xmlCellPr>
  </singleXmlCell>
  <singleXmlCell id="589" r="R115" connectionId="0">
    <xmlCellPr id="1" uniqueName="1">
      <xmlPr mapId="43" xpath="/ns1:Root/ns1:Prog/ns1:Achieved__P11_1" xmlDataType="string"/>
    </xmlCellPr>
  </singleXmlCell>
  <singleXmlCell id="590" r="S115" connectionId="0">
    <xmlCellPr id="1" uniqueName="1">
      <xmlPr mapId="43" xpath="/ns1:Root/ns1:Prog/ns1:Achieved__P12_1" xmlDataType="string"/>
    </xmlCellPr>
  </singleXmlCell>
  <singleXmlCell id="452" r="G32" connectionId="0">
    <xmlCellPr id="1" uniqueName="1">
      <xmlPr mapId="43" xpath="/ns1:Root/ns1:F1/ns1:Disbursements_by_GF__in____P5" xmlDataType="string"/>
    </xmlCellPr>
  </singleXmlCell>
  <singleXmlCell id="451" r="F32" connectionId="0">
    <xmlCellPr id="1" uniqueName="1">
      <xmlPr mapId="43" xpath="/ns1:Root/ns1:F1/ns1:Disbursements_by_GF__in____P4" xmlDataType="string"/>
    </xmlCellPr>
  </singleXmlCell>
  <singleXmlCell id="450" r="E32" connectionId="0">
    <xmlCellPr id="1" uniqueName="1">
      <xmlPr mapId="43" xpath="/ns1:Root/ns1:F1/ns1:Disbursements_by_GF__in____P3" xmlDataType="string"/>
    </xmlCellPr>
  </singleXmlCell>
  <singleXmlCell id="449" r="D32" connectionId="0">
    <xmlCellPr id="1" uniqueName="1">
      <xmlPr mapId="43" xpath="/ns1:Root/ns1:F1/ns1:Disbursements_by_GF__in____P2" xmlDataType="double"/>
    </xmlCellPr>
  </singleXmlCell>
  <singleXmlCell id="448" r="C32" connectionId="0">
    <xmlCellPr id="1" uniqueName="1">
      <xmlPr mapId="43" xpath="/ns1:Root/ns1:F1/ns1:Disbursements_by_GF__in____P1" xmlDataType="double"/>
    </xmlCellPr>
  </singleXmlCell>
  <singleXmlCell id="440" r="G31" connectionId="0">
    <xmlCellPr id="1" uniqueName="1">
      <xmlPr mapId="43" xpath="/ns1:Root/ns1:F1/ns1:Budget__in____P5" xmlDataType="string"/>
    </xmlCellPr>
  </singleXmlCell>
  <singleXmlCell id="439" r="F31" connectionId="0">
    <xmlCellPr id="1" uniqueName="1">
      <xmlPr mapId="43" xpath="/ns1:Root/ns1:F1/ns1:Budget__in____P4" xmlDataType="string"/>
    </xmlCellPr>
  </singleXmlCell>
  <singleXmlCell id="438" r="E31" connectionId="0">
    <xmlCellPr id="1" uniqueName="1">
      <xmlPr mapId="43" xpath="/ns1:Root/ns1:F1/ns1:Budget__in____P3" xmlDataType="string"/>
    </xmlCellPr>
  </singleXmlCell>
  <singleXmlCell id="437" r="D31" connectionId="0">
    <xmlCellPr id="1" uniqueName="1">
      <xmlPr mapId="43" xpath="/ns1:Root/ns1:F1/ns1:Budget__in____P2" xmlDataType="double"/>
    </xmlCellPr>
  </singleXmlCell>
  <singleXmlCell id="436" r="C31" connectionId="0">
    <xmlCellPr id="1" uniqueName="1">
      <xmlPr mapId="43" xpath="/ns1:Root/ns1:F1/ns1:Budget__in____P1" xmlDataType="double"/>
    </xmlCellPr>
  </singleXmlCell>
  <singleXmlCell id="469" r="D42" connectionId="0">
    <xmlCellPr id="1" uniqueName="1">
      <xmlPr mapId="43" xpath="/ns1:Root/ns1:F2/ns1:Environ__Community_TB_care__Cumulative_Expenditures__in___" xmlDataType="double"/>
    </xmlCellPr>
  </singleXmlCell>
  <singleXmlCell id="468" r="C42" connectionId="0">
    <xmlCellPr id="1" uniqueName="1">
      <xmlPr mapId="43" xpath="/ns1:Root/ns1:F2/ns1:Environ__Community_TB_care__Cumulative_Budget__in___"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498" t="str">
        <f>+'Grant Detail'!B3:J3</f>
        <v>Dashboard:  Moldova - HIV / AIDS</v>
      </c>
      <c r="C2" s="498"/>
      <c r="D2" s="498"/>
      <c r="E2" s="498"/>
      <c r="F2" s="498"/>
      <c r="G2" s="498"/>
      <c r="H2" s="498"/>
      <c r="I2" s="498"/>
      <c r="J2" s="498"/>
      <c r="K2" s="498"/>
      <c r="L2" s="498"/>
      <c r="M2" s="1"/>
      <c r="N2" s="1"/>
      <c r="O2" s="1"/>
    </row>
    <row r="4" spans="2:15" ht="21">
      <c r="B4" s="499" t="str">
        <f>+IF('Data Entry'!G6="Please Select", "",'Data Entry'!G6) &amp;"  "&amp;+IF('Data Entry'!G8="Please Select", "", 'Data Entry'!G8&amp;",  ")&amp;+IF('Data Entry'!I8="Please Select","",'Data Entry'!I8)</f>
        <v xml:space="preserve">HIV / AIDS  SSF (Round 8),  Piriod 2 </v>
      </c>
      <c r="C4" s="499"/>
      <c r="D4" s="499"/>
      <c r="E4" s="500"/>
      <c r="F4" s="225"/>
      <c r="G4" s="225"/>
      <c r="H4" s="330" t="str">
        <f>+'Data Entry'!B6&amp;" "&amp;+'Data Entry'!C6</f>
        <v>Grant No.: MOL-H-PAS</v>
      </c>
      <c r="I4" s="330"/>
      <c r="J4" s="224"/>
      <c r="K4" s="225"/>
      <c r="L4" s="225"/>
    </row>
    <row r="22" spans="2:12" ht="26.25">
      <c r="B22" s="501" t="s">
        <v>410</v>
      </c>
      <c r="C22" s="502"/>
      <c r="D22" s="502"/>
      <c r="E22" s="502"/>
      <c r="F22" s="502"/>
      <c r="G22" s="502"/>
      <c r="H22" s="502"/>
      <c r="I22" s="502"/>
      <c r="J22" s="502"/>
      <c r="K22" s="502"/>
      <c r="L22" s="502"/>
    </row>
  </sheetData>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876" t="str">
        <f>'Grant Detail'!B3:J3</f>
        <v>Dashboard:  Moldova - HIV / AIDS</v>
      </c>
      <c r="C3" s="876"/>
      <c r="D3" s="876"/>
      <c r="E3" s="876"/>
      <c r="F3" s="876"/>
      <c r="G3" s="876"/>
      <c r="H3" s="876"/>
      <c r="I3" s="1"/>
    </row>
    <row r="6" spans="2:15" ht="18.75">
      <c r="B6" s="851" t="s">
        <v>323</v>
      </c>
      <c r="C6" s="851"/>
      <c r="D6" s="851"/>
      <c r="E6" s="851"/>
      <c r="F6" s="851"/>
      <c r="G6" s="851"/>
      <c r="H6" s="851"/>
    </row>
    <row r="8" spans="2:15" ht="18.75">
      <c r="B8" s="60" t="s">
        <v>38</v>
      </c>
      <c r="C8" s="60" t="s">
        <v>41</v>
      </c>
      <c r="D8" s="60" t="s">
        <v>42</v>
      </c>
      <c r="E8" s="60" t="s">
        <v>47</v>
      </c>
      <c r="F8" s="60" t="s">
        <v>291</v>
      </c>
      <c r="G8" s="60" t="s">
        <v>270</v>
      </c>
      <c r="H8" s="60" t="s">
        <v>298</v>
      </c>
      <c r="I8" s="61" t="s">
        <v>93</v>
      </c>
      <c r="J8" s="61" t="s">
        <v>134</v>
      </c>
      <c r="M8" s="19"/>
      <c r="N8" s="19"/>
      <c r="O8" s="19"/>
    </row>
    <row r="9" spans="2:15">
      <c r="B9" s="84" t="s">
        <v>377</v>
      </c>
      <c r="C9" s="84" t="s">
        <v>377</v>
      </c>
      <c r="D9" s="84" t="s">
        <v>377</v>
      </c>
      <c r="E9" s="84" t="s">
        <v>377</v>
      </c>
      <c r="F9" s="84" t="s">
        <v>377</v>
      </c>
      <c r="G9" s="84" t="s">
        <v>377</v>
      </c>
      <c r="H9" s="84" t="s">
        <v>377</v>
      </c>
      <c r="I9" s="385" t="s">
        <v>377</v>
      </c>
      <c r="J9" s="84" t="s">
        <v>377</v>
      </c>
      <c r="M9" s="19"/>
      <c r="N9" s="19"/>
      <c r="O9" s="19"/>
    </row>
    <row r="10" spans="2:15">
      <c r="B10" s="55" t="s">
        <v>33</v>
      </c>
      <c r="C10" s="55" t="s">
        <v>24</v>
      </c>
      <c r="D10" s="55" t="s">
        <v>22</v>
      </c>
      <c r="E10" s="55" t="s">
        <v>23</v>
      </c>
      <c r="F10" s="55" t="s">
        <v>110</v>
      </c>
      <c r="G10" s="392" t="s">
        <v>49</v>
      </c>
      <c r="H10" s="58" t="s">
        <v>54</v>
      </c>
      <c r="I10" s="27" t="s">
        <v>304</v>
      </c>
      <c r="J10" s="84" t="s">
        <v>135</v>
      </c>
      <c r="M10" s="19"/>
      <c r="N10" s="19"/>
      <c r="O10" s="19"/>
    </row>
    <row r="11" spans="2:15">
      <c r="B11" s="55" t="s">
        <v>39</v>
      </c>
      <c r="C11" s="55" t="s">
        <v>19</v>
      </c>
      <c r="D11" s="55" t="s">
        <v>25</v>
      </c>
      <c r="E11" s="55" t="s">
        <v>21</v>
      </c>
      <c r="F11" s="55" t="s">
        <v>111</v>
      </c>
      <c r="G11" s="392" t="s">
        <v>50</v>
      </c>
      <c r="H11" s="58" t="s">
        <v>55</v>
      </c>
      <c r="I11" s="27" t="s">
        <v>305</v>
      </c>
      <c r="J11" s="84" t="s">
        <v>136</v>
      </c>
      <c r="M11" s="19"/>
      <c r="N11" s="19"/>
      <c r="O11" s="19"/>
    </row>
    <row r="12" spans="2:15">
      <c r="B12" s="55" t="s">
        <v>40</v>
      </c>
      <c r="D12" s="55" t="s">
        <v>28</v>
      </c>
      <c r="E12" s="55" t="s">
        <v>29</v>
      </c>
      <c r="F12" s="55" t="s">
        <v>112</v>
      </c>
      <c r="G12" s="392" t="s">
        <v>51</v>
      </c>
      <c r="H12" s="58" t="s">
        <v>56</v>
      </c>
      <c r="I12" s="27" t="s">
        <v>306</v>
      </c>
      <c r="J12" s="84" t="s">
        <v>137</v>
      </c>
      <c r="M12" s="191"/>
      <c r="N12" s="19"/>
      <c r="O12" s="19"/>
    </row>
    <row r="13" spans="2:15">
      <c r="B13" s="55" t="s">
        <v>89</v>
      </c>
      <c r="D13" s="55" t="s">
        <v>30</v>
      </c>
      <c r="E13" s="56"/>
      <c r="F13" s="55" t="s">
        <v>113</v>
      </c>
      <c r="G13" s="392" t="s">
        <v>52</v>
      </c>
      <c r="H13" s="58" t="s">
        <v>57</v>
      </c>
      <c r="I13" s="27" t="s">
        <v>307</v>
      </c>
      <c r="J13" s="84" t="s">
        <v>138</v>
      </c>
      <c r="M13" s="191"/>
      <c r="N13" s="19"/>
      <c r="O13" s="19"/>
    </row>
    <row r="14" spans="2:15">
      <c r="B14" s="55" t="s">
        <v>90</v>
      </c>
      <c r="D14" s="55" t="s">
        <v>43</v>
      </c>
      <c r="F14" s="55" t="s">
        <v>125</v>
      </c>
      <c r="G14" s="392" t="s">
        <v>53</v>
      </c>
      <c r="H14" s="58" t="s">
        <v>58</v>
      </c>
      <c r="I14" s="27" t="s">
        <v>276</v>
      </c>
      <c r="J14" s="84" t="s">
        <v>139</v>
      </c>
      <c r="M14" s="191"/>
      <c r="N14" s="19"/>
      <c r="O14" s="19"/>
    </row>
    <row r="15" spans="2:15">
      <c r="D15" s="55" t="s">
        <v>44</v>
      </c>
      <c r="F15" s="55" t="s">
        <v>126</v>
      </c>
      <c r="H15" s="58" t="s">
        <v>59</v>
      </c>
      <c r="I15" s="27" t="s">
        <v>76</v>
      </c>
      <c r="J15" s="84" t="s">
        <v>140</v>
      </c>
      <c r="M15" s="191"/>
      <c r="N15" s="19"/>
      <c r="O15" s="19"/>
    </row>
    <row r="16" spans="2:15">
      <c r="D16" s="55" t="s">
        <v>45</v>
      </c>
      <c r="F16" s="55" t="s">
        <v>127</v>
      </c>
      <c r="H16" s="58" t="s">
        <v>60</v>
      </c>
      <c r="I16" s="27" t="s">
        <v>77</v>
      </c>
      <c r="J16" s="84" t="s">
        <v>141</v>
      </c>
      <c r="M16" s="191"/>
      <c r="N16" s="19"/>
      <c r="O16" s="19"/>
    </row>
    <row r="17" spans="4:15">
      <c r="D17" s="55" t="s">
        <v>46</v>
      </c>
      <c r="F17" s="55" t="s">
        <v>128</v>
      </c>
      <c r="H17" s="58" t="s">
        <v>61</v>
      </c>
      <c r="I17" s="27" t="s">
        <v>78</v>
      </c>
      <c r="J17" s="84" t="s">
        <v>142</v>
      </c>
      <c r="M17" s="191"/>
      <c r="N17" s="19"/>
      <c r="O17" s="19"/>
    </row>
    <row r="18" spans="4:15">
      <c r="D18" s="55" t="s">
        <v>20</v>
      </c>
      <c r="F18" s="55" t="s">
        <v>129</v>
      </c>
      <c r="H18" s="58" t="s">
        <v>62</v>
      </c>
      <c r="I18" s="27" t="s">
        <v>79</v>
      </c>
      <c r="J18" s="84" t="s">
        <v>143</v>
      </c>
      <c r="M18" s="191"/>
      <c r="N18" s="19"/>
      <c r="O18" s="19"/>
    </row>
    <row r="19" spans="4:15">
      <c r="D19" s="391" t="s">
        <v>373</v>
      </c>
      <c r="F19" s="55" t="s">
        <v>130</v>
      </c>
      <c r="H19" s="58" t="s">
        <v>63</v>
      </c>
      <c r="I19" s="27" t="s">
        <v>80</v>
      </c>
      <c r="J19" s="84" t="s">
        <v>144</v>
      </c>
      <c r="M19" s="191"/>
      <c r="N19" s="19"/>
      <c r="O19" s="19"/>
    </row>
    <row r="20" spans="4:15">
      <c r="D20" s="57"/>
      <c r="F20" s="55" t="s">
        <v>131</v>
      </c>
      <c r="H20" s="58" t="s">
        <v>267</v>
      </c>
      <c r="I20" s="27" t="s">
        <v>81</v>
      </c>
      <c r="J20" s="84" t="s">
        <v>145</v>
      </c>
      <c r="M20" s="19"/>
      <c r="N20" s="19"/>
      <c r="O20" s="19"/>
    </row>
    <row r="21" spans="4:15">
      <c r="D21" s="59"/>
      <c r="F21" s="55" t="s">
        <v>292</v>
      </c>
      <c r="H21" s="59"/>
      <c r="I21" s="27" t="s">
        <v>83</v>
      </c>
      <c r="J21" s="84" t="s">
        <v>146</v>
      </c>
      <c r="M21" s="19"/>
      <c r="N21" s="19"/>
      <c r="O21" s="19"/>
    </row>
    <row r="22" spans="4:15">
      <c r="H22" s="59"/>
      <c r="I22" s="27" t="s">
        <v>84</v>
      </c>
      <c r="J22" s="84" t="s">
        <v>147</v>
      </c>
      <c r="M22" s="19"/>
      <c r="N22" s="19"/>
      <c r="O22" s="19"/>
    </row>
    <row r="23" spans="4:15">
      <c r="I23" s="27" t="s">
        <v>82</v>
      </c>
      <c r="J23" s="84" t="s">
        <v>148</v>
      </c>
      <c r="M23" s="19"/>
      <c r="N23" s="19"/>
      <c r="O23" s="19"/>
    </row>
    <row r="24" spans="4:15">
      <c r="I24" s="27" t="s">
        <v>314</v>
      </c>
      <c r="J24" s="84" t="s">
        <v>149</v>
      </c>
      <c r="M24" s="19"/>
      <c r="N24" s="19"/>
      <c r="O24" s="19"/>
    </row>
    <row r="25" spans="4:15">
      <c r="I25" s="43"/>
      <c r="J25" s="84" t="s">
        <v>150</v>
      </c>
    </row>
    <row r="26" spans="4:15">
      <c r="I26" s="27" t="s">
        <v>318</v>
      </c>
      <c r="J26" s="84" t="s">
        <v>151</v>
      </c>
    </row>
    <row r="27" spans="4:15">
      <c r="I27" s="27" t="s">
        <v>313</v>
      </c>
      <c r="J27" s="84" t="s">
        <v>152</v>
      </c>
    </row>
    <row r="28" spans="4:15">
      <c r="I28" s="43"/>
      <c r="J28" s="84" t="s">
        <v>153</v>
      </c>
    </row>
    <row r="29" spans="4:15">
      <c r="I29" s="43"/>
      <c r="J29" s="84" t="s">
        <v>154</v>
      </c>
    </row>
    <row r="30" spans="4:15">
      <c r="I30" s="43"/>
      <c r="J30" s="84" t="s">
        <v>155</v>
      </c>
    </row>
    <row r="31" spans="4:15">
      <c r="J31" s="84" t="s">
        <v>156</v>
      </c>
    </row>
    <row r="32" spans="4:15">
      <c r="J32" s="84" t="s">
        <v>157</v>
      </c>
    </row>
    <row r="33" spans="10:10">
      <c r="J33" s="84" t="s">
        <v>158</v>
      </c>
    </row>
    <row r="34" spans="10:10">
      <c r="J34" s="84" t="s">
        <v>159</v>
      </c>
    </row>
    <row r="35" spans="10:10">
      <c r="J35" s="84" t="s">
        <v>160</v>
      </c>
    </row>
    <row r="36" spans="10:10">
      <c r="J36" s="84" t="s">
        <v>160</v>
      </c>
    </row>
    <row r="37" spans="10:10">
      <c r="J37" s="84" t="s">
        <v>161</v>
      </c>
    </row>
    <row r="38" spans="10:10">
      <c r="J38" s="84" t="s">
        <v>162</v>
      </c>
    </row>
    <row r="39" spans="10:10">
      <c r="J39" s="84" t="s">
        <v>163</v>
      </c>
    </row>
    <row r="40" spans="10:10">
      <c r="J40" s="84" t="s">
        <v>164</v>
      </c>
    </row>
    <row r="41" spans="10:10">
      <c r="J41" s="84" t="s">
        <v>165</v>
      </c>
    </row>
    <row r="42" spans="10:10">
      <c r="J42" s="84" t="s">
        <v>166</v>
      </c>
    </row>
    <row r="43" spans="10:10">
      <c r="J43" s="84" t="s">
        <v>167</v>
      </c>
    </row>
    <row r="44" spans="10:10">
      <c r="J44" s="84" t="s">
        <v>168</v>
      </c>
    </row>
    <row r="45" spans="10:10">
      <c r="J45" s="84" t="s">
        <v>169</v>
      </c>
    </row>
    <row r="46" spans="10:10">
      <c r="J46" s="84" t="s">
        <v>170</v>
      </c>
    </row>
    <row r="47" spans="10:10">
      <c r="J47" s="84" t="s">
        <v>171</v>
      </c>
    </row>
    <row r="48" spans="10:10">
      <c r="J48" s="84" t="s">
        <v>172</v>
      </c>
    </row>
    <row r="49" spans="10:10">
      <c r="J49" s="84" t="s">
        <v>173</v>
      </c>
    </row>
    <row r="50" spans="10:10">
      <c r="J50" s="84" t="s">
        <v>174</v>
      </c>
    </row>
    <row r="51" spans="10:10">
      <c r="J51" s="84" t="s">
        <v>175</v>
      </c>
    </row>
    <row r="52" spans="10:10">
      <c r="J52" s="84" t="s">
        <v>176</v>
      </c>
    </row>
    <row r="53" spans="10:10">
      <c r="J53" s="84" t="s">
        <v>177</v>
      </c>
    </row>
    <row r="54" spans="10:10">
      <c r="J54" s="84" t="s">
        <v>178</v>
      </c>
    </row>
    <row r="55" spans="10:10">
      <c r="J55" s="84" t="s">
        <v>179</v>
      </c>
    </row>
    <row r="56" spans="10:10">
      <c r="J56" s="84" t="s">
        <v>180</v>
      </c>
    </row>
    <row r="57" spans="10:10">
      <c r="J57" s="84" t="s">
        <v>181</v>
      </c>
    </row>
    <row r="58" spans="10:10">
      <c r="J58" s="84" t="s">
        <v>182</v>
      </c>
    </row>
    <row r="59" spans="10:10">
      <c r="J59" s="84" t="s">
        <v>183</v>
      </c>
    </row>
    <row r="60" spans="10:10">
      <c r="J60" s="84" t="s">
        <v>184</v>
      </c>
    </row>
    <row r="61" spans="10:10">
      <c r="J61" s="84" t="s">
        <v>185</v>
      </c>
    </row>
    <row r="62" spans="10:10">
      <c r="J62" s="84" t="s">
        <v>186</v>
      </c>
    </row>
    <row r="63" spans="10:10">
      <c r="J63" s="84" t="s">
        <v>187</v>
      </c>
    </row>
    <row r="64" spans="10:10">
      <c r="J64" s="84" t="s">
        <v>188</v>
      </c>
    </row>
    <row r="65" spans="10:10">
      <c r="J65" s="84" t="s">
        <v>189</v>
      </c>
    </row>
    <row r="66" spans="10:10">
      <c r="J66" s="84" t="s">
        <v>190</v>
      </c>
    </row>
    <row r="67" spans="10:10">
      <c r="J67" s="84" t="s">
        <v>191</v>
      </c>
    </row>
    <row r="68" spans="10:10">
      <c r="J68" s="84" t="s">
        <v>192</v>
      </c>
    </row>
    <row r="69" spans="10:10">
      <c r="J69" s="84" t="s">
        <v>193</v>
      </c>
    </row>
    <row r="70" spans="10:10">
      <c r="J70" s="84" t="s">
        <v>194</v>
      </c>
    </row>
    <row r="71" spans="10:10">
      <c r="J71" s="84" t="s">
        <v>195</v>
      </c>
    </row>
    <row r="72" spans="10:10">
      <c r="J72" s="84" t="s">
        <v>196</v>
      </c>
    </row>
    <row r="73" spans="10:10">
      <c r="J73" s="84" t="s">
        <v>197</v>
      </c>
    </row>
    <row r="74" spans="10:10">
      <c r="J74" s="84" t="s">
        <v>198</v>
      </c>
    </row>
    <row r="75" spans="10:10">
      <c r="J75" s="84" t="s">
        <v>199</v>
      </c>
    </row>
    <row r="76" spans="10:10">
      <c r="J76" s="84" t="s">
        <v>200</v>
      </c>
    </row>
    <row r="77" spans="10:10">
      <c r="J77" s="84" t="s">
        <v>201</v>
      </c>
    </row>
    <row r="78" spans="10:10">
      <c r="J78" s="84" t="s">
        <v>202</v>
      </c>
    </row>
    <row r="79" spans="10:10">
      <c r="J79" s="84" t="s">
        <v>203</v>
      </c>
    </row>
    <row r="80" spans="10:10">
      <c r="J80" s="84" t="s">
        <v>204</v>
      </c>
    </row>
    <row r="81" spans="10:10">
      <c r="J81" s="84" t="s">
        <v>205</v>
      </c>
    </row>
    <row r="82" spans="10:10">
      <c r="J82" s="84" t="s">
        <v>206</v>
      </c>
    </row>
    <row r="83" spans="10:10">
      <c r="J83" s="84" t="s">
        <v>207</v>
      </c>
    </row>
    <row r="84" spans="10:10">
      <c r="J84" s="84" t="s">
        <v>208</v>
      </c>
    </row>
    <row r="85" spans="10:10">
      <c r="J85" s="84" t="s">
        <v>209</v>
      </c>
    </row>
    <row r="86" spans="10:10">
      <c r="J86" s="84" t="s">
        <v>210</v>
      </c>
    </row>
    <row r="87" spans="10:10">
      <c r="J87" s="84" t="s">
        <v>211</v>
      </c>
    </row>
    <row r="88" spans="10:10">
      <c r="J88" s="84" t="s">
        <v>212</v>
      </c>
    </row>
    <row r="89" spans="10:10">
      <c r="J89" s="84" t="s">
        <v>213</v>
      </c>
    </row>
    <row r="90" spans="10:10">
      <c r="J90" s="84" t="s">
        <v>214</v>
      </c>
    </row>
    <row r="91" spans="10:10">
      <c r="J91" s="84" t="s">
        <v>215</v>
      </c>
    </row>
    <row r="92" spans="10:10">
      <c r="J92" s="84" t="s">
        <v>216</v>
      </c>
    </row>
    <row r="93" spans="10:10">
      <c r="J93" s="84" t="s">
        <v>217</v>
      </c>
    </row>
    <row r="94" spans="10:10">
      <c r="J94" s="84" t="s">
        <v>218</v>
      </c>
    </row>
    <row r="95" spans="10:10">
      <c r="J95" s="84" t="s">
        <v>219</v>
      </c>
    </row>
    <row r="96" spans="10:10">
      <c r="J96" s="84" t="s">
        <v>220</v>
      </c>
    </row>
    <row r="97" spans="10:10">
      <c r="J97" s="84" t="s">
        <v>221</v>
      </c>
    </row>
    <row r="98" spans="10:10">
      <c r="J98" s="84" t="s">
        <v>222</v>
      </c>
    </row>
    <row r="99" spans="10:10">
      <c r="J99" s="84" t="s">
        <v>223</v>
      </c>
    </row>
    <row r="100" spans="10:10">
      <c r="J100" s="84" t="s">
        <v>224</v>
      </c>
    </row>
    <row r="101" spans="10:10">
      <c r="J101" s="84" t="s">
        <v>225</v>
      </c>
    </row>
    <row r="102" spans="10:10">
      <c r="J102" s="84" t="s">
        <v>226</v>
      </c>
    </row>
    <row r="103" spans="10:10">
      <c r="J103" s="84" t="s">
        <v>227</v>
      </c>
    </row>
    <row r="104" spans="10:10">
      <c r="J104" s="84" t="s">
        <v>228</v>
      </c>
    </row>
    <row r="105" spans="10:10">
      <c r="J105" s="84" t="s">
        <v>229</v>
      </c>
    </row>
    <row r="106" spans="10:10">
      <c r="J106" s="84" t="s">
        <v>230</v>
      </c>
    </row>
    <row r="107" spans="10:10">
      <c r="J107" s="84" t="s">
        <v>231</v>
      </c>
    </row>
    <row r="108" spans="10:10">
      <c r="J108" s="84" t="s">
        <v>232</v>
      </c>
    </row>
    <row r="109" spans="10:10">
      <c r="J109" s="84" t="s">
        <v>233</v>
      </c>
    </row>
    <row r="110" spans="10:10">
      <c r="J110" s="84" t="s">
        <v>234</v>
      </c>
    </row>
    <row r="111" spans="10:10">
      <c r="J111" s="84" t="s">
        <v>86</v>
      </c>
    </row>
    <row r="112" spans="10:10">
      <c r="J112" s="84" t="s">
        <v>235</v>
      </c>
    </row>
    <row r="113" spans="10:10">
      <c r="J113" s="84" t="s">
        <v>236</v>
      </c>
    </row>
    <row r="114" spans="10:10">
      <c r="J114" s="84" t="s">
        <v>237</v>
      </c>
    </row>
    <row r="115" spans="10:10">
      <c r="J115" s="84" t="s">
        <v>238</v>
      </c>
    </row>
    <row r="116" spans="10:10">
      <c r="J116" s="84" t="s">
        <v>239</v>
      </c>
    </row>
    <row r="117" spans="10:10">
      <c r="J117" s="84" t="s">
        <v>240</v>
      </c>
    </row>
    <row r="118" spans="10:10">
      <c r="J118" s="84" t="s">
        <v>241</v>
      </c>
    </row>
    <row r="119" spans="10:10">
      <c r="J119" s="84" t="s">
        <v>242</v>
      </c>
    </row>
    <row r="120" spans="10:10">
      <c r="J120" s="84" t="s">
        <v>243</v>
      </c>
    </row>
    <row r="121" spans="10:10">
      <c r="J121" s="84" t="s">
        <v>244</v>
      </c>
    </row>
    <row r="122" spans="10:10">
      <c r="J122" s="84" t="s">
        <v>245</v>
      </c>
    </row>
    <row r="123" spans="10:10">
      <c r="J123" s="84" t="s">
        <v>246</v>
      </c>
    </row>
    <row r="124" spans="10:10">
      <c r="J124" s="84" t="s">
        <v>247</v>
      </c>
    </row>
    <row r="125" spans="10:10">
      <c r="J125" s="84" t="s">
        <v>248</v>
      </c>
    </row>
    <row r="126" spans="10:10">
      <c r="J126" s="84" t="s">
        <v>249</v>
      </c>
    </row>
    <row r="127" spans="10:10">
      <c r="J127" s="84" t="s">
        <v>250</v>
      </c>
    </row>
    <row r="128" spans="10:10">
      <c r="J128" s="84" t="s">
        <v>251</v>
      </c>
    </row>
    <row r="129" spans="10:10">
      <c r="J129" s="84" t="s">
        <v>252</v>
      </c>
    </row>
    <row r="130" spans="10:10">
      <c r="J130" s="84" t="s">
        <v>253</v>
      </c>
    </row>
    <row r="131" spans="10:10">
      <c r="J131" s="84" t="s">
        <v>254</v>
      </c>
    </row>
    <row r="132" spans="10:10">
      <c r="J132" s="84" t="s">
        <v>255</v>
      </c>
    </row>
    <row r="133" spans="10:10">
      <c r="J133" s="84" t="s">
        <v>256</v>
      </c>
    </row>
    <row r="134" spans="10:10">
      <c r="J134" s="84" t="s">
        <v>257</v>
      </c>
    </row>
    <row r="135" spans="10:10">
      <c r="J135" s="84" t="s">
        <v>258</v>
      </c>
    </row>
    <row r="136" spans="10:10">
      <c r="J136" s="84" t="s">
        <v>259</v>
      </c>
    </row>
    <row r="137" spans="10:10">
      <c r="J137" s="84" t="s">
        <v>260</v>
      </c>
    </row>
    <row r="138" spans="10:10">
      <c r="J138" s="84" t="s">
        <v>261</v>
      </c>
    </row>
    <row r="139" spans="10:10">
      <c r="J139" s="84" t="s">
        <v>262</v>
      </c>
    </row>
    <row r="140" spans="10:10">
      <c r="J140" s="84" t="s">
        <v>263</v>
      </c>
    </row>
    <row r="141" spans="10:10">
      <c r="J141" s="84" t="s">
        <v>264</v>
      </c>
    </row>
    <row r="142" spans="10:10">
      <c r="J142" s="84" t="s">
        <v>265</v>
      </c>
    </row>
    <row r="143" spans="10:10">
      <c r="J143" s="84" t="s">
        <v>266</v>
      </c>
    </row>
    <row r="144" spans="10:10">
      <c r="J144" s="383"/>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48"/>
  <sheetViews>
    <sheetView showGridLines="0" zoomScale="80" workbookViewId="0">
      <pane ySplit="2" topLeftCell="A3" activePane="bottomLeft" state="frozen"/>
      <selection activeCell="E22" sqref="E22"/>
      <selection pane="bottomLeft" activeCell="B38" sqref="B38:D38"/>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85" t="str">
        <f>+"Dashboard: "&amp;" "&amp;+IF('Data Entry'!C4="Please Select","",'Data Entry'!C4&amp;" - ")&amp;+IF('Data Entry'!G6="Please Select","",'Data Entry'!G6)</f>
        <v>Dashboard:  Moldova - HIV / AIDS</v>
      </c>
      <c r="C2" s="585"/>
      <c r="D2" s="585"/>
      <c r="E2" s="585"/>
      <c r="F2" s="585"/>
      <c r="G2" s="585"/>
      <c r="H2" s="585"/>
      <c r="I2" s="585"/>
      <c r="J2" s="585"/>
      <c r="K2" s="585"/>
      <c r="L2" s="585"/>
      <c r="M2" s="585"/>
    </row>
    <row r="3" spans="1:15" ht="15.75" customHeight="1">
      <c r="A3" s="3"/>
      <c r="B3" s="216"/>
      <c r="C3" s="216"/>
      <c r="D3" s="216"/>
      <c r="E3" s="216"/>
      <c r="F3" s="216"/>
      <c r="G3" s="216"/>
      <c r="H3" s="216"/>
      <c r="I3" s="216"/>
      <c r="J3" s="216"/>
      <c r="K3" s="217"/>
      <c r="L3" s="217"/>
      <c r="M3" s="3"/>
    </row>
    <row r="5" spans="1:15" ht="23.25">
      <c r="B5" s="558" t="s">
        <v>288</v>
      </c>
      <c r="C5" s="558"/>
      <c r="D5" s="558"/>
      <c r="E5" s="558"/>
      <c r="F5" s="558"/>
      <c r="G5" s="558"/>
      <c r="H5" s="558"/>
      <c r="I5" s="558"/>
      <c r="J5" s="558"/>
      <c r="K5" s="558"/>
      <c r="L5" s="558"/>
      <c r="M5" s="558"/>
      <c r="N5" s="558"/>
      <c r="O5" s="558"/>
    </row>
    <row r="7" spans="1:15" ht="21">
      <c r="B7" s="582" t="s">
        <v>277</v>
      </c>
      <c r="C7" s="583"/>
      <c r="D7" s="584"/>
      <c r="E7" s="582" t="s">
        <v>278</v>
      </c>
      <c r="F7" s="583"/>
      <c r="G7" s="583"/>
      <c r="H7" s="583"/>
      <c r="I7" s="584"/>
      <c r="J7" s="582" t="s">
        <v>279</v>
      </c>
      <c r="K7" s="583"/>
      <c r="L7" s="584"/>
      <c r="M7" s="582" t="s">
        <v>351</v>
      </c>
      <c r="N7" s="583"/>
      <c r="O7" s="584"/>
    </row>
    <row r="8" spans="1:15" ht="92.25" customHeight="1">
      <c r="B8" s="521" t="str">
        <f>+'Data Entry'!B27</f>
        <v>F1: Budget and disbursements by Global Fund</v>
      </c>
      <c r="C8" s="572"/>
      <c r="D8" s="573"/>
      <c r="E8" s="579" t="s">
        <v>397</v>
      </c>
      <c r="F8" s="580"/>
      <c r="G8" s="580"/>
      <c r="H8" s="580"/>
      <c r="I8" s="581"/>
      <c r="J8" s="509" t="s">
        <v>352</v>
      </c>
      <c r="K8" s="510"/>
      <c r="L8" s="511"/>
      <c r="M8" s="509" t="s">
        <v>398</v>
      </c>
      <c r="N8" s="510"/>
      <c r="O8" s="511"/>
    </row>
    <row r="9" spans="1:15" ht="117.75" customHeight="1">
      <c r="B9" s="521" t="str">
        <f>+'Data Entry'!B36</f>
        <v>F2: Budget and actual expenditures by Grant Objective</v>
      </c>
      <c r="C9" s="572"/>
      <c r="D9" s="573"/>
      <c r="E9" s="568" t="s">
        <v>360</v>
      </c>
      <c r="F9" s="569"/>
      <c r="G9" s="569"/>
      <c r="H9" s="569"/>
      <c r="I9" s="570"/>
      <c r="J9" s="509" t="s">
        <v>354</v>
      </c>
      <c r="K9" s="510"/>
      <c r="L9" s="511"/>
      <c r="M9" s="509" t="s">
        <v>398</v>
      </c>
      <c r="N9" s="510"/>
      <c r="O9" s="511"/>
    </row>
    <row r="10" spans="1:15" ht="152.25" customHeight="1">
      <c r="B10" s="576" t="str">
        <f>+'Data Entry'!B45</f>
        <v>F3: Disbursements and expenditures</v>
      </c>
      <c r="C10" s="586"/>
      <c r="D10" s="587"/>
      <c r="E10" s="568" t="s">
        <v>399</v>
      </c>
      <c r="F10" s="569"/>
      <c r="G10" s="569"/>
      <c r="H10" s="569"/>
      <c r="I10" s="570"/>
      <c r="J10" s="509" t="s">
        <v>361</v>
      </c>
      <c r="K10" s="510"/>
      <c r="L10" s="511"/>
      <c r="M10" s="509" t="s">
        <v>353</v>
      </c>
      <c r="N10" s="510"/>
      <c r="O10" s="511"/>
    </row>
    <row r="11" spans="1:15" ht="279.75" customHeight="1">
      <c r="B11" s="576" t="str">
        <f>+'Data Entry'!B54</f>
        <v>F4: Latest PR reporting and disbursement cycle</v>
      </c>
      <c r="C11" s="577"/>
      <c r="D11" s="578"/>
      <c r="E11" s="568" t="s">
        <v>411</v>
      </c>
      <c r="F11" s="569"/>
      <c r="G11" s="569"/>
      <c r="H11" s="569"/>
      <c r="I11" s="570"/>
      <c r="J11" s="509" t="s">
        <v>362</v>
      </c>
      <c r="K11" s="510"/>
      <c r="L11" s="511"/>
      <c r="M11" s="509" t="s">
        <v>282</v>
      </c>
      <c r="N11" s="510"/>
      <c r="O11" s="511"/>
    </row>
    <row r="12" spans="1:15" s="19" customFormat="1">
      <c r="B12" s="575"/>
      <c r="C12" s="575"/>
      <c r="D12" s="575"/>
      <c r="E12" s="574"/>
      <c r="F12" s="574"/>
      <c r="G12" s="574"/>
      <c r="H12" s="574"/>
      <c r="I12" s="574"/>
      <c r="J12" s="574"/>
      <c r="K12" s="574"/>
      <c r="L12" s="574"/>
      <c r="M12" s="574"/>
      <c r="N12" s="574"/>
      <c r="O12" s="574"/>
    </row>
    <row r="13" spans="1:15" s="19" customFormat="1">
      <c r="B13" s="551"/>
      <c r="C13" s="551"/>
      <c r="D13" s="551"/>
      <c r="E13" s="571"/>
      <c r="F13" s="571"/>
      <c r="G13" s="571"/>
      <c r="H13" s="571"/>
      <c r="I13" s="571"/>
      <c r="J13" s="571"/>
      <c r="K13" s="571"/>
      <c r="L13" s="571"/>
      <c r="M13" s="571"/>
      <c r="N13" s="571"/>
      <c r="O13" s="571"/>
    </row>
    <row r="14" spans="1:15" s="19" customFormat="1">
      <c r="B14" s="551"/>
      <c r="C14" s="551"/>
      <c r="D14" s="551"/>
      <c r="E14" s="571"/>
      <c r="F14" s="571"/>
      <c r="G14" s="571"/>
      <c r="H14" s="571"/>
      <c r="I14" s="571"/>
      <c r="J14" s="571"/>
      <c r="K14" s="571"/>
      <c r="L14" s="571"/>
      <c r="M14" s="571"/>
      <c r="N14" s="571"/>
      <c r="O14" s="571"/>
    </row>
    <row r="15" spans="1:15" s="19" customFormat="1">
      <c r="B15" s="551"/>
      <c r="C15" s="551"/>
      <c r="D15" s="551"/>
      <c r="E15" s="571"/>
      <c r="F15" s="571"/>
      <c r="G15" s="571"/>
      <c r="H15" s="571"/>
      <c r="I15" s="571"/>
      <c r="J15" s="571"/>
      <c r="K15" s="571"/>
      <c r="L15" s="571"/>
      <c r="M15" s="571"/>
      <c r="N15" s="571"/>
      <c r="O15" s="571"/>
    </row>
    <row r="16" spans="1:15" ht="23.25">
      <c r="B16" s="558" t="s">
        <v>289</v>
      </c>
      <c r="C16" s="558"/>
      <c r="D16" s="558"/>
      <c r="E16" s="558"/>
      <c r="F16" s="558"/>
      <c r="G16" s="558"/>
      <c r="H16" s="558"/>
      <c r="I16" s="558"/>
      <c r="J16" s="558"/>
      <c r="K16" s="558"/>
      <c r="L16" s="558"/>
      <c r="M16" s="558"/>
      <c r="N16" s="558"/>
      <c r="O16" s="558"/>
    </row>
    <row r="18" spans="1:15" ht="21">
      <c r="B18" s="552" t="s">
        <v>277</v>
      </c>
      <c r="C18" s="553"/>
      <c r="D18" s="554"/>
      <c r="E18" s="552" t="s">
        <v>278</v>
      </c>
      <c r="F18" s="553"/>
      <c r="G18" s="553"/>
      <c r="H18" s="553"/>
      <c r="I18" s="554"/>
      <c r="J18" s="552" t="s">
        <v>279</v>
      </c>
      <c r="K18" s="553"/>
      <c r="L18" s="554"/>
      <c r="M18" s="552" t="s">
        <v>280</v>
      </c>
      <c r="N18" s="553"/>
      <c r="O18" s="554"/>
    </row>
    <row r="19" spans="1:15" ht="114" customHeight="1">
      <c r="B19" s="521" t="str">
        <f>+'Data Entry'!B65</f>
        <v>M1: Status of Conditions Precedent (CPs) and Time Bound Actions (TBAs)</v>
      </c>
      <c r="C19" s="522"/>
      <c r="D19" s="523"/>
      <c r="E19" s="568" t="s">
        <v>287</v>
      </c>
      <c r="F19" s="569"/>
      <c r="G19" s="569"/>
      <c r="H19" s="569"/>
      <c r="I19" s="570"/>
      <c r="J19" s="509" t="s">
        <v>355</v>
      </c>
      <c r="K19" s="510"/>
      <c r="L19" s="511"/>
      <c r="M19" s="509" t="s">
        <v>356</v>
      </c>
      <c r="N19" s="510"/>
      <c r="O19" s="511"/>
    </row>
    <row r="20" spans="1:15" ht="102.75" customHeight="1">
      <c r="B20" s="521" t="str">
        <f>+'Data Entry'!B72</f>
        <v>M2: Status of key PR management positions</v>
      </c>
      <c r="C20" s="522"/>
      <c r="D20" s="523"/>
      <c r="E20" s="568" t="s">
        <v>400</v>
      </c>
      <c r="F20" s="569"/>
      <c r="G20" s="569"/>
      <c r="H20" s="569"/>
      <c r="I20" s="570"/>
      <c r="J20" s="509" t="s">
        <v>284</v>
      </c>
      <c r="K20" s="510"/>
      <c r="L20" s="511"/>
      <c r="M20" s="509" t="s">
        <v>283</v>
      </c>
      <c r="N20" s="510"/>
      <c r="O20" s="511"/>
    </row>
    <row r="21" spans="1:15" ht="111.75" customHeight="1">
      <c r="B21" s="521" t="str">
        <f>+'Data Entry'!B77</f>
        <v xml:space="preserve">M3: Contractual arrangements (SRs) </v>
      </c>
      <c r="C21" s="522"/>
      <c r="D21" s="523"/>
      <c r="E21" s="533" t="s">
        <v>5</v>
      </c>
      <c r="F21" s="569"/>
      <c r="G21" s="569"/>
      <c r="H21" s="569"/>
      <c r="I21" s="570"/>
      <c r="J21" s="509" t="s">
        <v>357</v>
      </c>
      <c r="K21" s="510"/>
      <c r="L21" s="511"/>
      <c r="M21" s="509" t="s">
        <v>358</v>
      </c>
      <c r="N21" s="510"/>
      <c r="O21" s="511"/>
    </row>
    <row r="22" spans="1:15" ht="74.25" customHeight="1">
      <c r="B22" s="521" t="str">
        <f>+'Data Entry'!B82</f>
        <v>M4: Number of complete reports received on time</v>
      </c>
      <c r="C22" s="522"/>
      <c r="D22" s="523"/>
      <c r="E22" s="533" t="s">
        <v>412</v>
      </c>
      <c r="F22" s="534"/>
      <c r="G22" s="534"/>
      <c r="H22" s="534"/>
      <c r="I22" s="535"/>
      <c r="J22" s="509" t="s">
        <v>363</v>
      </c>
      <c r="K22" s="510"/>
      <c r="L22" s="511"/>
      <c r="M22" s="509" t="s">
        <v>285</v>
      </c>
      <c r="N22" s="510"/>
      <c r="O22" s="511"/>
    </row>
    <row r="23" spans="1:15" ht="207.75" customHeight="1">
      <c r="B23" s="527" t="str">
        <f>+'Data Entry'!B88</f>
        <v>M5: Budget and Procurement of health products, health equipment, medicines and pharmaceuticals</v>
      </c>
      <c r="C23" s="528"/>
      <c r="D23" s="529"/>
      <c r="E23" s="542" t="s">
        <v>364</v>
      </c>
      <c r="F23" s="543"/>
      <c r="G23" s="543"/>
      <c r="H23" s="543"/>
      <c r="I23" s="544"/>
      <c r="J23" s="512" t="s">
        <v>281</v>
      </c>
      <c r="K23" s="513"/>
      <c r="L23" s="514"/>
      <c r="M23" s="512" t="s">
        <v>286</v>
      </c>
      <c r="N23" s="513"/>
      <c r="O23" s="514"/>
    </row>
    <row r="24" spans="1:15" ht="114.75" customHeight="1">
      <c r="B24" s="530"/>
      <c r="C24" s="531"/>
      <c r="D24" s="532"/>
      <c r="E24" s="536" t="s">
        <v>359</v>
      </c>
      <c r="F24" s="537"/>
      <c r="G24" s="537"/>
      <c r="H24" s="537"/>
      <c r="I24" s="538"/>
      <c r="J24" s="515"/>
      <c r="K24" s="516"/>
      <c r="L24" s="517"/>
      <c r="M24" s="515"/>
      <c r="N24" s="516"/>
      <c r="O24" s="517"/>
    </row>
    <row r="25" spans="1:15" ht="409.5" customHeight="1">
      <c r="B25" s="521" t="str">
        <f>+'Data Entry'!B101</f>
        <v>M6: Difference between current and safety stock</v>
      </c>
      <c r="C25" s="522"/>
      <c r="D25" s="523"/>
      <c r="E25" s="524" t="s">
        <v>413</v>
      </c>
      <c r="F25" s="525"/>
      <c r="G25" s="525"/>
      <c r="H25" s="525"/>
      <c r="I25" s="526"/>
      <c r="J25" s="539" t="s">
        <v>365</v>
      </c>
      <c r="K25" s="540"/>
      <c r="L25" s="541"/>
      <c r="M25" s="518" t="s">
        <v>370</v>
      </c>
      <c r="N25" s="519"/>
      <c r="O25" s="520"/>
    </row>
    <row r="29" spans="1:15" ht="18.75">
      <c r="B29" s="245"/>
    </row>
    <row r="30" spans="1:15" ht="23.25">
      <c r="B30" s="558" t="s">
        <v>302</v>
      </c>
      <c r="C30" s="558"/>
      <c r="D30" s="558"/>
      <c r="E30" s="558"/>
      <c r="F30" s="558"/>
      <c r="G30" s="558"/>
      <c r="H30" s="558"/>
      <c r="I30" s="558"/>
      <c r="J30" s="558"/>
      <c r="K30" s="558"/>
      <c r="L30" s="558"/>
      <c r="M30" s="558"/>
      <c r="N30" s="558"/>
      <c r="O30" s="558"/>
    </row>
    <row r="32" spans="1:15" ht="28.5" customHeight="1">
      <c r="A32" s="242"/>
      <c r="B32" s="559" t="s">
        <v>349</v>
      </c>
      <c r="C32" s="560"/>
      <c r="D32" s="561"/>
      <c r="E32" s="562" t="s">
        <v>0</v>
      </c>
      <c r="F32" s="563"/>
      <c r="G32" s="563"/>
      <c r="H32" s="563"/>
      <c r="I32" s="564"/>
      <c r="J32" s="562" t="s">
        <v>279</v>
      </c>
      <c r="K32" s="563"/>
      <c r="L32" s="564"/>
      <c r="M32" s="562" t="s">
        <v>280</v>
      </c>
      <c r="N32" s="563"/>
      <c r="O32" s="564"/>
    </row>
    <row r="33" spans="1:15" ht="84" customHeight="1">
      <c r="A33" s="243"/>
      <c r="B33" s="503" t="s">
        <v>422</v>
      </c>
      <c r="C33" s="504"/>
      <c r="D33" s="505"/>
      <c r="E33" s="506" t="s">
        <v>429</v>
      </c>
      <c r="F33" s="507"/>
      <c r="G33" s="507"/>
      <c r="H33" s="507"/>
      <c r="I33" s="508"/>
      <c r="J33" s="503" t="s">
        <v>430</v>
      </c>
      <c r="K33" s="504"/>
      <c r="L33" s="505"/>
      <c r="M33" s="503" t="s">
        <v>431</v>
      </c>
      <c r="N33" s="504"/>
      <c r="O33" s="505"/>
    </row>
    <row r="34" spans="1:15" ht="69" customHeight="1">
      <c r="A34" s="243"/>
      <c r="B34" s="503" t="s">
        <v>432</v>
      </c>
      <c r="C34" s="504"/>
      <c r="D34" s="505"/>
      <c r="E34" s="506" t="s">
        <v>433</v>
      </c>
      <c r="F34" s="507"/>
      <c r="G34" s="507"/>
      <c r="H34" s="507"/>
      <c r="I34" s="508"/>
      <c r="J34" s="503" t="s">
        <v>434</v>
      </c>
      <c r="K34" s="504"/>
      <c r="L34" s="505"/>
      <c r="M34" s="503" t="s">
        <v>435</v>
      </c>
      <c r="N34" s="504"/>
      <c r="O34" s="505"/>
    </row>
    <row r="35" spans="1:15" ht="122.25" customHeight="1">
      <c r="A35" s="243"/>
      <c r="B35" s="503" t="s">
        <v>420</v>
      </c>
      <c r="C35" s="504"/>
      <c r="D35" s="505"/>
      <c r="E35" s="506" t="s">
        <v>436</v>
      </c>
      <c r="F35" s="507"/>
      <c r="G35" s="507"/>
      <c r="H35" s="507"/>
      <c r="I35" s="508"/>
      <c r="J35" s="503" t="s">
        <v>437</v>
      </c>
      <c r="K35" s="504"/>
      <c r="L35" s="505"/>
      <c r="M35" s="503" t="s">
        <v>435</v>
      </c>
      <c r="N35" s="504"/>
      <c r="O35" s="505"/>
    </row>
    <row r="36" spans="1:15" ht="102.75" customHeight="1">
      <c r="A36" s="243"/>
      <c r="B36" s="503" t="s">
        <v>421</v>
      </c>
      <c r="C36" s="504"/>
      <c r="D36" s="505"/>
      <c r="E36" s="506" t="s">
        <v>438</v>
      </c>
      <c r="F36" s="507"/>
      <c r="G36" s="507"/>
      <c r="H36" s="507"/>
      <c r="I36" s="508"/>
      <c r="J36" s="503" t="s">
        <v>439</v>
      </c>
      <c r="K36" s="504"/>
      <c r="L36" s="505"/>
      <c r="M36" s="503" t="s">
        <v>440</v>
      </c>
      <c r="N36" s="504"/>
      <c r="O36" s="505"/>
    </row>
    <row r="37" spans="1:15" ht="96.75" customHeight="1">
      <c r="A37" s="243"/>
      <c r="B37" s="503" t="s">
        <v>441</v>
      </c>
      <c r="C37" s="504"/>
      <c r="D37" s="505"/>
      <c r="E37" s="506" t="s">
        <v>442</v>
      </c>
      <c r="F37" s="507"/>
      <c r="G37" s="507"/>
      <c r="H37" s="507"/>
      <c r="I37" s="508"/>
      <c r="J37" s="503" t="s">
        <v>443</v>
      </c>
      <c r="K37" s="504"/>
      <c r="L37" s="505"/>
      <c r="M37" s="503" t="s">
        <v>435</v>
      </c>
      <c r="N37" s="504"/>
      <c r="O37" s="505"/>
    </row>
    <row r="38" spans="1:15" ht="104.25" customHeight="1">
      <c r="A38" s="243"/>
      <c r="B38" s="503" t="s">
        <v>423</v>
      </c>
      <c r="C38" s="504"/>
      <c r="D38" s="505"/>
      <c r="E38" s="506" t="s">
        <v>444</v>
      </c>
      <c r="F38" s="507"/>
      <c r="G38" s="507"/>
      <c r="H38" s="507"/>
      <c r="I38" s="508"/>
      <c r="J38" s="503" t="s">
        <v>445</v>
      </c>
      <c r="K38" s="504"/>
      <c r="L38" s="505"/>
      <c r="M38" s="503" t="s">
        <v>446</v>
      </c>
      <c r="N38" s="504"/>
      <c r="O38" s="505"/>
    </row>
    <row r="39" spans="1:15" ht="45" customHeight="1">
      <c r="A39" s="243"/>
      <c r="B39" s="503" t="s">
        <v>447</v>
      </c>
      <c r="C39" s="504"/>
      <c r="D39" s="505"/>
      <c r="E39" s="506" t="s">
        <v>448</v>
      </c>
      <c r="F39" s="507"/>
      <c r="G39" s="507"/>
      <c r="H39" s="507"/>
      <c r="I39" s="508"/>
      <c r="J39" s="503" t="s">
        <v>449</v>
      </c>
      <c r="K39" s="504"/>
      <c r="L39" s="505"/>
      <c r="M39" s="503" t="s">
        <v>450</v>
      </c>
      <c r="N39" s="504"/>
      <c r="O39" s="505"/>
    </row>
    <row r="40" spans="1:15" ht="64.5" customHeight="1">
      <c r="A40" s="243"/>
      <c r="B40" s="503" t="s">
        <v>451</v>
      </c>
      <c r="C40" s="504"/>
      <c r="D40" s="505"/>
      <c r="E40" s="506" t="s">
        <v>452</v>
      </c>
      <c r="F40" s="507"/>
      <c r="G40" s="507"/>
      <c r="H40" s="507"/>
      <c r="I40" s="508"/>
      <c r="J40" s="503" t="s">
        <v>453</v>
      </c>
      <c r="K40" s="504"/>
      <c r="L40" s="505"/>
      <c r="M40" s="503" t="s">
        <v>454</v>
      </c>
      <c r="N40" s="504"/>
      <c r="O40" s="505"/>
    </row>
    <row r="41" spans="1:15" ht="96.75" customHeight="1">
      <c r="B41" s="503" t="s">
        <v>455</v>
      </c>
      <c r="C41" s="504"/>
      <c r="D41" s="505"/>
      <c r="E41" s="506" t="s">
        <v>456</v>
      </c>
      <c r="F41" s="507"/>
      <c r="G41" s="507"/>
      <c r="H41" s="507"/>
      <c r="I41" s="508"/>
      <c r="J41" s="503" t="s">
        <v>430</v>
      </c>
      <c r="K41" s="504"/>
      <c r="L41" s="505"/>
      <c r="M41" s="503" t="s">
        <v>431</v>
      </c>
      <c r="N41" s="504"/>
      <c r="O41" s="505"/>
    </row>
    <row r="42" spans="1:15" ht="44.25" customHeight="1">
      <c r="B42" s="545" t="s">
        <v>303</v>
      </c>
      <c r="C42" s="546"/>
      <c r="D42" s="547"/>
      <c r="E42" s="548" t="s">
        <v>278</v>
      </c>
      <c r="F42" s="549"/>
      <c r="G42" s="549"/>
      <c r="H42" s="549"/>
      <c r="I42" s="550"/>
      <c r="J42" s="548" t="s">
        <v>279</v>
      </c>
      <c r="K42" s="549"/>
      <c r="L42" s="550"/>
      <c r="M42" s="548" t="s">
        <v>280</v>
      </c>
      <c r="N42" s="549"/>
      <c r="O42" s="550"/>
    </row>
    <row r="43" spans="1:15" ht="18.75" customHeight="1">
      <c r="B43" s="238"/>
      <c r="C43" s="239"/>
      <c r="D43" s="239"/>
      <c r="E43" s="232"/>
      <c r="F43" s="234"/>
      <c r="G43" s="234"/>
      <c r="H43" s="234"/>
      <c r="I43" s="234"/>
      <c r="J43" s="232"/>
      <c r="K43" s="232"/>
      <c r="L43" s="233"/>
      <c r="M43" s="231"/>
      <c r="N43" s="232"/>
      <c r="O43" s="233"/>
    </row>
    <row r="44" spans="1:15" ht="15.75" customHeight="1">
      <c r="B44" s="565" t="s">
        <v>300</v>
      </c>
      <c r="C44" s="566"/>
      <c r="D44" s="566"/>
      <c r="E44" s="566"/>
      <c r="F44" s="566"/>
      <c r="G44" s="566"/>
      <c r="H44" s="566"/>
      <c r="I44" s="566"/>
      <c r="J44" s="566"/>
      <c r="K44" s="566"/>
      <c r="L44" s="567"/>
      <c r="M44" s="555" t="s">
        <v>290</v>
      </c>
      <c r="N44" s="556"/>
      <c r="O44" s="557"/>
    </row>
    <row r="45" spans="1:15">
      <c r="D45" s="218"/>
    </row>
    <row r="47" spans="1:15">
      <c r="D47" s="218"/>
    </row>
    <row r="48" spans="1:15">
      <c r="D48" s="218"/>
    </row>
  </sheetData>
  <mergeCells count="115">
    <mergeCell ref="B2:M2"/>
    <mergeCell ref="B5:O5"/>
    <mergeCell ref="M8:O8"/>
    <mergeCell ref="J8:L8"/>
    <mergeCell ref="E7:I7"/>
    <mergeCell ref="B7:D7"/>
    <mergeCell ref="M7:O7"/>
    <mergeCell ref="B8:D8"/>
    <mergeCell ref="B10:D10"/>
    <mergeCell ref="J10:L10"/>
    <mergeCell ref="M10:O10"/>
    <mergeCell ref="E19:I19"/>
    <mergeCell ref="J9:L9"/>
    <mergeCell ref="E8:I8"/>
    <mergeCell ref="J7:L7"/>
    <mergeCell ref="B21:D21"/>
    <mergeCell ref="E21:I21"/>
    <mergeCell ref="E11:I11"/>
    <mergeCell ref="B20:D20"/>
    <mergeCell ref="E15:I15"/>
    <mergeCell ref="E14:I14"/>
    <mergeCell ref="J19:L19"/>
    <mergeCell ref="E18:I18"/>
    <mergeCell ref="E10:I10"/>
    <mergeCell ref="J11:L11"/>
    <mergeCell ref="J20:L20"/>
    <mergeCell ref="E20:I20"/>
    <mergeCell ref="J15:L15"/>
    <mergeCell ref="E13:I13"/>
    <mergeCell ref="J13:L13"/>
    <mergeCell ref="J14:L14"/>
    <mergeCell ref="M9:O9"/>
    <mergeCell ref="B9:D9"/>
    <mergeCell ref="E9:I9"/>
    <mergeCell ref="M13:O13"/>
    <mergeCell ref="M11:O11"/>
    <mergeCell ref="M12:O12"/>
    <mergeCell ref="B12:D12"/>
    <mergeCell ref="B11:D11"/>
    <mergeCell ref="J12:L12"/>
    <mergeCell ref="E12:I12"/>
    <mergeCell ref="B13:D13"/>
    <mergeCell ref="B16:O16"/>
    <mergeCell ref="B14:D14"/>
    <mergeCell ref="M18:O18"/>
    <mergeCell ref="M14:O14"/>
    <mergeCell ref="M19:O19"/>
    <mergeCell ref="M15:O15"/>
    <mergeCell ref="J18:L18"/>
    <mergeCell ref="B42:D42"/>
    <mergeCell ref="E42:I42"/>
    <mergeCell ref="B15:D15"/>
    <mergeCell ref="J42:L42"/>
    <mergeCell ref="B18:D18"/>
    <mergeCell ref="B19:D19"/>
    <mergeCell ref="J21:L21"/>
    <mergeCell ref="M44:O44"/>
    <mergeCell ref="B30:O30"/>
    <mergeCell ref="B32:D32"/>
    <mergeCell ref="E32:I32"/>
    <mergeCell ref="J32:L32"/>
    <mergeCell ref="M32:O32"/>
    <mergeCell ref="B44:L44"/>
    <mergeCell ref="M37:O37"/>
    <mergeCell ref="M39:O39"/>
    <mergeCell ref="M36:O36"/>
    <mergeCell ref="M20:O20"/>
    <mergeCell ref="M42:O42"/>
    <mergeCell ref="J37:L37"/>
    <mergeCell ref="M38:O38"/>
    <mergeCell ref="J35:L35"/>
    <mergeCell ref="J33:L33"/>
    <mergeCell ref="J36:L36"/>
    <mergeCell ref="M33:O33"/>
    <mergeCell ref="M21:O21"/>
    <mergeCell ref="M22:O22"/>
    <mergeCell ref="M23:O24"/>
    <mergeCell ref="M25:O25"/>
    <mergeCell ref="M35:O35"/>
    <mergeCell ref="B25:D25"/>
    <mergeCell ref="E25:I25"/>
    <mergeCell ref="B33:D33"/>
    <mergeCell ref="M34:O34"/>
    <mergeCell ref="B34:D34"/>
    <mergeCell ref="J34:L34"/>
    <mergeCell ref="E33:I33"/>
    <mergeCell ref="B22:D22"/>
    <mergeCell ref="B23:D24"/>
    <mergeCell ref="E22:I22"/>
    <mergeCell ref="E24:I24"/>
    <mergeCell ref="J25:L25"/>
    <mergeCell ref="E23:I23"/>
    <mergeCell ref="J23:L24"/>
    <mergeCell ref="J22:L22"/>
    <mergeCell ref="B38:D38"/>
    <mergeCell ref="E34:I34"/>
    <mergeCell ref="B37:D37"/>
    <mergeCell ref="B36:D36"/>
    <mergeCell ref="E37:I37"/>
    <mergeCell ref="E36:I36"/>
    <mergeCell ref="B35:D35"/>
    <mergeCell ref="E35:I35"/>
    <mergeCell ref="M41:O41"/>
    <mergeCell ref="J39:L39"/>
    <mergeCell ref="J40:L40"/>
    <mergeCell ref="J41:L41"/>
    <mergeCell ref="E40:I40"/>
    <mergeCell ref="B40:D40"/>
    <mergeCell ref="B41:D41"/>
    <mergeCell ref="E41:I41"/>
    <mergeCell ref="B39:D39"/>
    <mergeCell ref="J38:L38"/>
    <mergeCell ref="M40:O40"/>
    <mergeCell ref="E38:I38"/>
    <mergeCell ref="E39:I39"/>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44"/>
  <sheetViews>
    <sheetView showGridLines="0" tabSelected="1" view="pageBreakPreview" topLeftCell="C52" zoomScale="60" zoomScaleNormal="55" zoomScalePageLayoutView="85" workbookViewId="0">
      <selection activeCell="K74" sqref="K74"/>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8.42578125" customWidth="1"/>
    <col min="11" max="11" width="16" customWidth="1"/>
    <col min="12" max="12" width="15.28515625" customWidth="1"/>
    <col min="13" max="13" width="15.42578125" customWidth="1"/>
    <col min="14" max="14" width="15.28515625" style="36" customWidth="1"/>
    <col min="15" max="15" width="15.42578125" style="36" customWidth="1"/>
    <col min="16" max="16" width="15.8554687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5.140625" customWidth="1"/>
    <col min="25" max="25" width="13.140625" customWidth="1"/>
    <col min="26" max="26" width="12.42578125" customWidth="1"/>
    <col min="27" max="27" width="14.42578125" customWidth="1"/>
    <col min="28" max="28" width="13.28515625"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04" t="s">
        <v>378</v>
      </c>
      <c r="C2" s="604"/>
      <c r="D2" s="604"/>
      <c r="E2" s="604"/>
      <c r="F2" s="604"/>
      <c r="G2" s="604"/>
      <c r="H2" s="604"/>
      <c r="I2" s="604"/>
      <c r="J2" s="604"/>
      <c r="K2" s="268"/>
      <c r="L2" s="268"/>
      <c r="M2" s="268"/>
    </row>
    <row r="3" spans="1:13" ht="4.5" customHeight="1">
      <c r="A3" s="3"/>
      <c r="B3" s="3"/>
      <c r="C3" s="3"/>
      <c r="D3" s="3"/>
      <c r="E3" s="3"/>
      <c r="F3" s="3"/>
      <c r="G3" s="3"/>
      <c r="H3" s="3"/>
      <c r="I3" s="3"/>
      <c r="J3" s="3"/>
      <c r="K3" s="3"/>
      <c r="L3" s="3"/>
      <c r="M3" s="3"/>
    </row>
    <row r="4" spans="1:13">
      <c r="A4" s="3"/>
      <c r="B4" s="266" t="s">
        <v>31</v>
      </c>
      <c r="C4" s="589" t="s">
        <v>211</v>
      </c>
      <c r="D4" s="590"/>
      <c r="E4" s="588" t="s">
        <v>17</v>
      </c>
      <c r="F4" s="588"/>
      <c r="G4" s="589" t="s">
        <v>425</v>
      </c>
      <c r="H4" s="605"/>
      <c r="I4" s="605"/>
      <c r="J4" s="590"/>
      <c r="K4" s="3"/>
      <c r="L4" s="3"/>
      <c r="M4" s="3"/>
    </row>
    <row r="5" spans="1:13" ht="3" customHeight="1">
      <c r="A5" s="3"/>
      <c r="B5" s="266"/>
      <c r="C5" s="3"/>
      <c r="D5" s="3"/>
      <c r="E5" s="269"/>
      <c r="F5" s="269"/>
      <c r="G5" s="3"/>
      <c r="H5" s="3"/>
      <c r="I5" s="3"/>
      <c r="J5" s="3"/>
      <c r="K5" s="3"/>
      <c r="L5" s="3"/>
      <c r="M5" s="3"/>
    </row>
    <row r="6" spans="1:13">
      <c r="A6" s="3"/>
      <c r="B6" s="266" t="s">
        <v>121</v>
      </c>
      <c r="C6" s="589" t="s">
        <v>457</v>
      </c>
      <c r="D6" s="590"/>
      <c r="E6" s="588" t="s">
        <v>32</v>
      </c>
      <c r="F6" s="588"/>
      <c r="G6" s="296" t="s">
        <v>33</v>
      </c>
      <c r="H6" s="266" t="s">
        <v>325</v>
      </c>
      <c r="I6" s="608" t="s">
        <v>458</v>
      </c>
      <c r="J6" s="609"/>
      <c r="K6" s="3"/>
      <c r="L6" s="3"/>
      <c r="M6" s="3"/>
    </row>
    <row r="7" spans="1:13" ht="3" customHeight="1">
      <c r="A7" s="3"/>
      <c r="B7" s="266"/>
      <c r="C7" s="3"/>
      <c r="D7" s="3"/>
      <c r="E7" s="269"/>
      <c r="F7" s="269"/>
      <c r="G7" s="3"/>
      <c r="H7" s="266"/>
      <c r="I7" s="3"/>
      <c r="J7" s="3"/>
      <c r="K7" s="3"/>
      <c r="L7" s="3"/>
      <c r="M7" s="3"/>
    </row>
    <row r="8" spans="1:13">
      <c r="A8" s="3"/>
      <c r="B8" s="266" t="s">
        <v>273</v>
      </c>
      <c r="C8" s="589" t="s">
        <v>418</v>
      </c>
      <c r="D8" s="590"/>
      <c r="E8" s="270"/>
      <c r="F8" s="265" t="s">
        <v>327</v>
      </c>
      <c r="G8" s="433" t="s">
        <v>426</v>
      </c>
      <c r="H8" s="265" t="s">
        <v>326</v>
      </c>
      <c r="I8" s="589" t="s">
        <v>464</v>
      </c>
      <c r="J8" s="590"/>
      <c r="K8" s="3"/>
      <c r="L8" s="3"/>
      <c r="M8" s="3"/>
    </row>
    <row r="9" spans="1:13" ht="3" customHeight="1">
      <c r="A9" s="3"/>
      <c r="B9" s="269"/>
      <c r="C9" s="3"/>
      <c r="D9" s="3"/>
      <c r="E9" s="269"/>
      <c r="F9" s="269"/>
      <c r="G9" s="3"/>
      <c r="H9" s="3"/>
      <c r="I9" s="3"/>
      <c r="J9" s="3"/>
      <c r="K9" s="3"/>
      <c r="L9" s="3"/>
      <c r="M9" s="3"/>
    </row>
    <row r="10" spans="1:13">
      <c r="A10" s="3"/>
      <c r="B10" s="266" t="s">
        <v>407</v>
      </c>
      <c r="C10" s="612" t="s">
        <v>419</v>
      </c>
      <c r="D10" s="613"/>
      <c r="E10" s="606" t="s">
        <v>36</v>
      </c>
      <c r="F10" s="607"/>
      <c r="G10" s="589" t="s">
        <v>62</v>
      </c>
      <c r="H10" s="605"/>
      <c r="I10" s="605"/>
      <c r="J10" s="590"/>
      <c r="K10" s="3"/>
      <c r="L10" s="3"/>
      <c r="M10" s="3"/>
    </row>
    <row r="11" spans="1:13" ht="5.25" customHeight="1">
      <c r="A11" s="3"/>
      <c r="B11" s="3"/>
      <c r="C11" s="3"/>
      <c r="D11" s="3"/>
      <c r="E11" s="3"/>
      <c r="F11" s="3"/>
      <c r="G11" s="3"/>
      <c r="H11" s="3"/>
      <c r="I11" s="3"/>
      <c r="J11" s="3"/>
      <c r="K11" s="3"/>
      <c r="L11" s="3"/>
      <c r="M11" s="3"/>
    </row>
    <row r="12" spans="1:13" ht="15" customHeight="1">
      <c r="A12" s="3"/>
      <c r="B12" s="266" t="s">
        <v>34</v>
      </c>
      <c r="C12" s="628" t="s">
        <v>49</v>
      </c>
      <c r="D12" s="628"/>
      <c r="E12" s="606" t="s">
        <v>294</v>
      </c>
      <c r="F12" s="588"/>
      <c r="G12" s="610" t="s">
        <v>427</v>
      </c>
      <c r="H12" s="610"/>
      <c r="I12" s="610"/>
      <c r="J12" s="610"/>
      <c r="K12" s="3"/>
      <c r="L12" s="3"/>
      <c r="M12" s="3"/>
    </row>
    <row r="13" spans="1:13" ht="5.25" customHeight="1">
      <c r="A13" s="3"/>
      <c r="B13" s="3"/>
      <c r="C13" s="3"/>
      <c r="D13" s="3"/>
      <c r="E13" s="3"/>
      <c r="F13" s="3"/>
      <c r="G13" s="3"/>
      <c r="H13" s="3"/>
      <c r="I13" s="3"/>
      <c r="J13" s="3"/>
      <c r="K13" s="3"/>
      <c r="L13" s="3"/>
      <c r="M13" s="3"/>
    </row>
    <row r="14" spans="1:13" ht="15.75" customHeight="1">
      <c r="A14" s="3"/>
      <c r="B14" s="604" t="s">
        <v>7</v>
      </c>
      <c r="C14" s="604"/>
      <c r="D14" s="604"/>
      <c r="E14" s="604"/>
      <c r="F14" s="604"/>
      <c r="G14" s="604"/>
      <c r="H14" s="604"/>
      <c r="I14" s="604"/>
      <c r="J14" s="604"/>
      <c r="K14" s="3"/>
      <c r="L14" s="3"/>
      <c r="M14" s="3"/>
    </row>
    <row r="15" spans="1:13" ht="3" customHeight="1">
      <c r="A15" s="3"/>
      <c r="B15" s="3"/>
      <c r="C15" s="3"/>
      <c r="D15" s="3"/>
      <c r="E15" s="3"/>
      <c r="F15" s="3"/>
      <c r="G15" s="3"/>
      <c r="H15" s="3"/>
      <c r="I15" s="3"/>
      <c r="J15" s="3"/>
      <c r="K15" s="3"/>
      <c r="L15" s="3"/>
      <c r="M15" s="3"/>
    </row>
    <row r="16" spans="1:13">
      <c r="A16" s="3"/>
      <c r="B16" s="266" t="s">
        <v>26</v>
      </c>
      <c r="C16" s="465" t="s">
        <v>292</v>
      </c>
      <c r="D16" s="265" t="s">
        <v>328</v>
      </c>
      <c r="E16" s="481" t="s">
        <v>490</v>
      </c>
      <c r="F16" s="267" t="s">
        <v>13</v>
      </c>
      <c r="G16" s="271" t="s">
        <v>491</v>
      </c>
      <c r="H16" s="606" t="s">
        <v>329</v>
      </c>
      <c r="I16" s="607"/>
      <c r="J16" s="480">
        <v>42050</v>
      </c>
      <c r="K16" s="3"/>
      <c r="L16" s="3"/>
      <c r="M16" s="3"/>
    </row>
    <row r="17" spans="1:35" ht="3" customHeight="1">
      <c r="A17" s="3"/>
      <c r="B17" s="3"/>
      <c r="C17" s="3"/>
      <c r="D17" s="3"/>
      <c r="E17" s="3"/>
      <c r="F17" s="3"/>
      <c r="G17" s="3"/>
      <c r="H17" s="3"/>
      <c r="I17" s="3"/>
      <c r="J17" s="3"/>
      <c r="K17" s="3"/>
      <c r="L17" s="3"/>
      <c r="M17" s="3"/>
    </row>
    <row r="18" spans="1:35">
      <c r="A18" s="3"/>
      <c r="B18" s="611" t="s">
        <v>37</v>
      </c>
      <c r="C18" s="607"/>
      <c r="D18" s="629" t="s">
        <v>418</v>
      </c>
      <c r="E18" s="629"/>
      <c r="F18" s="629"/>
      <c r="G18" s="272"/>
      <c r="H18" s="272"/>
      <c r="I18" s="272"/>
      <c r="J18" s="272"/>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04" t="s">
        <v>366</v>
      </c>
      <c r="C21" s="604"/>
      <c r="D21" s="604"/>
      <c r="E21" s="604"/>
      <c r="F21" s="604"/>
      <c r="G21" s="604"/>
      <c r="H21" s="604"/>
      <c r="I21" s="604"/>
      <c r="J21" s="604"/>
      <c r="K21" s="3"/>
      <c r="L21" s="3"/>
      <c r="M21" s="3"/>
    </row>
    <row r="22" spans="1:35">
      <c r="A22" s="3"/>
      <c r="B22" s="269" t="s">
        <v>8</v>
      </c>
      <c r="C22" s="3"/>
      <c r="D22" s="3"/>
      <c r="E22" s="273"/>
      <c r="F22" s="273"/>
      <c r="G22" s="3"/>
      <c r="H22" s="3"/>
      <c r="I22" s="273"/>
      <c r="J22" s="273"/>
      <c r="K22" s="3"/>
      <c r="L22" s="3"/>
      <c r="M22" s="3"/>
    </row>
    <row r="23" spans="1:35" ht="3" customHeight="1">
      <c r="A23" s="3"/>
      <c r="B23" s="3"/>
      <c r="C23" s="3"/>
      <c r="D23" s="3"/>
      <c r="E23" s="3"/>
      <c r="F23" s="3"/>
      <c r="G23" s="3"/>
      <c r="H23" s="3"/>
      <c r="I23" s="3"/>
      <c r="J23" s="3"/>
      <c r="K23" s="3"/>
      <c r="L23" s="3"/>
      <c r="M23" s="3"/>
    </row>
    <row r="24" spans="1:35" ht="15.75" thickBot="1">
      <c r="A24" s="3"/>
      <c r="B24" s="266" t="s">
        <v>402</v>
      </c>
      <c r="C24" s="365"/>
      <c r="D24" s="588" t="s">
        <v>403</v>
      </c>
      <c r="E24" s="588"/>
      <c r="F24" s="366"/>
      <c r="G24" s="588" t="s">
        <v>404</v>
      </c>
      <c r="H24" s="588"/>
      <c r="I24" s="619"/>
      <c r="J24" s="620"/>
      <c r="K24" s="3"/>
      <c r="L24" s="3"/>
      <c r="M24" s="3"/>
      <c r="N24" s="20"/>
    </row>
    <row r="25" spans="1:35" ht="19.5" thickBot="1">
      <c r="A25" s="3"/>
      <c r="B25" s="85" t="s">
        <v>402</v>
      </c>
      <c r="C25" s="86"/>
      <c r="D25" s="86"/>
      <c r="E25" s="86"/>
      <c r="F25" s="86"/>
      <c r="G25" s="86"/>
      <c r="H25" s="253"/>
      <c r="I25" s="87"/>
      <c r="J25" s="87"/>
      <c r="K25" s="253" t="s">
        <v>330</v>
      </c>
      <c r="L25" s="86"/>
      <c r="M25" s="86"/>
      <c r="N25" s="378"/>
      <c r="O25" s="40"/>
      <c r="AI25" s="42"/>
    </row>
    <row r="26" spans="1:35">
      <c r="A26" s="3"/>
      <c r="B26" s="634" t="s">
        <v>374</v>
      </c>
      <c r="C26" s="635"/>
      <c r="D26" s="390" t="s">
        <v>19</v>
      </c>
      <c r="E26" s="89"/>
      <c r="F26" s="89"/>
      <c r="G26" s="89"/>
      <c r="H26" s="89"/>
      <c r="I26" s="89"/>
      <c r="J26" s="90"/>
      <c r="K26" s="89"/>
      <c r="L26" s="89"/>
      <c r="M26" s="89"/>
      <c r="N26" s="40"/>
      <c r="O26" s="40"/>
      <c r="AI26" s="42"/>
    </row>
    <row r="27" spans="1:35" ht="18.75">
      <c r="A27" s="3"/>
      <c r="B27" s="88" t="s">
        <v>384</v>
      </c>
      <c r="C27" s="89"/>
      <c r="D27" s="89"/>
      <c r="E27" s="89"/>
      <c r="F27" s="89"/>
      <c r="G27" s="89"/>
      <c r="H27" s="89"/>
      <c r="I27" s="89"/>
      <c r="J27" s="90"/>
      <c r="K27" s="89"/>
      <c r="L27" s="89"/>
      <c r="M27" s="89"/>
      <c r="N27" s="40"/>
      <c r="O27" s="40"/>
      <c r="AI27" s="42"/>
    </row>
    <row r="28" spans="1:35" ht="15.75" thickBot="1">
      <c r="A28" s="3"/>
      <c r="B28" s="3"/>
      <c r="C28" s="3"/>
      <c r="D28" s="3"/>
      <c r="E28" s="3"/>
      <c r="F28" s="3"/>
      <c r="G28" s="3"/>
      <c r="H28" s="3"/>
      <c r="I28" s="3"/>
      <c r="J28" s="3"/>
      <c r="K28" s="3"/>
      <c r="L28" s="3"/>
      <c r="M28" s="3"/>
    </row>
    <row r="29" spans="1:35" ht="15.75" thickBot="1">
      <c r="A29" s="3"/>
      <c r="B29" s="594" t="s">
        <v>65</v>
      </c>
      <c r="C29" s="595"/>
      <c r="D29" s="595"/>
      <c r="E29" s="595"/>
      <c r="F29" s="595"/>
      <c r="G29" s="595"/>
      <c r="H29" s="595"/>
      <c r="I29" s="595"/>
      <c r="J29" s="595"/>
      <c r="K29" s="595"/>
      <c r="L29" s="595"/>
      <c r="M29" s="595"/>
      <c r="N29" s="596"/>
      <c r="P29" s="203"/>
      <c r="Q29" s="204"/>
      <c r="R29" s="205">
        <f>+C33</f>
        <v>0</v>
      </c>
      <c r="S29" s="203"/>
    </row>
    <row r="30" spans="1:35" ht="26.25">
      <c r="A30" s="3"/>
      <c r="B30" s="91" t="s">
        <v>272</v>
      </c>
      <c r="C30" s="345"/>
      <c r="D30" s="345"/>
      <c r="E30" s="345"/>
      <c r="F30" s="457" t="s">
        <v>463</v>
      </c>
      <c r="G30" s="345" t="s">
        <v>461</v>
      </c>
      <c r="H30" s="345" t="s">
        <v>462</v>
      </c>
      <c r="I30" s="345" t="s">
        <v>482</v>
      </c>
      <c r="J30" s="345" t="s">
        <v>483</v>
      </c>
      <c r="K30" s="345" t="s">
        <v>480</v>
      </c>
      <c r="L30" s="345" t="s">
        <v>481</v>
      </c>
      <c r="M30" s="345" t="s">
        <v>493</v>
      </c>
      <c r="N30" s="345" t="s">
        <v>492</v>
      </c>
      <c r="O30" s="346" t="s">
        <v>9</v>
      </c>
      <c r="P30" s="203"/>
      <c r="Q30" s="204"/>
      <c r="R30" s="205">
        <f>+D33</f>
        <v>0</v>
      </c>
      <c r="S30" s="203"/>
    </row>
    <row r="31" spans="1:35" ht="15" customHeight="1">
      <c r="A31" s="3"/>
      <c r="B31" s="262" t="str">
        <f>CONCATENATE("Budget (in ",'Data Entry'!$D$26,")")</f>
        <v>Budget (in €)</v>
      </c>
      <c r="C31" s="356"/>
      <c r="D31" s="355"/>
      <c r="E31" s="355"/>
      <c r="F31" s="455">
        <v>8116137</v>
      </c>
      <c r="G31" s="455">
        <v>470112.82</v>
      </c>
      <c r="H31" s="455">
        <v>506932.17</v>
      </c>
      <c r="I31" s="355">
        <v>498482.07</v>
      </c>
      <c r="J31" s="355">
        <v>511009.03</v>
      </c>
      <c r="K31" s="355">
        <v>465362.81688</v>
      </c>
      <c r="L31" s="355">
        <v>487179.66951999994</v>
      </c>
      <c r="M31" s="355">
        <v>491437.94919999997</v>
      </c>
      <c r="N31" s="355">
        <v>510756.52967999998</v>
      </c>
      <c r="O31" s="644">
        <f>M34/M33</f>
        <v>1.0440217057932017</v>
      </c>
      <c r="P31" s="203"/>
      <c r="Q31" s="204"/>
      <c r="R31" s="205">
        <f>+E33</f>
        <v>0</v>
      </c>
      <c r="S31" s="203"/>
    </row>
    <row r="32" spans="1:35" ht="15" customHeight="1">
      <c r="A32" s="3"/>
      <c r="B32" s="91" t="str">
        <f>CONCATENATE("Disbursements by GF (in ", $D$26,")")</f>
        <v>Disbursements by GF (in €)</v>
      </c>
      <c r="C32" s="356"/>
      <c r="D32" s="356"/>
      <c r="E32" s="356"/>
      <c r="F32" s="456">
        <v>8116137</v>
      </c>
      <c r="G32" s="455">
        <v>2449445.91</v>
      </c>
      <c r="H32" s="455"/>
      <c r="I32" s="355"/>
      <c r="J32" s="355"/>
      <c r="K32" s="355"/>
      <c r="L32" s="355">
        <v>1489374</v>
      </c>
      <c r="M32" s="355"/>
      <c r="N32" s="355"/>
      <c r="O32" s="645"/>
      <c r="P32" s="203"/>
      <c r="Q32" s="204"/>
      <c r="R32" s="205">
        <f>+F33</f>
        <v>8116137</v>
      </c>
      <c r="S32" s="203"/>
    </row>
    <row r="33" spans="1:36" ht="15" customHeight="1">
      <c r="A33" s="3"/>
      <c r="B33" s="92" t="s">
        <v>390</v>
      </c>
      <c r="C33" s="357"/>
      <c r="D33" s="357"/>
      <c r="E33" s="357"/>
      <c r="F33" s="357">
        <f t="shared" ref="F33:N33" si="0">IF(AND(F31=0,F32=0),0,+E33+F31)</f>
        <v>8116137</v>
      </c>
      <c r="G33" s="357">
        <f t="shared" si="0"/>
        <v>8586249.8200000003</v>
      </c>
      <c r="H33" s="357">
        <f t="shared" si="0"/>
        <v>9093181.9900000002</v>
      </c>
      <c r="I33" s="357">
        <f t="shared" si="0"/>
        <v>9591664.0600000005</v>
      </c>
      <c r="J33" s="357">
        <f t="shared" si="0"/>
        <v>10102673.09</v>
      </c>
      <c r="K33" s="357">
        <f t="shared" si="0"/>
        <v>10568035.906880001</v>
      </c>
      <c r="L33" s="357">
        <f t="shared" si="0"/>
        <v>11055215.576400001</v>
      </c>
      <c r="M33" s="357">
        <f t="shared" si="0"/>
        <v>11546653.525600001</v>
      </c>
      <c r="N33" s="357">
        <f t="shared" si="0"/>
        <v>12057410.055280002</v>
      </c>
      <c r="O33" s="645"/>
      <c r="P33" s="344"/>
      <c r="Q33" s="204"/>
      <c r="R33" s="205">
        <f>+G33</f>
        <v>8586249.8200000003</v>
      </c>
      <c r="S33" s="203"/>
    </row>
    <row r="34" spans="1:36" ht="15.75" customHeight="1" thickBot="1">
      <c r="A34" s="3"/>
      <c r="B34" s="93" t="s">
        <v>391</v>
      </c>
      <c r="C34" s="358"/>
      <c r="D34" s="358"/>
      <c r="E34" s="358"/>
      <c r="F34" s="358">
        <f t="shared" ref="F34:N34" si="1">IF(AND(F31=0,F32=0),0,+E34+F32)</f>
        <v>8116137</v>
      </c>
      <c r="G34" s="358">
        <f t="shared" si="1"/>
        <v>10565582.91</v>
      </c>
      <c r="H34" s="358">
        <f t="shared" si="1"/>
        <v>10565582.91</v>
      </c>
      <c r="I34" s="358">
        <f t="shared" si="1"/>
        <v>10565582.91</v>
      </c>
      <c r="J34" s="358">
        <f t="shared" si="1"/>
        <v>10565582.91</v>
      </c>
      <c r="K34" s="358">
        <f t="shared" si="1"/>
        <v>10565582.91</v>
      </c>
      <c r="L34" s="358">
        <f t="shared" si="1"/>
        <v>12054956.91</v>
      </c>
      <c r="M34" s="358">
        <f t="shared" si="1"/>
        <v>12054956.91</v>
      </c>
      <c r="N34" s="358">
        <f t="shared" si="1"/>
        <v>12054956.91</v>
      </c>
      <c r="O34" s="646"/>
      <c r="P34" s="344"/>
      <c r="Q34" s="204"/>
      <c r="R34" s="205">
        <f>+H33</f>
        <v>9093181.9900000002</v>
      </c>
      <c r="S34" s="203"/>
    </row>
    <row r="35" spans="1:36">
      <c r="A35" s="3"/>
      <c r="B35" s="3"/>
      <c r="C35" s="322">
        <f t="shared" ref="C35:N35" si="2">+IF(AND(C30=$C$16,C33&lt;&gt;0),C34/C33,0)</f>
        <v>0</v>
      </c>
      <c r="D35" s="322">
        <f t="shared" si="2"/>
        <v>0</v>
      </c>
      <c r="E35" s="322">
        <f t="shared" si="2"/>
        <v>0</v>
      </c>
      <c r="F35" s="322">
        <f t="shared" si="2"/>
        <v>0</v>
      </c>
      <c r="G35" s="322">
        <f t="shared" si="2"/>
        <v>0</v>
      </c>
      <c r="H35" s="322">
        <f t="shared" si="2"/>
        <v>0</v>
      </c>
      <c r="I35" s="322">
        <f t="shared" si="2"/>
        <v>0</v>
      </c>
      <c r="J35" s="322">
        <f t="shared" si="2"/>
        <v>0</v>
      </c>
      <c r="K35" s="322">
        <f t="shared" si="2"/>
        <v>0</v>
      </c>
      <c r="L35" s="322">
        <f t="shared" si="2"/>
        <v>0</v>
      </c>
      <c r="M35" s="322">
        <f t="shared" si="2"/>
        <v>0</v>
      </c>
      <c r="N35" s="322">
        <f t="shared" si="2"/>
        <v>0</v>
      </c>
      <c r="O35" s="274"/>
      <c r="P35" s="206"/>
      <c r="Q35" s="207"/>
      <c r="R35" s="205">
        <f>+I33</f>
        <v>9591664.0600000005</v>
      </c>
      <c r="S35" s="203"/>
    </row>
    <row r="36" spans="1:36" ht="18.75">
      <c r="A36" s="3"/>
      <c r="B36" s="88" t="s">
        <v>383</v>
      </c>
      <c r="C36" s="3"/>
      <c r="D36" s="3"/>
      <c r="E36" s="335"/>
      <c r="F36" s="3"/>
      <c r="G36" s="250"/>
      <c r="H36" s="3"/>
      <c r="I36" s="3"/>
      <c r="J36" s="3"/>
      <c r="K36" s="3"/>
      <c r="L36" s="3"/>
      <c r="M36" s="3"/>
      <c r="N36" s="41"/>
      <c r="O36" s="41"/>
      <c r="AI36" s="20"/>
    </row>
    <row r="37" spans="1:36" ht="15.75" thickBot="1">
      <c r="A37" s="3"/>
      <c r="B37" s="3"/>
      <c r="C37" s="3"/>
      <c r="D37" s="3"/>
      <c r="E37" s="3"/>
      <c r="F37" s="3"/>
      <c r="G37" s="3"/>
      <c r="H37" s="3"/>
      <c r="I37" s="3"/>
      <c r="J37" s="3"/>
      <c r="K37" s="3"/>
      <c r="L37" s="3"/>
      <c r="M37" s="3"/>
      <c r="N37" s="39"/>
      <c r="O37" s="39"/>
    </row>
    <row r="38" spans="1:36" ht="30" customHeight="1">
      <c r="A38" s="3"/>
      <c r="B38" s="367" t="s">
        <v>406</v>
      </c>
      <c r="C38" s="368" t="str">
        <f>CONCATENATE("Cumulative Budget (in ",'Data Entry'!$D$26,")")</f>
        <v>Cumulative Budget (in €)</v>
      </c>
      <c r="D38" s="369" t="str">
        <f>CONCATENATE("Cumulative Expenditures (in ",'Data Entry'!$D$26,")")</f>
        <v>Cumulative Expenditures (in €)</v>
      </c>
      <c r="E38" s="259"/>
      <c r="F38" s="276"/>
      <c r="G38" s="3"/>
      <c r="H38" s="3"/>
      <c r="I38" s="3"/>
      <c r="J38" s="99"/>
      <c r="K38" s="20"/>
      <c r="N38"/>
      <c r="O38"/>
      <c r="AE38" s="20"/>
      <c r="AF38" s="36"/>
    </row>
    <row r="39" spans="1:36" s="472" customFormat="1" ht="30.75" customHeight="1">
      <c r="A39" s="466"/>
      <c r="B39" s="476" t="s">
        <v>479</v>
      </c>
      <c r="C39" s="477">
        <v>1254200.9364</v>
      </c>
      <c r="D39" s="478">
        <v>1252215.6796518732</v>
      </c>
      <c r="E39" s="467"/>
      <c r="F39" s="467"/>
      <c r="G39" s="468"/>
      <c r="H39" s="466"/>
      <c r="I39" s="466"/>
      <c r="J39" s="469"/>
      <c r="K39" s="470"/>
      <c r="L39" s="471"/>
      <c r="AE39" s="470"/>
      <c r="AF39" s="473"/>
      <c r="AH39" s="473"/>
      <c r="AI39" s="473"/>
      <c r="AJ39" s="473"/>
    </row>
    <row r="40" spans="1:36" s="472" customFormat="1" ht="30.75" customHeight="1">
      <c r="A40" s="466"/>
      <c r="B40" s="476" t="s">
        <v>477</v>
      </c>
      <c r="C40" s="477">
        <v>7701497.2196800001</v>
      </c>
      <c r="D40" s="478">
        <v>7733134.2851123679</v>
      </c>
      <c r="E40" s="467"/>
      <c r="G40" s="466"/>
      <c r="H40" s="466"/>
      <c r="I40" s="466"/>
      <c r="K40" s="470"/>
      <c r="L40" s="466"/>
      <c r="AE40" s="470"/>
      <c r="AF40" s="473"/>
      <c r="AH40" s="473"/>
      <c r="AI40" s="473"/>
      <c r="AJ40" s="473"/>
    </row>
    <row r="41" spans="1:36" s="472" customFormat="1" ht="30.75" customHeight="1">
      <c r="A41" s="466"/>
      <c r="B41" s="476" t="s">
        <v>478</v>
      </c>
      <c r="C41" s="477">
        <v>1210094.4791999999</v>
      </c>
      <c r="D41" s="478">
        <v>1208483.2205934157</v>
      </c>
      <c r="E41" s="475"/>
      <c r="F41" s="475"/>
      <c r="G41" s="468"/>
      <c r="H41" s="466"/>
      <c r="I41" s="466"/>
      <c r="J41" s="466"/>
      <c r="K41" s="466"/>
      <c r="L41" s="471"/>
      <c r="AE41" s="470"/>
      <c r="AF41" s="473"/>
      <c r="AH41" s="473"/>
      <c r="AI41" s="473"/>
      <c r="AJ41" s="473"/>
    </row>
    <row r="42" spans="1:36" s="472" customFormat="1" ht="30.75" customHeight="1" thickBot="1">
      <c r="A42" s="466"/>
      <c r="B42" s="476" t="s">
        <v>1</v>
      </c>
      <c r="C42" s="477">
        <v>1891617.42</v>
      </c>
      <c r="D42" s="478">
        <v>1963026.7799780096</v>
      </c>
      <c r="E42" s="469"/>
      <c r="F42" s="474"/>
      <c r="G42" s="466"/>
      <c r="H42" s="466"/>
      <c r="I42" s="466"/>
      <c r="K42" s="470"/>
      <c r="AE42" s="470"/>
      <c r="AF42" s="473"/>
      <c r="AH42" s="473"/>
      <c r="AI42" s="473"/>
      <c r="AJ42" s="473"/>
    </row>
    <row r="43" spans="1:36" ht="15.75" thickBot="1">
      <c r="A43" s="3"/>
      <c r="B43" s="370" t="s">
        <v>64</v>
      </c>
      <c r="C43" s="454">
        <f>SUM(C39:C42)</f>
        <v>12057410.05528</v>
      </c>
      <c r="D43" s="454">
        <f>SUM(D39:D42)</f>
        <v>12156859.965335665</v>
      </c>
      <c r="E43" s="274"/>
      <c r="F43" s="648" t="str">
        <f ca="1">+IF((ROUND(C43,0)=ROUND(OFFSET(B33,0,RIGHT('Data Entry'!$C$16,LEN('Data Entry'!$C$16)-1),1,1),0)),"OK: Data match","Warning: Data does not match")</f>
        <v>OK: Data match</v>
      </c>
      <c r="G43" s="649"/>
      <c r="H43" s="649"/>
      <c r="I43" s="650"/>
      <c r="J43" s="197"/>
      <c r="K43" s="197"/>
      <c r="L43" s="197"/>
      <c r="M43" s="206"/>
      <c r="N43" s="207"/>
      <c r="O43" s="205"/>
      <c r="P43" s="203"/>
      <c r="AE43" s="36"/>
      <c r="AF43" s="36"/>
    </row>
    <row r="44" spans="1:36">
      <c r="A44" s="3"/>
      <c r="B44" s="3"/>
      <c r="C44" s="197"/>
      <c r="D44" s="197"/>
      <c r="E44" s="256"/>
      <c r="F44" s="197"/>
      <c r="G44" s="197"/>
      <c r="H44" s="197"/>
      <c r="I44" s="197"/>
      <c r="J44" s="197"/>
      <c r="K44" s="197"/>
      <c r="L44" s="197"/>
      <c r="M44" s="197"/>
      <c r="N44" s="197"/>
      <c r="O44" s="197"/>
      <c r="P44" s="206"/>
      <c r="Q44" s="207"/>
      <c r="R44" s="205"/>
      <c r="S44" s="203"/>
    </row>
    <row r="45" spans="1:36" ht="18.75">
      <c r="A45" s="3"/>
      <c r="B45" s="88" t="s">
        <v>382</v>
      </c>
      <c r="C45" s="3"/>
      <c r="D45" s="3"/>
      <c r="E45" s="3"/>
      <c r="F45" s="197"/>
      <c r="G45" s="3"/>
      <c r="H45" s="3"/>
      <c r="I45" s="3"/>
      <c r="J45" s="3"/>
      <c r="K45" s="3"/>
      <c r="L45" s="3"/>
      <c r="M45" s="3"/>
      <c r="P45" s="203"/>
      <c r="Q45" s="204"/>
      <c r="R45" s="205">
        <f>+J33</f>
        <v>10102673.09</v>
      </c>
      <c r="S45" s="203"/>
    </row>
    <row r="46" spans="1:36" ht="15.75" thickBot="1">
      <c r="A46" s="3"/>
      <c r="B46" s="3"/>
      <c r="C46" s="3"/>
      <c r="D46" s="3"/>
      <c r="E46" s="3"/>
      <c r="F46" s="3"/>
      <c r="G46" s="3"/>
      <c r="H46" s="3"/>
      <c r="I46" s="3"/>
      <c r="J46" s="3"/>
      <c r="K46" s="3"/>
      <c r="L46" s="3"/>
      <c r="M46" s="3"/>
      <c r="P46" s="203"/>
      <c r="Q46" s="204"/>
      <c r="R46" s="205">
        <f>+K33</f>
        <v>10568035.906880001</v>
      </c>
      <c r="S46" s="203"/>
    </row>
    <row r="47" spans="1:36" ht="35.25" customHeight="1">
      <c r="A47" s="3"/>
      <c r="B47" s="279"/>
      <c r="C47" s="280" t="s">
        <v>380</v>
      </c>
      <c r="D47" s="280" t="s">
        <v>381</v>
      </c>
      <c r="E47" s="384" t="str">
        <f>CONCATENATE("Total Spent and Disbursement (in ",D26,")")</f>
        <v>Total Spent and Disbursement (in €)</v>
      </c>
      <c r="F47" s="3"/>
      <c r="G47" s="283"/>
      <c r="H47" s="276"/>
      <c r="I47" s="263"/>
      <c r="J47" s="263"/>
      <c r="K47" s="263"/>
      <c r="L47" s="263"/>
      <c r="M47" s="22"/>
      <c r="N47" s="22"/>
      <c r="O47" s="203"/>
      <c r="P47" s="204"/>
      <c r="Q47" s="205">
        <f>+M33</f>
        <v>11546653.525600001</v>
      </c>
      <c r="R47" s="203"/>
      <c r="AH47" s="20"/>
    </row>
    <row r="48" spans="1:36">
      <c r="A48" s="3"/>
      <c r="B48" s="277" t="s">
        <v>315</v>
      </c>
      <c r="C48" s="360">
        <v>12054956.91</v>
      </c>
      <c r="D48" s="360"/>
      <c r="E48" s="361">
        <f>C48+D48</f>
        <v>12054956.91</v>
      </c>
      <c r="F48" s="479"/>
      <c r="G48" s="95"/>
      <c r="H48" s="281"/>
      <c r="I48" s="94"/>
      <c r="J48" s="200"/>
      <c r="K48" s="201"/>
      <c r="L48" s="96"/>
      <c r="M48" s="37"/>
      <c r="N48" s="37"/>
      <c r="O48" s="203"/>
      <c r="P48" s="203"/>
      <c r="Q48" s="203"/>
      <c r="R48" s="203"/>
      <c r="AH48" s="20"/>
    </row>
    <row r="49" spans="1:35">
      <c r="A49" s="3"/>
      <c r="B49" s="277" t="s">
        <v>295</v>
      </c>
      <c r="C49" s="359">
        <v>4567114.5876331637</v>
      </c>
      <c r="D49" s="359">
        <v>485865.58236683661</v>
      </c>
      <c r="E49" s="361">
        <f>C49+D49</f>
        <v>5052980.17</v>
      </c>
      <c r="F49" s="479"/>
      <c r="G49" s="479"/>
      <c r="H49" s="281"/>
      <c r="I49" s="94"/>
      <c r="J49" s="200"/>
      <c r="K49" s="200"/>
      <c r="L49" s="96"/>
      <c r="M49" s="38"/>
      <c r="N49" s="38"/>
      <c r="O49" s="203"/>
      <c r="P49" s="203"/>
      <c r="Q49" s="203"/>
      <c r="R49" s="203"/>
      <c r="AH49" s="20"/>
    </row>
    <row r="50" spans="1:35">
      <c r="A50" s="3"/>
      <c r="B50" s="277" t="s">
        <v>274</v>
      </c>
      <c r="C50" s="359">
        <v>6668981.1299999999</v>
      </c>
      <c r="D50" s="359">
        <v>434899</v>
      </c>
      <c r="E50" s="361">
        <f>C50+D50</f>
        <v>7103880.1299999999</v>
      </c>
      <c r="F50" s="479"/>
      <c r="G50" s="479"/>
      <c r="H50" s="281"/>
      <c r="I50" s="94"/>
      <c r="J50" s="200"/>
      <c r="K50" s="201"/>
      <c r="L50" s="96"/>
      <c r="M50" s="37"/>
      <c r="N50" s="37"/>
      <c r="O50"/>
      <c r="AH50" s="20"/>
    </row>
    <row r="51" spans="1:35" ht="15.75" thickBot="1">
      <c r="A51" s="3"/>
      <c r="B51" s="278" t="s">
        <v>275</v>
      </c>
      <c r="C51" s="362">
        <v>6555586.25</v>
      </c>
      <c r="D51" s="362">
        <v>493492.17999999993</v>
      </c>
      <c r="E51" s="361">
        <f>C51+D51</f>
        <v>7049078.4299999997</v>
      </c>
      <c r="F51" s="246"/>
      <c r="G51" s="246"/>
      <c r="H51" s="282"/>
      <c r="I51" s="97"/>
      <c r="J51" s="97"/>
      <c r="K51" s="97"/>
      <c r="L51" s="96"/>
      <c r="M51" s="38"/>
      <c r="N51" s="38"/>
      <c r="O51"/>
      <c r="AH51" s="20"/>
    </row>
    <row r="52" spans="1:35" ht="15.75" customHeight="1">
      <c r="A52" s="3"/>
      <c r="B52" s="3"/>
      <c r="C52" s="3"/>
      <c r="D52" s="493"/>
      <c r="E52" s="3"/>
      <c r="F52" s="95"/>
      <c r="G52" s="491"/>
      <c r="H52" s="3"/>
      <c r="I52" s="3"/>
      <c r="J52" s="3"/>
      <c r="K52" s="3"/>
      <c r="L52" s="3"/>
      <c r="M52" s="3"/>
      <c r="AI52" s="20"/>
    </row>
    <row r="53" spans="1:35">
      <c r="A53" s="3"/>
      <c r="B53" s="3"/>
      <c r="C53" s="3"/>
      <c r="D53" s="492"/>
      <c r="E53" s="3"/>
      <c r="F53" s="3"/>
      <c r="G53" s="3"/>
      <c r="H53" s="3"/>
      <c r="I53" s="3"/>
      <c r="J53" s="3"/>
      <c r="K53" s="3"/>
      <c r="L53" s="3"/>
      <c r="M53" s="3"/>
    </row>
    <row r="54" spans="1:35" ht="18.75">
      <c r="A54" s="3"/>
      <c r="B54" s="88" t="s">
        <v>385</v>
      </c>
      <c r="C54" s="3"/>
      <c r="D54" s="3"/>
      <c r="E54" s="3"/>
      <c r="F54" s="3"/>
      <c r="G54" s="3"/>
      <c r="H54" s="3"/>
      <c r="I54" s="3"/>
      <c r="J54" s="3"/>
      <c r="K54" s="3"/>
      <c r="L54" s="3"/>
      <c r="M54" s="3"/>
    </row>
    <row r="55" spans="1:35" ht="15.75" thickBot="1">
      <c r="A55" s="3"/>
      <c r="B55" s="3"/>
      <c r="C55" s="3"/>
      <c r="D55" s="3"/>
      <c r="E55" s="3"/>
      <c r="F55" s="3"/>
      <c r="G55" s="3"/>
      <c r="H55" s="3"/>
      <c r="I55" s="3"/>
      <c r="J55" s="3"/>
      <c r="K55" s="3"/>
      <c r="L55" s="3"/>
      <c r="M55" s="3"/>
    </row>
    <row r="56" spans="1:35">
      <c r="A56" s="3"/>
      <c r="B56" s="598" t="s">
        <v>350</v>
      </c>
      <c r="C56" s="599"/>
      <c r="D56" s="600"/>
      <c r="E56" s="3"/>
      <c r="F56" s="3"/>
      <c r="G56" s="3"/>
      <c r="H56" s="3"/>
      <c r="I56" s="3"/>
      <c r="J56" s="3"/>
      <c r="K56" s="3"/>
      <c r="L56" s="3"/>
      <c r="M56" s="36"/>
      <c r="O56"/>
    </row>
    <row r="57" spans="1:35">
      <c r="A57" s="3"/>
      <c r="B57" s="101"/>
      <c r="C57" s="284" t="s">
        <v>66</v>
      </c>
      <c r="D57" s="285" t="s">
        <v>67</v>
      </c>
      <c r="E57" s="3"/>
      <c r="F57" s="3"/>
      <c r="G57" s="3"/>
      <c r="H57" s="3"/>
      <c r="I57" s="3"/>
      <c r="J57" s="3"/>
      <c r="K57" s="3"/>
      <c r="L57" s="3"/>
      <c r="M57" s="36"/>
      <c r="O57"/>
    </row>
    <row r="58" spans="1:35">
      <c r="A58" s="3"/>
      <c r="B58" s="462" t="s">
        <v>6</v>
      </c>
      <c r="C58" s="482">
        <v>45</v>
      </c>
      <c r="D58" s="453">
        <v>45</v>
      </c>
      <c r="E58" s="3"/>
      <c r="F58" s="3"/>
      <c r="G58" s="3"/>
      <c r="H58" s="3"/>
      <c r="I58" s="3"/>
      <c r="J58" s="3"/>
      <c r="K58" s="3"/>
      <c r="L58" s="3"/>
      <c r="M58" s="36"/>
      <c r="O58"/>
    </row>
    <row r="59" spans="1:35">
      <c r="A59" s="3"/>
      <c r="B59" s="463" t="s">
        <v>367</v>
      </c>
      <c r="C59" s="482">
        <v>45</v>
      </c>
      <c r="D59" s="453">
        <v>50</v>
      </c>
      <c r="E59" s="3"/>
      <c r="F59" s="3"/>
      <c r="G59" s="3"/>
      <c r="H59" s="281"/>
      <c r="I59" s="281"/>
      <c r="J59" s="3"/>
      <c r="K59" s="3"/>
      <c r="L59" s="3"/>
      <c r="M59" s="36"/>
      <c r="O59"/>
    </row>
    <row r="60" spans="1:35" ht="15.75" thickBot="1">
      <c r="A60" s="3"/>
      <c r="B60" s="464" t="s">
        <v>368</v>
      </c>
      <c r="C60" s="483">
        <v>20</v>
      </c>
      <c r="D60" s="484">
        <v>5</v>
      </c>
      <c r="E60" s="3"/>
      <c r="F60" s="3"/>
      <c r="G60" s="3"/>
      <c r="H60" s="281"/>
      <c r="I60" s="281"/>
      <c r="J60" s="3"/>
      <c r="K60" s="3"/>
      <c r="L60" s="3"/>
      <c r="M60" s="36"/>
      <c r="O60"/>
    </row>
    <row r="61" spans="1:35">
      <c r="A61" s="3"/>
      <c r="B61" s="3"/>
      <c r="C61" s="3"/>
      <c r="D61" s="3"/>
      <c r="E61" s="3"/>
      <c r="F61" s="3"/>
      <c r="G61" s="3"/>
      <c r="H61" s="3"/>
      <c r="I61" s="3"/>
      <c r="J61" s="3"/>
      <c r="K61" s="3"/>
      <c r="L61" s="3"/>
      <c r="M61" s="3"/>
    </row>
    <row r="62" spans="1:35" ht="15.75" thickBot="1">
      <c r="A62" s="3"/>
      <c r="B62" s="3"/>
      <c r="C62" s="3"/>
      <c r="D62" s="3"/>
      <c r="E62" s="3"/>
      <c r="F62" s="3"/>
      <c r="G62" s="3"/>
      <c r="H62" s="3"/>
      <c r="I62" s="3"/>
      <c r="J62" s="3"/>
      <c r="K62" s="3"/>
      <c r="L62" s="380"/>
      <c r="M62" s="3"/>
      <c r="AC62" s="19"/>
      <c r="AD62" s="19"/>
    </row>
    <row r="63" spans="1:35" ht="19.5" thickBot="1">
      <c r="A63" s="3"/>
      <c r="B63" s="102" t="s">
        <v>268</v>
      </c>
      <c r="C63" s="103"/>
      <c r="D63" s="103"/>
      <c r="E63" s="103"/>
      <c r="F63" s="103"/>
      <c r="G63" s="103"/>
      <c r="H63" s="305" t="s">
        <v>308</v>
      </c>
      <c r="I63" s="103"/>
      <c r="J63" s="104"/>
      <c r="K63" s="104"/>
      <c r="L63" s="381"/>
      <c r="M63" s="382"/>
      <c r="N63" s="82"/>
      <c r="O63" s="82"/>
      <c r="P63" s="82"/>
      <c r="S63" s="42"/>
      <c r="AC63" s="19"/>
      <c r="AD63" s="19"/>
    </row>
    <row r="64" spans="1:35" ht="18.75">
      <c r="A64" s="3"/>
      <c r="B64" s="106"/>
      <c r="C64" s="105"/>
      <c r="D64" s="105"/>
      <c r="E64" s="105"/>
      <c r="F64" s="105"/>
      <c r="G64" s="105"/>
      <c r="H64" s="105"/>
      <c r="I64" s="105"/>
      <c r="J64" s="105"/>
      <c r="K64" s="107"/>
      <c r="L64" s="107"/>
      <c r="M64" s="105"/>
      <c r="N64" s="82"/>
      <c r="O64" s="82"/>
      <c r="P64" s="82"/>
      <c r="S64" s="42"/>
      <c r="AC64" s="19"/>
      <c r="AD64" s="19"/>
    </row>
    <row r="65" spans="1:30" ht="18.75">
      <c r="A65" s="3"/>
      <c r="B65" s="106" t="s">
        <v>386</v>
      </c>
      <c r="C65" s="105"/>
      <c r="D65" s="105"/>
      <c r="E65" s="105"/>
      <c r="F65" s="105"/>
      <c r="G65" s="105"/>
      <c r="H65" s="105"/>
      <c r="I65" s="105"/>
      <c r="J65" s="105"/>
      <c r="K65" s="107"/>
      <c r="L65" s="107"/>
      <c r="M65" s="105"/>
      <c r="N65" s="82"/>
      <c r="O65" s="82"/>
      <c r="P65" s="82"/>
      <c r="S65" s="42"/>
      <c r="AC65" s="19"/>
      <c r="AD65" s="19"/>
    </row>
    <row r="66" spans="1:30" ht="15.75" thickBot="1">
      <c r="A66" s="3"/>
      <c r="B66" s="2"/>
      <c r="C66" s="108"/>
      <c r="D66" s="108"/>
      <c r="E66" s="108"/>
      <c r="F66" s="108"/>
      <c r="G66" s="108"/>
      <c r="H66" s="2"/>
      <c r="I66" s="108"/>
      <c r="J66" s="2"/>
      <c r="K66" s="2"/>
      <c r="L66" s="2"/>
      <c r="M66" s="2"/>
      <c r="N66" s="20"/>
      <c r="O66" s="19"/>
      <c r="P66" s="19"/>
      <c r="Q66" s="19"/>
      <c r="R66" s="19"/>
      <c r="S66" s="19"/>
      <c r="AD66" s="19"/>
    </row>
    <row r="67" spans="1:30" ht="30">
      <c r="A67" s="3"/>
      <c r="B67" s="632"/>
      <c r="C67" s="633"/>
      <c r="D67" s="110" t="s">
        <v>122</v>
      </c>
      <c r="E67" s="111" t="s">
        <v>301</v>
      </c>
      <c r="F67" s="111" t="s">
        <v>123</v>
      </c>
      <c r="G67" s="112" t="s">
        <v>64</v>
      </c>
      <c r="H67" s="293"/>
      <c r="I67" s="294"/>
      <c r="J67" s="15"/>
      <c r="K67" s="2"/>
      <c r="L67" s="2"/>
      <c r="M67" s="2"/>
      <c r="N67" s="20"/>
      <c r="O67" s="19"/>
      <c r="P67" s="19"/>
      <c r="Q67" s="19"/>
      <c r="R67" s="19"/>
      <c r="S67" s="19"/>
    </row>
    <row r="68" spans="1:30">
      <c r="A68" s="3"/>
      <c r="B68" s="591" t="s">
        <v>405</v>
      </c>
      <c r="C68" s="592"/>
      <c r="D68" s="248">
        <v>2</v>
      </c>
      <c r="E68" s="248"/>
      <c r="F68" s="248"/>
      <c r="G68" s="114">
        <f>SUM(D68:F68)</f>
        <v>2</v>
      </c>
      <c r="H68" s="275"/>
      <c r="I68" s="292"/>
      <c r="J68" s="292"/>
      <c r="K68" s="2"/>
      <c r="L68" s="2"/>
      <c r="M68" s="2"/>
      <c r="N68" s="20"/>
      <c r="O68" s="19"/>
      <c r="P68" s="19"/>
      <c r="Q68" s="19"/>
      <c r="R68" s="19"/>
      <c r="S68" s="19"/>
    </row>
    <row r="69" spans="1:30" ht="15.75" thickBot="1">
      <c r="A69" s="3"/>
      <c r="B69" s="621" t="s">
        <v>16</v>
      </c>
      <c r="C69" s="622"/>
      <c r="D69" s="249"/>
      <c r="E69" s="249"/>
      <c r="F69" s="249"/>
      <c r="G69" s="116">
        <f>SUM(D69:F69)</f>
        <v>0</v>
      </c>
      <c r="H69" s="275"/>
      <c r="I69" s="15"/>
      <c r="J69" s="15"/>
      <c r="K69" s="2"/>
      <c r="L69" s="2"/>
      <c r="M69" s="2"/>
      <c r="N69" s="19"/>
      <c r="O69" s="19"/>
      <c r="P69" s="19"/>
      <c r="Q69" s="19"/>
      <c r="R69" s="19"/>
      <c r="S69" s="19"/>
    </row>
    <row r="70" spans="1:30">
      <c r="A70" s="3"/>
      <c r="B70" s="2"/>
      <c r="C70" s="2"/>
      <c r="D70" s="2"/>
      <c r="E70" s="2"/>
      <c r="F70" s="2"/>
      <c r="G70" s="2"/>
      <c r="H70" s="2"/>
      <c r="I70" s="2"/>
      <c r="J70" s="2"/>
      <c r="K70" s="2"/>
      <c r="L70" s="2"/>
      <c r="M70" s="2"/>
      <c r="N70" s="19"/>
      <c r="O70" s="19"/>
      <c r="P70" s="19"/>
      <c r="Q70" s="19"/>
      <c r="R70" s="19"/>
      <c r="S70" s="19"/>
    </row>
    <row r="71" spans="1:30">
      <c r="A71" s="3"/>
      <c r="B71" s="2"/>
      <c r="C71" s="2"/>
      <c r="D71" s="2"/>
      <c r="E71" s="2"/>
      <c r="F71" s="2"/>
      <c r="G71" s="2"/>
      <c r="H71" s="2"/>
      <c r="I71" s="2"/>
      <c r="J71" s="2"/>
      <c r="K71" s="2"/>
      <c r="L71" s="2"/>
      <c r="M71" s="2"/>
      <c r="N71" s="19"/>
      <c r="O71" s="19"/>
      <c r="P71" s="19"/>
      <c r="S71" s="19"/>
    </row>
    <row r="72" spans="1:30" ht="18.75">
      <c r="A72" s="3"/>
      <c r="B72" s="106" t="s">
        <v>387</v>
      </c>
      <c r="C72" s="2"/>
      <c r="D72" s="2"/>
      <c r="E72" s="2"/>
      <c r="F72" s="2"/>
      <c r="G72" s="2"/>
      <c r="H72" s="2"/>
      <c r="I72" s="2"/>
      <c r="J72" s="2"/>
      <c r="K72" s="2"/>
      <c r="L72" s="2"/>
      <c r="M72" s="2"/>
      <c r="N72" s="19"/>
      <c r="O72" s="19"/>
      <c r="P72" s="19"/>
      <c r="S72" s="19"/>
    </row>
    <row r="73" spans="1:30" ht="15.75" thickBot="1">
      <c r="A73" s="3"/>
      <c r="B73" s="2"/>
      <c r="C73" s="2"/>
      <c r="D73" s="2"/>
      <c r="E73" s="2"/>
      <c r="F73" s="2"/>
      <c r="G73" s="2"/>
      <c r="H73" s="2"/>
      <c r="I73" s="2"/>
      <c r="J73" s="2"/>
      <c r="K73" s="2"/>
      <c r="L73" s="2"/>
      <c r="M73" s="2"/>
      <c r="N73" s="19"/>
      <c r="O73" s="19"/>
      <c r="P73" s="19"/>
      <c r="S73" s="19"/>
    </row>
    <row r="74" spans="1:30">
      <c r="A74" s="3"/>
      <c r="B74" s="117"/>
      <c r="C74" s="109" t="s">
        <v>69</v>
      </c>
      <c r="D74" s="109" t="s">
        <v>87</v>
      </c>
      <c r="E74" s="118" t="s">
        <v>70</v>
      </c>
      <c r="F74" s="15"/>
      <c r="G74" s="15"/>
      <c r="H74" s="15"/>
      <c r="I74" s="294"/>
      <c r="J74" s="2"/>
      <c r="K74" s="2"/>
      <c r="L74" s="2"/>
      <c r="M74" s="2"/>
      <c r="N74" s="19"/>
      <c r="O74" s="19"/>
      <c r="P74" s="19"/>
      <c r="S74" s="19"/>
    </row>
    <row r="75" spans="1:30" ht="15.75" thickBot="1">
      <c r="A75" s="3"/>
      <c r="B75" s="119" t="s">
        <v>316</v>
      </c>
      <c r="C75" s="336">
        <v>14</v>
      </c>
      <c r="D75" s="336">
        <v>14</v>
      </c>
      <c r="E75" s="337">
        <f>+C75-D75</f>
        <v>0</v>
      </c>
      <c r="F75" s="252"/>
      <c r="G75" s="257"/>
      <c r="H75" s="15"/>
      <c r="I75" s="292"/>
      <c r="J75" s="2"/>
      <c r="K75" s="2"/>
      <c r="L75" s="2"/>
      <c r="M75" s="2"/>
      <c r="N75" s="19"/>
      <c r="O75" s="19"/>
      <c r="P75" s="19"/>
      <c r="S75" s="19"/>
    </row>
    <row r="76" spans="1:30">
      <c r="A76" s="3"/>
      <c r="B76" s="2"/>
      <c r="C76" s="2"/>
      <c r="D76" s="2"/>
      <c r="E76" s="2"/>
      <c r="F76" s="2"/>
      <c r="G76" s="2"/>
      <c r="H76" s="2"/>
      <c r="I76" s="2"/>
      <c r="J76" s="2"/>
      <c r="K76" s="2"/>
      <c r="L76" s="2"/>
      <c r="M76" s="2"/>
      <c r="N76" s="19"/>
      <c r="O76" s="19"/>
      <c r="P76" s="19"/>
      <c r="S76" s="19"/>
    </row>
    <row r="77" spans="1:30" ht="18.75">
      <c r="A77" s="3"/>
      <c r="B77" s="106" t="s">
        <v>392</v>
      </c>
      <c r="C77" s="2"/>
      <c r="D77" s="2"/>
      <c r="E77" s="2"/>
      <c r="F77" s="2"/>
      <c r="G77" s="2"/>
      <c r="H77" s="2"/>
      <c r="I77" s="2"/>
      <c r="J77" s="2"/>
      <c r="K77" s="2"/>
      <c r="L77" s="2"/>
      <c r="M77" s="2"/>
      <c r="N77" s="19"/>
      <c r="O77" s="19"/>
      <c r="P77" s="19"/>
      <c r="S77" s="19"/>
    </row>
    <row r="78" spans="1:30" ht="15.75" thickBot="1">
      <c r="A78" s="3"/>
      <c r="B78" s="2"/>
      <c r="C78" s="2"/>
      <c r="D78" s="2"/>
      <c r="E78" s="2"/>
      <c r="F78" s="2"/>
      <c r="G78" s="2"/>
      <c r="H78" s="2"/>
      <c r="I78" s="2"/>
      <c r="J78" s="2"/>
      <c r="K78" s="2"/>
      <c r="L78" s="2"/>
      <c r="M78" s="2"/>
      <c r="N78" s="19"/>
      <c r="O78" s="19"/>
      <c r="P78" s="19"/>
      <c r="S78" s="19"/>
    </row>
    <row r="79" spans="1:30" ht="30">
      <c r="A79" s="3"/>
      <c r="B79" s="117"/>
      <c r="C79" s="109" t="s">
        <v>296</v>
      </c>
      <c r="D79" s="109" t="s">
        <v>73</v>
      </c>
      <c r="E79" s="109" t="s">
        <v>88</v>
      </c>
      <c r="F79" s="109" t="s">
        <v>74</v>
      </c>
      <c r="G79" s="145" t="s">
        <v>124</v>
      </c>
      <c r="H79" s="258"/>
      <c r="I79" s="294"/>
      <c r="J79" s="2"/>
      <c r="K79" s="2"/>
      <c r="L79" s="2"/>
      <c r="M79" s="2"/>
      <c r="N79" s="19"/>
      <c r="O79" s="19"/>
      <c r="P79" s="19"/>
      <c r="S79" s="19"/>
    </row>
    <row r="80" spans="1:30" ht="15.75" thickBot="1">
      <c r="A80" s="3"/>
      <c r="B80" s="119" t="s">
        <v>132</v>
      </c>
      <c r="C80" s="336">
        <v>4</v>
      </c>
      <c r="D80" s="336">
        <v>4</v>
      </c>
      <c r="E80" s="336">
        <v>4</v>
      </c>
      <c r="F80" s="336">
        <v>2</v>
      </c>
      <c r="G80" s="338">
        <v>2</v>
      </c>
      <c r="H80" s="295"/>
      <c r="I80" s="275"/>
      <c r="J80" s="2"/>
      <c r="K80" s="2"/>
      <c r="L80" s="2"/>
      <c r="M80" s="2"/>
      <c r="N80" s="19"/>
      <c r="O80" s="19"/>
      <c r="P80" s="19"/>
      <c r="S80" s="19"/>
    </row>
    <row r="81" spans="1:36">
      <c r="A81" s="3"/>
      <c r="B81" s="2"/>
      <c r="C81" s="2"/>
      <c r="D81" s="2"/>
      <c r="E81" s="2"/>
      <c r="F81" s="2"/>
      <c r="G81" s="2"/>
      <c r="H81" s="2"/>
      <c r="J81" s="2"/>
      <c r="K81" s="2"/>
      <c r="L81" s="2"/>
      <c r="M81" s="2"/>
      <c r="N81" s="19"/>
      <c r="O81" s="19"/>
      <c r="P81" s="19"/>
      <c r="S81" s="19"/>
    </row>
    <row r="82" spans="1:36" ht="18.75">
      <c r="A82" s="3"/>
      <c r="B82" s="106" t="s">
        <v>388</v>
      </c>
      <c r="C82" s="2"/>
      <c r="D82" s="2"/>
      <c r="E82" s="2"/>
      <c r="F82" s="2"/>
      <c r="G82" s="2"/>
      <c r="H82" s="2"/>
      <c r="I82" s="2"/>
      <c r="J82" s="2"/>
      <c r="K82" s="2"/>
      <c r="L82" s="2"/>
      <c r="M82" s="2"/>
      <c r="N82" s="19"/>
      <c r="O82" s="19"/>
      <c r="P82" s="19"/>
      <c r="S82" s="19"/>
    </row>
    <row r="83" spans="1:36" ht="15.75" thickBot="1">
      <c r="A83" s="3"/>
      <c r="B83" s="2"/>
      <c r="C83" s="2"/>
      <c r="D83" s="2"/>
      <c r="E83" s="2"/>
      <c r="F83" s="2"/>
      <c r="G83" s="2"/>
      <c r="H83" s="2"/>
      <c r="I83" s="2"/>
      <c r="J83" s="2"/>
      <c r="K83" s="2"/>
      <c r="L83" s="2"/>
      <c r="M83" s="2"/>
      <c r="N83" s="19"/>
      <c r="O83" s="19"/>
      <c r="P83" s="19"/>
      <c r="S83" s="19"/>
    </row>
    <row r="84" spans="1:36">
      <c r="A84" s="3"/>
      <c r="B84" s="117"/>
      <c r="C84" s="120" t="s">
        <v>71</v>
      </c>
      <c r="D84" s="120" t="s">
        <v>72</v>
      </c>
      <c r="E84" s="121" t="s">
        <v>293</v>
      </c>
      <c r="F84" s="2"/>
      <c r="G84" s="2"/>
      <c r="H84" s="2"/>
      <c r="I84" s="2"/>
      <c r="J84" s="19"/>
      <c r="K84" s="19"/>
      <c r="L84" s="19"/>
      <c r="N84"/>
      <c r="O84" s="19"/>
      <c r="AG84" s="36"/>
      <c r="AJ84"/>
    </row>
    <row r="85" spans="1:36">
      <c r="A85" s="3"/>
      <c r="B85" s="113" t="s">
        <v>393</v>
      </c>
      <c r="C85" s="248">
        <v>17</v>
      </c>
      <c r="D85" s="486">
        <v>17</v>
      </c>
      <c r="E85" s="487">
        <f>C85-D85</f>
        <v>0</v>
      </c>
      <c r="F85" s="2"/>
      <c r="G85" s="2"/>
      <c r="H85" s="2"/>
      <c r="I85" s="2"/>
      <c r="J85" s="19"/>
      <c r="K85" s="19"/>
      <c r="L85" s="19"/>
      <c r="N85"/>
      <c r="O85" s="19"/>
      <c r="AG85" s="36"/>
      <c r="AJ85"/>
    </row>
    <row r="86" spans="1:36" ht="15.75" thickBot="1">
      <c r="A86" s="3"/>
      <c r="B86" s="115" t="s">
        <v>394</v>
      </c>
      <c r="C86" s="249">
        <v>2</v>
      </c>
      <c r="D86" s="488">
        <v>2</v>
      </c>
      <c r="E86" s="489">
        <f>C86-D86</f>
        <v>0</v>
      </c>
      <c r="F86" s="2"/>
      <c r="G86" s="2"/>
      <c r="H86" s="2"/>
      <c r="I86" s="2"/>
      <c r="J86" s="19"/>
      <c r="K86" s="19"/>
      <c r="L86" s="19"/>
      <c r="N86"/>
      <c r="O86" s="19"/>
      <c r="AG86" s="36"/>
      <c r="AJ86"/>
    </row>
    <row r="87" spans="1:36">
      <c r="A87" s="3"/>
      <c r="B87" s="2"/>
      <c r="C87" s="2"/>
      <c r="D87" s="2"/>
      <c r="E87" s="2"/>
      <c r="F87" s="2"/>
      <c r="G87" s="2"/>
      <c r="H87" s="2"/>
      <c r="I87" s="2"/>
      <c r="J87" s="2"/>
      <c r="K87" s="2"/>
      <c r="L87" s="2"/>
      <c r="M87" s="2"/>
      <c r="N87" s="19"/>
      <c r="O87" s="19"/>
      <c r="P87" s="19"/>
      <c r="S87" s="19"/>
    </row>
    <row r="88" spans="1:36" ht="18.75">
      <c r="A88" s="3"/>
      <c r="B88" s="106" t="s">
        <v>395</v>
      </c>
      <c r="C88" s="2"/>
      <c r="D88" s="2"/>
      <c r="E88" s="2"/>
      <c r="F88" s="2"/>
      <c r="G88" s="2"/>
      <c r="H88" s="2"/>
      <c r="I88" s="2"/>
      <c r="J88" s="2"/>
      <c r="K88" s="2"/>
      <c r="L88" s="2"/>
      <c r="M88" s="2"/>
      <c r="N88" s="19"/>
      <c r="O88" s="19"/>
      <c r="P88" s="19"/>
      <c r="S88" s="19"/>
    </row>
    <row r="89" spans="1:36" ht="15.75" thickBot="1">
      <c r="A89" s="3"/>
      <c r="B89" s="2"/>
      <c r="C89" s="2"/>
      <c r="D89" s="2"/>
      <c r="E89" s="2"/>
      <c r="F89" s="2"/>
      <c r="G89" s="2"/>
      <c r="H89" s="2"/>
      <c r="I89" s="15"/>
      <c r="J89" s="15"/>
      <c r="K89" s="15"/>
      <c r="L89" s="15"/>
      <c r="M89" s="15"/>
      <c r="N89" s="20"/>
      <c r="O89" s="20"/>
      <c r="P89" s="20"/>
      <c r="S89" s="19"/>
    </row>
    <row r="90" spans="1:36">
      <c r="A90" s="3"/>
      <c r="B90" s="215"/>
      <c r="C90" s="347" t="s">
        <v>110</v>
      </c>
      <c r="D90" s="347" t="s">
        <v>111</v>
      </c>
      <c r="E90" s="347" t="s">
        <v>112</v>
      </c>
      <c r="F90" s="347" t="s">
        <v>113</v>
      </c>
      <c r="G90" s="347" t="s">
        <v>125</v>
      </c>
      <c r="H90" s="347" t="s">
        <v>126</v>
      </c>
      <c r="I90" s="347" t="s">
        <v>127</v>
      </c>
      <c r="J90" s="347" t="s">
        <v>128</v>
      </c>
      <c r="K90" s="347" t="s">
        <v>129</v>
      </c>
      <c r="L90" s="347" t="s">
        <v>130</v>
      </c>
      <c r="M90" s="347" t="s">
        <v>131</v>
      </c>
      <c r="N90" s="348" t="s">
        <v>292</v>
      </c>
      <c r="O90" s="20"/>
      <c r="P90" s="20"/>
      <c r="S90" s="19"/>
    </row>
    <row r="91" spans="1:36" ht="15" customHeight="1">
      <c r="A91" s="3"/>
      <c r="B91" s="349" t="s">
        <v>372</v>
      </c>
      <c r="C91" s="339"/>
      <c r="D91" s="339"/>
      <c r="E91" s="339"/>
      <c r="F91" s="339"/>
      <c r="G91" s="339"/>
      <c r="H91" s="339"/>
      <c r="I91" s="339"/>
      <c r="J91" s="339"/>
      <c r="K91" s="339"/>
      <c r="L91" s="339"/>
      <c r="M91" s="339"/>
      <c r="N91" s="419"/>
      <c r="O91" s="20"/>
      <c r="P91" s="20"/>
      <c r="S91" s="19"/>
    </row>
    <row r="92" spans="1:36" ht="15" customHeight="1">
      <c r="A92" s="3"/>
      <c r="B92" s="349" t="s">
        <v>369</v>
      </c>
      <c r="C92" s="339"/>
      <c r="D92" s="339"/>
      <c r="E92" s="339"/>
      <c r="F92" s="339"/>
      <c r="G92" s="339"/>
      <c r="H92" s="339"/>
      <c r="I92" s="339"/>
      <c r="J92" s="339"/>
      <c r="K92" s="339"/>
      <c r="L92" s="339"/>
      <c r="M92" s="339"/>
      <c r="N92" s="419"/>
      <c r="O92" s="20"/>
      <c r="P92" s="20"/>
      <c r="S92" s="19"/>
    </row>
    <row r="93" spans="1:36" ht="15" customHeight="1">
      <c r="A93" s="3"/>
      <c r="B93" s="349" t="s">
        <v>317</v>
      </c>
      <c r="C93" s="339"/>
      <c r="D93" s="339"/>
      <c r="E93" s="339"/>
      <c r="F93" s="339"/>
      <c r="G93" s="339"/>
      <c r="H93" s="339"/>
      <c r="I93" s="339"/>
      <c r="J93" s="339"/>
      <c r="K93" s="339"/>
      <c r="L93" s="339"/>
      <c r="M93" s="339"/>
      <c r="N93" s="419"/>
      <c r="O93" s="20"/>
      <c r="P93" s="20"/>
      <c r="S93" s="19"/>
    </row>
    <row r="94" spans="1:36" ht="15" customHeight="1">
      <c r="A94" s="3"/>
      <c r="B94" s="297" t="s">
        <v>414</v>
      </c>
      <c r="C94" s="340">
        <f>+C91</f>
        <v>0</v>
      </c>
      <c r="D94" s="340">
        <f t="shared" ref="D94:N94" si="3">+C94+D91</f>
        <v>0</v>
      </c>
      <c r="E94" s="340">
        <f>+D94+E91</f>
        <v>0</v>
      </c>
      <c r="F94" s="340">
        <f t="shared" si="3"/>
        <v>0</v>
      </c>
      <c r="G94" s="340">
        <f t="shared" si="3"/>
        <v>0</v>
      </c>
      <c r="H94" s="340">
        <f t="shared" si="3"/>
        <v>0</v>
      </c>
      <c r="I94" s="340">
        <f t="shared" si="3"/>
        <v>0</v>
      </c>
      <c r="J94" s="340">
        <f t="shared" si="3"/>
        <v>0</v>
      </c>
      <c r="K94" s="340">
        <f t="shared" si="3"/>
        <v>0</v>
      </c>
      <c r="L94" s="340">
        <f t="shared" si="3"/>
        <v>0</v>
      </c>
      <c r="M94" s="340">
        <f t="shared" si="3"/>
        <v>0</v>
      </c>
      <c r="N94" s="420">
        <f t="shared" si="3"/>
        <v>0</v>
      </c>
      <c r="O94" s="20"/>
      <c r="P94" s="20"/>
      <c r="S94" s="19"/>
    </row>
    <row r="95" spans="1:36" ht="15" customHeight="1">
      <c r="A95" s="3"/>
      <c r="B95" s="297" t="s">
        <v>10</v>
      </c>
      <c r="C95" s="340">
        <f>+C92</f>
        <v>0</v>
      </c>
      <c r="D95" s="340">
        <f t="shared" ref="D95:N95" si="4">+C95+D92</f>
        <v>0</v>
      </c>
      <c r="E95" s="340">
        <f>+D95+E92</f>
        <v>0</v>
      </c>
      <c r="F95" s="340">
        <f t="shared" si="4"/>
        <v>0</v>
      </c>
      <c r="G95" s="340">
        <f t="shared" si="4"/>
        <v>0</v>
      </c>
      <c r="H95" s="340">
        <f t="shared" si="4"/>
        <v>0</v>
      </c>
      <c r="I95" s="340">
        <f t="shared" si="4"/>
        <v>0</v>
      </c>
      <c r="J95" s="340">
        <f t="shared" si="4"/>
        <v>0</v>
      </c>
      <c r="K95" s="340">
        <f t="shared" si="4"/>
        <v>0</v>
      </c>
      <c r="L95" s="340">
        <f t="shared" si="4"/>
        <v>0</v>
      </c>
      <c r="M95" s="340">
        <f t="shared" si="4"/>
        <v>0</v>
      </c>
      <c r="N95" s="420">
        <f t="shared" si="4"/>
        <v>0</v>
      </c>
      <c r="O95" s="20"/>
      <c r="P95" s="20"/>
      <c r="S95" s="19"/>
    </row>
    <row r="96" spans="1:36" ht="15.75" thickBot="1">
      <c r="A96" s="3"/>
      <c r="B96" s="416" t="s">
        <v>11</v>
      </c>
      <c r="C96" s="417">
        <f>+C93</f>
        <v>0</v>
      </c>
      <c r="D96" s="418">
        <f t="shared" ref="D96:N96" si="5">+C96+D93</f>
        <v>0</v>
      </c>
      <c r="E96" s="418">
        <f>+D96+E93</f>
        <v>0</v>
      </c>
      <c r="F96" s="418">
        <f t="shared" si="5"/>
        <v>0</v>
      </c>
      <c r="G96" s="418">
        <f t="shared" si="5"/>
        <v>0</v>
      </c>
      <c r="H96" s="418">
        <f t="shared" si="5"/>
        <v>0</v>
      </c>
      <c r="I96" s="418">
        <f t="shared" si="5"/>
        <v>0</v>
      </c>
      <c r="J96" s="418">
        <f t="shared" si="5"/>
        <v>0</v>
      </c>
      <c r="K96" s="418">
        <f t="shared" si="5"/>
        <v>0</v>
      </c>
      <c r="L96" s="418">
        <f t="shared" si="5"/>
        <v>0</v>
      </c>
      <c r="M96" s="418">
        <f t="shared" si="5"/>
        <v>0</v>
      </c>
      <c r="N96" s="421">
        <f t="shared" si="5"/>
        <v>0</v>
      </c>
      <c r="O96" s="20"/>
      <c r="P96" s="20"/>
      <c r="S96" s="19"/>
    </row>
    <row r="97" spans="1:28">
      <c r="A97" s="3"/>
      <c r="B97" s="3"/>
      <c r="C97" s="2"/>
      <c r="D97" s="2"/>
      <c r="E97" s="2"/>
      <c r="F97" s="2"/>
      <c r="G97" s="2"/>
      <c r="H97" s="2"/>
      <c r="I97" s="15"/>
      <c r="J97" s="122"/>
      <c r="K97" s="123"/>
      <c r="L97" s="15"/>
      <c r="M97" s="124"/>
      <c r="N97" s="20"/>
      <c r="O97" s="20"/>
      <c r="P97" s="20"/>
      <c r="S97" s="19"/>
    </row>
    <row r="98" spans="1:28">
      <c r="A98" s="3"/>
      <c r="B98" s="2" t="s">
        <v>408</v>
      </c>
      <c r="C98" s="2"/>
      <c r="D98" s="2"/>
      <c r="E98" s="2"/>
      <c r="F98" s="2"/>
      <c r="G98" s="2"/>
      <c r="H98" s="2"/>
      <c r="I98" s="15"/>
      <c r="J98" s="122"/>
      <c r="K98" s="123"/>
      <c r="L98" s="15"/>
      <c r="M98" s="124"/>
      <c r="N98" s="20"/>
      <c r="O98" s="20"/>
      <c r="P98" s="20"/>
      <c r="S98" s="19"/>
    </row>
    <row r="99" spans="1:28">
      <c r="A99" s="3"/>
      <c r="C99" s="2"/>
      <c r="D99" s="2"/>
      <c r="E99" s="2"/>
      <c r="F99" s="2"/>
      <c r="G99" s="2"/>
      <c r="H99" s="2"/>
      <c r="I99" s="15"/>
      <c r="J99" s="122"/>
      <c r="K99" s="124"/>
      <c r="L99" s="15"/>
      <c r="M99" s="124"/>
      <c r="N99" s="20"/>
      <c r="O99" s="20"/>
      <c r="P99" s="20"/>
      <c r="S99" s="19"/>
    </row>
    <row r="100" spans="1:28">
      <c r="A100" s="3"/>
      <c r="B100" s="3"/>
      <c r="C100" s="3"/>
      <c r="D100" s="3"/>
      <c r="E100" s="3"/>
      <c r="F100" s="3"/>
      <c r="G100" s="3"/>
      <c r="H100" s="3"/>
      <c r="I100" s="15"/>
      <c r="J100" s="15"/>
      <c r="K100" s="15"/>
      <c r="L100" s="15"/>
      <c r="M100" s="15"/>
      <c r="N100" s="20"/>
      <c r="O100" s="20"/>
      <c r="P100" s="20"/>
    </row>
    <row r="101" spans="1:28" ht="18.75">
      <c r="A101" s="3"/>
      <c r="B101" s="106" t="s">
        <v>389</v>
      </c>
      <c r="C101" s="3"/>
      <c r="D101" s="3"/>
      <c r="E101" s="3"/>
      <c r="F101" s="3"/>
      <c r="G101" s="3"/>
      <c r="H101" s="3"/>
      <c r="I101" s="15"/>
      <c r="J101" s="15"/>
      <c r="K101" s="15"/>
      <c r="L101" s="15"/>
      <c r="M101" s="15"/>
      <c r="N101" s="20"/>
      <c r="O101" s="20"/>
      <c r="P101" s="20"/>
    </row>
    <row r="102" spans="1:28" ht="15.75" thickBot="1">
      <c r="A102" s="3"/>
      <c r="B102" s="3"/>
      <c r="C102" s="15"/>
      <c r="D102" s="15"/>
      <c r="E102" s="15"/>
      <c r="F102" s="15"/>
      <c r="G102" s="2"/>
      <c r="H102" s="2"/>
      <c r="I102" s="2"/>
      <c r="J102" s="15"/>
      <c r="K102" s="2"/>
      <c r="L102" s="15"/>
      <c r="M102" s="15"/>
      <c r="N102" s="20"/>
      <c r="O102" s="20"/>
      <c r="P102" s="20"/>
      <c r="Q102" s="19"/>
      <c r="S102" s="20"/>
    </row>
    <row r="103" spans="1:28" ht="90.75" customHeight="1">
      <c r="A103" s="3"/>
      <c r="B103" s="298" t="s">
        <v>38</v>
      </c>
      <c r="C103" s="299" t="s">
        <v>85</v>
      </c>
      <c r="D103" s="301" t="s">
        <v>371</v>
      </c>
      <c r="E103" s="301" t="s">
        <v>340</v>
      </c>
      <c r="F103" s="300" t="s">
        <v>341</v>
      </c>
      <c r="G103" s="300" t="s">
        <v>342</v>
      </c>
      <c r="H103" s="301" t="s">
        <v>343</v>
      </c>
      <c r="I103" s="301" t="s">
        <v>344</v>
      </c>
      <c r="J103" s="301" t="s">
        <v>345</v>
      </c>
      <c r="K103" s="302" t="s">
        <v>346</v>
      </c>
      <c r="L103" s="2"/>
      <c r="M103" s="20"/>
      <c r="N103" s="20"/>
      <c r="O103" s="20"/>
      <c r="P103" s="19"/>
      <c r="R103" s="20"/>
    </row>
    <row r="104" spans="1:28">
      <c r="A104" s="3"/>
      <c r="B104" s="636" t="s">
        <v>33</v>
      </c>
      <c r="C104" s="371" t="s">
        <v>377</v>
      </c>
      <c r="D104" s="372"/>
      <c r="E104" s="373" t="str">
        <f>IF(ISBLANK(D104),"",D104*30)</f>
        <v/>
      </c>
      <c r="F104" s="341"/>
      <c r="G104" s="342" t="str">
        <f>IF(AND(E104&gt;0,F104&gt;0),(F104*E104),"")</f>
        <v/>
      </c>
      <c r="H104" s="341"/>
      <c r="I104" s="387" t="str">
        <f>IF(AND(G104&gt;0,H104&gt;0),H104/G104,"")</f>
        <v/>
      </c>
      <c r="J104" s="374"/>
      <c r="K104" s="422" t="str">
        <f>IF(AND(I104&gt;0,J104&gt;0),I104-J104,"")</f>
        <v/>
      </c>
      <c r="L104" s="2"/>
      <c r="M104" s="20"/>
      <c r="N104" s="20"/>
      <c r="O104" s="20"/>
      <c r="P104" s="19"/>
      <c r="R104" s="20"/>
    </row>
    <row r="105" spans="1:28">
      <c r="A105" s="3"/>
      <c r="B105" s="637"/>
      <c r="C105" s="371" t="s">
        <v>377</v>
      </c>
      <c r="D105" s="372"/>
      <c r="E105" s="373" t="str">
        <f>IF(ISBLANK(D105),"",D105*30)</f>
        <v/>
      </c>
      <c r="F105" s="341"/>
      <c r="G105" s="342" t="str">
        <f>IF(AND(E105&gt;0,F105&gt;0),(F105*E105),"")</f>
        <v/>
      </c>
      <c r="H105" s="341"/>
      <c r="I105" s="387" t="str">
        <f>IF(AND(G105&gt;0,H105&gt;0),H105/G105,"")</f>
        <v/>
      </c>
      <c r="J105" s="374"/>
      <c r="K105" s="422" t="str">
        <f>IF(AND(I105&gt;0,J105&gt;0),I105-J105,"")</f>
        <v/>
      </c>
      <c r="L105" s="2"/>
      <c r="M105" s="20"/>
      <c r="N105" s="20"/>
      <c r="O105" s="20"/>
      <c r="P105" s="19"/>
    </row>
    <row r="106" spans="1:28">
      <c r="A106" s="3"/>
      <c r="B106" s="637"/>
      <c r="C106" s="371" t="s">
        <v>377</v>
      </c>
      <c r="D106" s="372"/>
      <c r="E106" s="373" t="str">
        <f>IF(ISBLANK(D106),"",D106*30)</f>
        <v/>
      </c>
      <c r="F106" s="341"/>
      <c r="G106" s="342" t="str">
        <f>IF(AND(E106&gt;0,F106&gt;0),(F106*E106),"")</f>
        <v/>
      </c>
      <c r="H106" s="341"/>
      <c r="I106" s="387" t="str">
        <f>IF(AND(G106&gt;0,H106&gt;0),H106/G106,"")</f>
        <v/>
      </c>
      <c r="J106" s="374"/>
      <c r="K106" s="422" t="str">
        <f>IF(AND(I106&gt;0,J106&gt;0),I106-J106,"")</f>
        <v/>
      </c>
      <c r="L106" s="2"/>
      <c r="M106" s="20"/>
      <c r="N106" s="20"/>
      <c r="O106" s="20"/>
      <c r="P106" s="19"/>
      <c r="R106" s="20"/>
    </row>
    <row r="107" spans="1:28" ht="15.75" thickBot="1">
      <c r="A107" s="3"/>
      <c r="B107" s="638"/>
      <c r="C107" s="375" t="s">
        <v>377</v>
      </c>
      <c r="D107" s="376"/>
      <c r="E107" s="413" t="str">
        <f>IF(ISBLANK(D107),"",D107*30)</f>
        <v/>
      </c>
      <c r="F107" s="343"/>
      <c r="G107" s="414" t="str">
        <f>IF(AND(E107&gt;0,F107&gt;0),(F107*E107),"")</f>
        <v/>
      </c>
      <c r="H107" s="343"/>
      <c r="I107" s="415" t="str">
        <f>IF(AND(G107&gt;0,H107&gt;0),H107/G107,"")</f>
        <v/>
      </c>
      <c r="J107" s="377"/>
      <c r="K107" s="423" t="str">
        <f>IF(AND(I107&gt;0,J107&gt;0),I107-J107,"")</f>
        <v/>
      </c>
      <c r="L107" s="2"/>
      <c r="M107" s="20"/>
      <c r="N107" s="20"/>
      <c r="O107" s="20"/>
      <c r="P107" s="19"/>
      <c r="R107" s="20"/>
    </row>
    <row r="108" spans="1:28">
      <c r="A108" s="3"/>
      <c r="B108" s="3"/>
      <c r="C108" s="3"/>
      <c r="D108" s="3"/>
      <c r="E108" s="3"/>
      <c r="F108" s="3"/>
      <c r="G108" s="2"/>
      <c r="H108" s="2"/>
      <c r="I108" s="2"/>
      <c r="J108" s="3"/>
      <c r="K108" s="3"/>
      <c r="L108" s="2"/>
      <c r="M108" s="2"/>
      <c r="N108" s="20"/>
      <c r="O108" s="20"/>
      <c r="P108" s="20"/>
      <c r="Q108" s="19"/>
      <c r="S108" s="20"/>
    </row>
    <row r="109" spans="1:28" ht="15.75" thickBot="1">
      <c r="A109" s="3"/>
      <c r="B109" s="3"/>
      <c r="C109" s="3"/>
      <c r="D109" s="3"/>
      <c r="E109" s="3"/>
      <c r="F109" s="3"/>
      <c r="G109" s="3"/>
      <c r="H109" s="3"/>
      <c r="I109" s="2"/>
      <c r="J109" s="105"/>
      <c r="K109" s="105"/>
      <c r="L109" s="3"/>
      <c r="M109" s="3"/>
    </row>
    <row r="110" spans="1:28" ht="19.5" thickBot="1">
      <c r="A110" s="3"/>
      <c r="B110" s="235" t="s">
        <v>508</v>
      </c>
      <c r="C110" s="125"/>
      <c r="D110" s="125"/>
      <c r="E110" s="126"/>
      <c r="F110" s="126"/>
      <c r="G110" s="126"/>
      <c r="H110" s="244"/>
      <c r="I110" s="236"/>
      <c r="J110" s="318"/>
      <c r="K110" s="319" t="s">
        <v>375</v>
      </c>
      <c r="L110" s="126"/>
      <c r="M110" s="320"/>
      <c r="N110" s="321"/>
      <c r="O110" s="321"/>
      <c r="P110" s="379"/>
      <c r="Q110" s="36"/>
    </row>
    <row r="111" spans="1:28" ht="15.75" thickBot="1">
      <c r="A111" s="3"/>
      <c r="B111" s="3"/>
      <c r="C111" s="3"/>
      <c r="D111" s="3"/>
      <c r="E111" s="3"/>
      <c r="F111" s="3"/>
      <c r="G111" s="3"/>
      <c r="H111" s="3"/>
      <c r="I111" s="3"/>
      <c r="J111" s="3"/>
      <c r="K111" s="3"/>
      <c r="L111" s="3"/>
      <c r="M111" s="3"/>
      <c r="N111"/>
      <c r="O111"/>
      <c r="P111" s="36"/>
      <c r="Q111" s="36"/>
    </row>
    <row r="112" spans="1:28">
      <c r="A112" s="3"/>
      <c r="B112" s="625" t="s">
        <v>401</v>
      </c>
      <c r="C112" s="626"/>
      <c r="D112" s="627"/>
      <c r="E112" s="304" t="s">
        <v>331</v>
      </c>
      <c r="F112" s="264" t="s">
        <v>348</v>
      </c>
      <c r="G112" s="240"/>
      <c r="H112" s="363" t="s">
        <v>110</v>
      </c>
      <c r="I112" s="363" t="s">
        <v>111</v>
      </c>
      <c r="J112" s="363" t="s">
        <v>112</v>
      </c>
      <c r="K112" s="363" t="s">
        <v>113</v>
      </c>
      <c r="L112" s="363" t="s">
        <v>125</v>
      </c>
      <c r="M112" s="363" t="s">
        <v>126</v>
      </c>
      <c r="N112" s="363" t="s">
        <v>127</v>
      </c>
      <c r="O112" s="363" t="s">
        <v>128</v>
      </c>
      <c r="P112" s="363" t="s">
        <v>129</v>
      </c>
      <c r="Q112" s="363" t="s">
        <v>130</v>
      </c>
      <c r="R112" s="363" t="s">
        <v>131</v>
      </c>
      <c r="S112" s="364" t="s">
        <v>292</v>
      </c>
      <c r="T112" s="364" t="s">
        <v>459</v>
      </c>
      <c r="U112" s="364" t="s">
        <v>460</v>
      </c>
      <c r="W112" s="364" t="s">
        <v>475</v>
      </c>
      <c r="X112" s="364" t="s">
        <v>476</v>
      </c>
      <c r="Y112" s="364" t="s">
        <v>484</v>
      </c>
      <c r="Z112" s="364" t="s">
        <v>485</v>
      </c>
      <c r="AA112" s="364" t="s">
        <v>487</v>
      </c>
      <c r="AB112" s="364" t="s">
        <v>488</v>
      </c>
    </row>
    <row r="113" spans="1:28" ht="1.5" customHeight="1">
      <c r="A113" s="3"/>
      <c r="B113" s="426"/>
      <c r="C113" s="427"/>
      <c r="D113" s="427"/>
      <c r="E113" s="438"/>
      <c r="F113" s="439"/>
      <c r="G113" s="440"/>
      <c r="H113" s="441"/>
      <c r="I113" s="441"/>
      <c r="J113" s="441"/>
      <c r="K113" s="441"/>
      <c r="L113" s="441"/>
      <c r="M113" s="441"/>
      <c r="N113" s="441"/>
      <c r="O113" s="441"/>
      <c r="P113" s="441"/>
      <c r="Q113" s="441"/>
      <c r="R113" s="441"/>
      <c r="S113" s="442"/>
      <c r="T113" s="442"/>
      <c r="U113" s="442"/>
      <c r="W113" s="442"/>
      <c r="X113" s="442"/>
      <c r="Y113" s="442"/>
      <c r="Z113" s="442"/>
      <c r="AA113" s="442"/>
      <c r="AB113" s="442"/>
    </row>
    <row r="114" spans="1:28" ht="15" customHeight="1">
      <c r="A114" s="593" t="s">
        <v>379</v>
      </c>
      <c r="B114" s="597" t="s">
        <v>470</v>
      </c>
      <c r="C114" s="597"/>
      <c r="D114" s="597"/>
      <c r="E114" s="640">
        <v>4.2</v>
      </c>
      <c r="F114" s="601" t="s">
        <v>119</v>
      </c>
      <c r="G114" s="241" t="s">
        <v>91</v>
      </c>
      <c r="H114" s="127">
        <v>3250</v>
      </c>
      <c r="I114" s="127">
        <v>3500</v>
      </c>
      <c r="J114" s="127">
        <v>3750</v>
      </c>
      <c r="K114" s="260">
        <v>4000</v>
      </c>
      <c r="L114" s="127">
        <v>4375</v>
      </c>
      <c r="M114" s="127">
        <v>4750</v>
      </c>
      <c r="N114" s="127">
        <v>4832</v>
      </c>
      <c r="O114" s="127">
        <v>5207</v>
      </c>
      <c r="P114" s="127">
        <v>5357</v>
      </c>
      <c r="Q114" s="127">
        <v>5507</v>
      </c>
      <c r="R114" s="127">
        <v>5657</v>
      </c>
      <c r="S114" s="127">
        <v>5807</v>
      </c>
      <c r="T114" s="443">
        <v>5947</v>
      </c>
      <c r="U114" s="127">
        <v>6087</v>
      </c>
      <c r="W114" s="127">
        <v>6227</v>
      </c>
      <c r="X114" s="127">
        <v>6367</v>
      </c>
      <c r="Y114" s="127">
        <v>6507</v>
      </c>
      <c r="Z114" s="127">
        <v>6647</v>
      </c>
      <c r="AA114" s="127">
        <v>6787</v>
      </c>
      <c r="AB114" s="127">
        <v>6927</v>
      </c>
    </row>
    <row r="115" spans="1:28">
      <c r="A115" s="593"/>
      <c r="B115" s="597"/>
      <c r="C115" s="597"/>
      <c r="D115" s="597"/>
      <c r="E115" s="640"/>
      <c r="F115" s="601"/>
      <c r="G115" s="241" t="s">
        <v>92</v>
      </c>
      <c r="H115" s="127">
        <v>2093</v>
      </c>
      <c r="I115" s="127">
        <v>2817</v>
      </c>
      <c r="J115" s="127">
        <v>3197</v>
      </c>
      <c r="K115" s="260">
        <v>3717</v>
      </c>
      <c r="L115" s="127">
        <v>3976</v>
      </c>
      <c r="M115" s="127">
        <v>4296</v>
      </c>
      <c r="N115" s="127">
        <v>4564</v>
      </c>
      <c r="O115" s="127">
        <v>4853</v>
      </c>
      <c r="P115" s="127">
        <v>5107</v>
      </c>
      <c r="Q115" s="127">
        <v>5327</v>
      </c>
      <c r="R115" s="127">
        <v>5519</v>
      </c>
      <c r="S115" s="127">
        <v>5704</v>
      </c>
      <c r="T115" s="443">
        <v>5874</v>
      </c>
      <c r="U115" s="127">
        <v>6085</v>
      </c>
      <c r="W115" s="127">
        <v>6262</v>
      </c>
      <c r="X115" s="127">
        <v>6444</v>
      </c>
      <c r="Y115" s="127">
        <v>6622</v>
      </c>
      <c r="Z115" s="127">
        <v>6785</v>
      </c>
      <c r="AA115" s="127">
        <v>6943</v>
      </c>
      <c r="AB115" s="127">
        <v>7067</v>
      </c>
    </row>
    <row r="116" spans="1:28" ht="21" customHeight="1">
      <c r="A116" s="593"/>
      <c r="B116" s="602" t="s">
        <v>465</v>
      </c>
      <c r="C116" s="602"/>
      <c r="D116" s="602"/>
      <c r="E116" s="647">
        <v>4.3</v>
      </c>
      <c r="F116" s="639" t="s">
        <v>119</v>
      </c>
      <c r="G116" s="407" t="s">
        <v>91</v>
      </c>
      <c r="H116" s="237">
        <v>95</v>
      </c>
      <c r="I116" s="237">
        <v>125</v>
      </c>
      <c r="J116" s="237">
        <v>155</v>
      </c>
      <c r="K116" s="261">
        <v>185</v>
      </c>
      <c r="L116" s="237">
        <v>216</v>
      </c>
      <c r="M116" s="237">
        <v>248</v>
      </c>
      <c r="N116" s="303">
        <v>352</v>
      </c>
      <c r="O116" s="303">
        <v>372</v>
      </c>
      <c r="P116" s="303">
        <v>392</v>
      </c>
      <c r="Q116" s="303">
        <v>412</v>
      </c>
      <c r="R116" s="303">
        <v>432</v>
      </c>
      <c r="S116" s="303">
        <v>452</v>
      </c>
      <c r="T116" s="303">
        <v>230</v>
      </c>
      <c r="U116" s="303">
        <v>244</v>
      </c>
      <c r="W116" s="303">
        <v>258</v>
      </c>
      <c r="X116" s="303">
        <v>272</v>
      </c>
      <c r="Y116" s="303">
        <v>230</v>
      </c>
      <c r="Z116" s="303">
        <v>244</v>
      </c>
      <c r="AA116" s="303">
        <v>258</v>
      </c>
      <c r="AB116" s="303">
        <v>272</v>
      </c>
    </row>
    <row r="117" spans="1:28" ht="21" customHeight="1">
      <c r="A117" s="593"/>
      <c r="B117" s="602"/>
      <c r="C117" s="602"/>
      <c r="D117" s="602"/>
      <c r="E117" s="647"/>
      <c r="F117" s="618"/>
      <c r="G117" s="407" t="s">
        <v>92</v>
      </c>
      <c r="H117" s="237">
        <v>91</v>
      </c>
      <c r="I117" s="237">
        <v>133</v>
      </c>
      <c r="J117" s="237">
        <v>195</v>
      </c>
      <c r="K117" s="261">
        <v>236</v>
      </c>
      <c r="L117" s="237">
        <v>298</v>
      </c>
      <c r="M117" s="237">
        <v>332</v>
      </c>
      <c r="N117" s="237">
        <v>363</v>
      </c>
      <c r="O117" s="237">
        <v>395</v>
      </c>
      <c r="P117" s="303">
        <v>395</v>
      </c>
      <c r="Q117" s="303">
        <v>462</v>
      </c>
      <c r="R117" s="303">
        <v>482</v>
      </c>
      <c r="S117" s="303">
        <v>509</v>
      </c>
      <c r="T117" s="303">
        <v>229</v>
      </c>
      <c r="U117" s="303">
        <v>264</v>
      </c>
      <c r="W117" s="303">
        <v>297</v>
      </c>
      <c r="X117" s="303">
        <v>325</v>
      </c>
      <c r="Y117" s="303">
        <v>230</v>
      </c>
      <c r="Z117" s="303">
        <v>271</v>
      </c>
      <c r="AA117" s="303">
        <v>307</v>
      </c>
      <c r="AB117" s="303">
        <v>332</v>
      </c>
    </row>
    <row r="118" spans="1:28" ht="27" customHeight="1">
      <c r="A118" s="593"/>
      <c r="B118" s="603" t="s">
        <v>466</v>
      </c>
      <c r="C118" s="603"/>
      <c r="D118" s="603"/>
      <c r="E118" s="623">
        <v>4.4000000000000004</v>
      </c>
      <c r="F118" s="601" t="s">
        <v>119</v>
      </c>
      <c r="G118" s="428" t="s">
        <v>91</v>
      </c>
      <c r="H118" s="409">
        <v>54</v>
      </c>
      <c r="I118" s="409">
        <v>108</v>
      </c>
      <c r="J118" s="409">
        <v>162</v>
      </c>
      <c r="K118" s="409">
        <v>216</v>
      </c>
      <c r="L118" s="409">
        <v>280</v>
      </c>
      <c r="M118" s="409">
        <v>344</v>
      </c>
      <c r="N118" s="409">
        <v>407</v>
      </c>
      <c r="O118" s="409">
        <v>471</v>
      </c>
      <c r="P118" s="409">
        <v>511</v>
      </c>
      <c r="Q118" s="409">
        <v>551</v>
      </c>
      <c r="R118" s="409">
        <v>591</v>
      </c>
      <c r="S118" s="409">
        <v>631</v>
      </c>
      <c r="T118" s="443">
        <v>651</v>
      </c>
      <c r="U118" s="127">
        <v>671</v>
      </c>
      <c r="W118" s="127">
        <v>691</v>
      </c>
      <c r="X118" s="127">
        <v>711</v>
      </c>
      <c r="Y118" s="127">
        <v>731</v>
      </c>
      <c r="Z118" s="127">
        <v>751</v>
      </c>
      <c r="AA118" s="127">
        <v>771</v>
      </c>
      <c r="AB118" s="127">
        <v>791</v>
      </c>
    </row>
    <row r="119" spans="1:28" ht="28.5" customHeight="1">
      <c r="A119" s="593"/>
      <c r="B119" s="603"/>
      <c r="C119" s="603"/>
      <c r="D119" s="603"/>
      <c r="E119" s="624"/>
      <c r="F119" s="601"/>
      <c r="G119" s="428" t="s">
        <v>92</v>
      </c>
      <c r="H119" s="409">
        <v>61</v>
      </c>
      <c r="I119" s="409">
        <v>131</v>
      </c>
      <c r="J119" s="409">
        <v>180</v>
      </c>
      <c r="K119" s="409">
        <v>225</v>
      </c>
      <c r="L119" s="409">
        <v>284</v>
      </c>
      <c r="M119" s="409">
        <v>322</v>
      </c>
      <c r="N119" s="409">
        <v>368</v>
      </c>
      <c r="O119" s="409">
        <v>437</v>
      </c>
      <c r="P119" s="409">
        <v>462</v>
      </c>
      <c r="Q119" s="409">
        <v>481</v>
      </c>
      <c r="R119" s="409">
        <v>500</v>
      </c>
      <c r="S119" s="409">
        <v>534</v>
      </c>
      <c r="T119" s="443">
        <v>554</v>
      </c>
      <c r="U119" s="127">
        <v>579</v>
      </c>
      <c r="W119" s="127">
        <v>592</v>
      </c>
      <c r="X119" s="127">
        <v>632</v>
      </c>
      <c r="Y119" s="127">
        <v>653</v>
      </c>
      <c r="Z119" s="127">
        <v>678</v>
      </c>
      <c r="AA119" s="127">
        <v>699</v>
      </c>
      <c r="AB119" s="127">
        <v>718</v>
      </c>
    </row>
    <row r="120" spans="1:28" ht="25.5" customHeight="1">
      <c r="A120" s="3"/>
      <c r="B120" s="616" t="s">
        <v>472</v>
      </c>
      <c r="C120" s="616"/>
      <c r="D120" s="616"/>
      <c r="E120" s="639">
        <v>3.1</v>
      </c>
      <c r="F120" s="639" t="s">
        <v>119</v>
      </c>
      <c r="G120" s="430" t="s">
        <v>91</v>
      </c>
      <c r="H120" s="237">
        <v>25</v>
      </c>
      <c r="I120" s="237">
        <v>150</v>
      </c>
      <c r="J120" s="237">
        <v>225</v>
      </c>
      <c r="K120" s="237">
        <v>400</v>
      </c>
      <c r="L120" s="237">
        <v>500</v>
      </c>
      <c r="M120" s="237">
        <v>625</v>
      </c>
      <c r="N120" s="237">
        <v>1224</v>
      </c>
      <c r="O120" s="237">
        <v>1410</v>
      </c>
      <c r="P120" s="237">
        <v>1510</v>
      </c>
      <c r="Q120" s="237">
        <v>1610</v>
      </c>
      <c r="R120" s="237">
        <v>1710</v>
      </c>
      <c r="S120" s="237">
        <v>1810</v>
      </c>
      <c r="T120" s="444">
        <v>50</v>
      </c>
      <c r="U120" s="303">
        <v>90</v>
      </c>
      <c r="W120" s="303">
        <v>90</v>
      </c>
      <c r="X120" s="303">
        <v>90</v>
      </c>
      <c r="Y120" s="303">
        <v>75</v>
      </c>
      <c r="Z120" s="303">
        <v>115</v>
      </c>
      <c r="AA120" s="303">
        <v>115</v>
      </c>
      <c r="AB120" s="303">
        <v>65</v>
      </c>
    </row>
    <row r="121" spans="1:28" ht="27.75" customHeight="1">
      <c r="A121" s="3"/>
      <c r="B121" s="616"/>
      <c r="C121" s="616"/>
      <c r="D121" s="616"/>
      <c r="E121" s="618"/>
      <c r="F121" s="618"/>
      <c r="G121" s="430" t="s">
        <v>92</v>
      </c>
      <c r="H121" s="237">
        <v>50</v>
      </c>
      <c r="I121" s="237">
        <v>174</v>
      </c>
      <c r="J121" s="237">
        <v>268</v>
      </c>
      <c r="K121" s="237">
        <v>594</v>
      </c>
      <c r="L121" s="237">
        <v>788</v>
      </c>
      <c r="M121" s="237">
        <v>1099</v>
      </c>
      <c r="N121" s="237">
        <v>1224</v>
      </c>
      <c r="O121" s="237">
        <v>1395</v>
      </c>
      <c r="P121" s="237">
        <v>1448</v>
      </c>
      <c r="Q121" s="237">
        <v>1608</v>
      </c>
      <c r="R121" s="237">
        <v>1804</v>
      </c>
      <c r="S121" s="237">
        <v>1898</v>
      </c>
      <c r="T121" s="444">
        <v>24</v>
      </c>
      <c r="U121" s="303">
        <v>129</v>
      </c>
      <c r="W121" s="303">
        <v>86</v>
      </c>
      <c r="X121" s="303">
        <v>86</v>
      </c>
      <c r="Y121" s="303">
        <v>53</v>
      </c>
      <c r="Z121" s="303">
        <f>Y121+68</f>
        <v>121</v>
      </c>
      <c r="AA121" s="303">
        <v>131</v>
      </c>
      <c r="AB121" s="303">
        <v>118</v>
      </c>
    </row>
    <row r="122" spans="1:28" ht="17.25" customHeight="1">
      <c r="A122" s="3"/>
      <c r="B122" s="597" t="s">
        <v>467</v>
      </c>
      <c r="C122" s="597"/>
      <c r="D122" s="597"/>
      <c r="E122" s="642">
        <v>4.0999999999999996</v>
      </c>
      <c r="F122" s="630" t="s">
        <v>119</v>
      </c>
      <c r="G122" s="431" t="s">
        <v>91</v>
      </c>
      <c r="H122" s="409">
        <v>108</v>
      </c>
      <c r="I122" s="409">
        <v>216</v>
      </c>
      <c r="J122" s="409">
        <v>324</v>
      </c>
      <c r="K122" s="410">
        <v>432</v>
      </c>
      <c r="L122" s="409">
        <v>573</v>
      </c>
      <c r="M122" s="409">
        <v>715</v>
      </c>
      <c r="N122" s="409">
        <v>1011</v>
      </c>
      <c r="O122" s="409">
        <v>1061</v>
      </c>
      <c r="P122" s="409">
        <v>1101</v>
      </c>
      <c r="Q122" s="409">
        <v>1141</v>
      </c>
      <c r="R122" s="409">
        <v>1181</v>
      </c>
      <c r="S122" s="409">
        <v>1221</v>
      </c>
      <c r="T122" s="409">
        <v>800</v>
      </c>
      <c r="U122" s="409">
        <v>880</v>
      </c>
      <c r="W122" s="409">
        <v>960</v>
      </c>
      <c r="X122" s="409">
        <v>1040</v>
      </c>
      <c r="Y122" s="409">
        <v>800</v>
      </c>
      <c r="Z122" s="409">
        <v>880</v>
      </c>
      <c r="AA122" s="409">
        <v>960</v>
      </c>
      <c r="AB122" s="409">
        <v>1040</v>
      </c>
    </row>
    <row r="123" spans="1:28" ht="19.5" customHeight="1">
      <c r="A123" s="3"/>
      <c r="B123" s="597"/>
      <c r="C123" s="597"/>
      <c r="D123" s="597"/>
      <c r="E123" s="642"/>
      <c r="F123" s="631"/>
      <c r="G123" s="431" t="s">
        <v>92</v>
      </c>
      <c r="H123" s="409">
        <v>108</v>
      </c>
      <c r="I123" s="409">
        <v>269</v>
      </c>
      <c r="J123" s="429">
        <v>462</v>
      </c>
      <c r="K123" s="432">
        <v>588</v>
      </c>
      <c r="L123" s="429">
        <v>803</v>
      </c>
      <c r="M123" s="429">
        <v>961</v>
      </c>
      <c r="N123" s="409">
        <v>1134</v>
      </c>
      <c r="O123" s="409">
        <v>1257</v>
      </c>
      <c r="P123" s="409">
        <v>1257</v>
      </c>
      <c r="Q123" s="409">
        <v>1452</v>
      </c>
      <c r="R123" s="409">
        <v>1554</v>
      </c>
      <c r="S123" s="409">
        <v>1611</v>
      </c>
      <c r="T123" s="409">
        <v>800</v>
      </c>
      <c r="U123" s="409">
        <v>842</v>
      </c>
      <c r="W123" s="409">
        <v>890</v>
      </c>
      <c r="X123" s="409">
        <v>948</v>
      </c>
      <c r="Y123" s="409">
        <v>800</v>
      </c>
      <c r="Z123" s="409">
        <v>946</v>
      </c>
      <c r="AA123" s="409">
        <v>1034</v>
      </c>
      <c r="AB123" s="409">
        <v>1106</v>
      </c>
    </row>
    <row r="124" spans="1:28" ht="22.5" customHeight="1">
      <c r="A124" s="3"/>
      <c r="B124" s="616" t="s">
        <v>469</v>
      </c>
      <c r="C124" s="616"/>
      <c r="D124" s="616"/>
      <c r="E124" s="647">
        <v>4.5</v>
      </c>
      <c r="F124" s="639"/>
      <c r="G124" s="430" t="s">
        <v>91</v>
      </c>
      <c r="H124" s="303" t="s">
        <v>424</v>
      </c>
      <c r="I124" s="303" t="s">
        <v>424</v>
      </c>
      <c r="J124" s="303" t="s">
        <v>424</v>
      </c>
      <c r="K124" s="458" t="s">
        <v>424</v>
      </c>
      <c r="L124" s="303" t="s">
        <v>424</v>
      </c>
      <c r="M124" s="459">
        <v>0.5</v>
      </c>
      <c r="N124" s="303" t="s">
        <v>424</v>
      </c>
      <c r="O124" s="459">
        <v>0.55000000000000004</v>
      </c>
      <c r="P124" s="303" t="s">
        <v>424</v>
      </c>
      <c r="Q124" s="459">
        <v>0.56999999999999995</v>
      </c>
      <c r="R124" s="303" t="s">
        <v>424</v>
      </c>
      <c r="S124" s="459">
        <v>0.59</v>
      </c>
      <c r="T124" s="444" t="s">
        <v>424</v>
      </c>
      <c r="U124" s="459">
        <v>0.6</v>
      </c>
      <c r="W124" s="444" t="s">
        <v>424</v>
      </c>
      <c r="X124" s="459">
        <v>0.6</v>
      </c>
      <c r="Y124" s="444" t="s">
        <v>424</v>
      </c>
      <c r="Z124" s="459">
        <v>0.6</v>
      </c>
      <c r="AA124" s="490" t="s">
        <v>424</v>
      </c>
      <c r="AB124" s="459">
        <v>0.6</v>
      </c>
    </row>
    <row r="125" spans="1:28" ht="29.25" customHeight="1">
      <c r="A125" s="3"/>
      <c r="B125" s="616"/>
      <c r="C125" s="616"/>
      <c r="D125" s="616"/>
      <c r="E125" s="647"/>
      <c r="F125" s="618"/>
      <c r="G125" s="430" t="s">
        <v>92</v>
      </c>
      <c r="H125" s="460" t="s">
        <v>424</v>
      </c>
      <c r="I125" s="460" t="s">
        <v>424</v>
      </c>
      <c r="J125" s="460" t="s">
        <v>424</v>
      </c>
      <c r="K125" s="458" t="s">
        <v>424</v>
      </c>
      <c r="L125" s="460" t="s">
        <v>424</v>
      </c>
      <c r="M125" s="461">
        <v>0.53180000000000005</v>
      </c>
      <c r="N125" s="303" t="s">
        <v>424</v>
      </c>
      <c r="O125" s="461">
        <v>0.56040000000000001</v>
      </c>
      <c r="P125" s="303" t="s">
        <v>424</v>
      </c>
      <c r="Q125" s="459">
        <v>0.57850000000000001</v>
      </c>
      <c r="R125" s="303" t="s">
        <v>424</v>
      </c>
      <c r="S125" s="459">
        <v>0.42680000000000001</v>
      </c>
      <c r="T125" s="444" t="s">
        <v>424</v>
      </c>
      <c r="U125" s="459">
        <v>0.4461</v>
      </c>
      <c r="W125" s="444" t="s">
        <v>424</v>
      </c>
      <c r="X125" s="459">
        <v>0.47</v>
      </c>
      <c r="Y125" s="444" t="s">
        <v>424</v>
      </c>
      <c r="Z125" s="459">
        <v>0.52170000000000005</v>
      </c>
      <c r="AA125" s="490" t="s">
        <v>424</v>
      </c>
      <c r="AB125" s="459">
        <v>0.6</v>
      </c>
    </row>
    <row r="126" spans="1:28" ht="21" customHeight="1">
      <c r="A126" s="3"/>
      <c r="B126" s="617" t="s">
        <v>473</v>
      </c>
      <c r="C126" s="617"/>
      <c r="D126" s="617"/>
      <c r="E126" s="640">
        <v>5.0999999999999996</v>
      </c>
      <c r="F126" s="601" t="s">
        <v>119</v>
      </c>
      <c r="G126" s="408" t="s">
        <v>91</v>
      </c>
      <c r="H126" s="409">
        <v>5</v>
      </c>
      <c r="I126" s="409">
        <v>10</v>
      </c>
      <c r="J126" s="409">
        <v>15</v>
      </c>
      <c r="K126" s="410">
        <v>20</v>
      </c>
      <c r="L126" s="409">
        <v>25</v>
      </c>
      <c r="M126" s="409">
        <v>30</v>
      </c>
      <c r="N126" s="409">
        <v>35</v>
      </c>
      <c r="O126" s="409">
        <v>40</v>
      </c>
      <c r="P126" s="409">
        <v>45</v>
      </c>
      <c r="Q126" s="409">
        <v>50</v>
      </c>
      <c r="R126" s="409">
        <v>55</v>
      </c>
      <c r="S126" s="445">
        <v>60</v>
      </c>
      <c r="T126" s="446">
        <v>5</v>
      </c>
      <c r="U126" s="409">
        <v>10</v>
      </c>
      <c r="W126" s="409">
        <v>5</v>
      </c>
      <c r="X126" s="409">
        <v>10</v>
      </c>
      <c r="Y126" s="409">
        <v>5</v>
      </c>
      <c r="Z126" s="409">
        <v>10</v>
      </c>
      <c r="AA126" s="409">
        <v>5</v>
      </c>
      <c r="AB126" s="409">
        <v>10</v>
      </c>
    </row>
    <row r="127" spans="1:28" ht="20.25" customHeight="1">
      <c r="A127" s="3"/>
      <c r="B127" s="617"/>
      <c r="C127" s="617"/>
      <c r="D127" s="617"/>
      <c r="E127" s="640"/>
      <c r="F127" s="601"/>
      <c r="G127" s="408" t="s">
        <v>92</v>
      </c>
      <c r="H127" s="425">
        <v>8</v>
      </c>
      <c r="I127" s="425">
        <f>H127+7</f>
        <v>15</v>
      </c>
      <c r="J127" s="425">
        <f>I127+9</f>
        <v>24</v>
      </c>
      <c r="K127" s="410">
        <f>J127+5</f>
        <v>29</v>
      </c>
      <c r="L127" s="425">
        <f>K127+5</f>
        <v>34</v>
      </c>
      <c r="M127" s="425">
        <f>L127+5</f>
        <v>39</v>
      </c>
      <c r="N127" s="409">
        <f>M127+5</f>
        <v>44</v>
      </c>
      <c r="O127" s="409">
        <f>N127+6</f>
        <v>50</v>
      </c>
      <c r="P127" s="409">
        <f>O127+5</f>
        <v>55</v>
      </c>
      <c r="Q127" s="409">
        <f>P127+5</f>
        <v>60</v>
      </c>
      <c r="R127" s="409">
        <v>65</v>
      </c>
      <c r="S127" s="409">
        <v>70</v>
      </c>
      <c r="T127" s="446">
        <v>5</v>
      </c>
      <c r="U127" s="409">
        <v>11</v>
      </c>
      <c r="W127" s="409">
        <v>5</v>
      </c>
      <c r="X127" s="409">
        <v>10</v>
      </c>
      <c r="Y127" s="409">
        <v>5</v>
      </c>
      <c r="Z127" s="409">
        <v>10</v>
      </c>
      <c r="AA127" s="409">
        <v>5</v>
      </c>
      <c r="AB127" s="409">
        <v>12</v>
      </c>
    </row>
    <row r="128" spans="1:28" ht="21.75" customHeight="1">
      <c r="A128" s="3"/>
      <c r="B128" s="616" t="s">
        <v>474</v>
      </c>
      <c r="C128" s="616"/>
      <c r="D128" s="616"/>
      <c r="E128" s="618">
        <v>5.2</v>
      </c>
      <c r="F128" s="618" t="s">
        <v>119</v>
      </c>
      <c r="G128" s="407" t="s">
        <v>91</v>
      </c>
      <c r="H128" s="237">
        <v>10</v>
      </c>
      <c r="I128" s="237">
        <v>20</v>
      </c>
      <c r="J128" s="237">
        <v>30</v>
      </c>
      <c r="K128" s="237">
        <v>40</v>
      </c>
      <c r="L128" s="237">
        <v>55</v>
      </c>
      <c r="M128" s="237">
        <v>70</v>
      </c>
      <c r="N128" s="237">
        <v>212</v>
      </c>
      <c r="O128" s="237">
        <v>242</v>
      </c>
      <c r="P128" s="237">
        <v>272</v>
      </c>
      <c r="Q128" s="237">
        <v>302</v>
      </c>
      <c r="R128" s="237">
        <v>332</v>
      </c>
      <c r="S128" s="237">
        <v>362</v>
      </c>
      <c r="T128" s="237">
        <v>35</v>
      </c>
      <c r="U128" s="237">
        <v>70</v>
      </c>
      <c r="W128" s="237">
        <v>35</v>
      </c>
      <c r="X128" s="237">
        <v>70</v>
      </c>
      <c r="Y128" s="237">
        <v>35</v>
      </c>
      <c r="Z128" s="237">
        <v>70</v>
      </c>
      <c r="AA128" s="237">
        <v>35</v>
      </c>
      <c r="AB128" s="237">
        <v>70</v>
      </c>
    </row>
    <row r="129" spans="1:28" ht="21" customHeight="1">
      <c r="A129" s="3"/>
      <c r="B129" s="616"/>
      <c r="C129" s="616"/>
      <c r="D129" s="616"/>
      <c r="E129" s="618"/>
      <c r="F129" s="618"/>
      <c r="G129" s="407" t="s">
        <v>92</v>
      </c>
      <c r="H129" s="237">
        <v>25</v>
      </c>
      <c r="I129" s="237">
        <v>78</v>
      </c>
      <c r="J129" s="237">
        <v>108</v>
      </c>
      <c r="K129" s="237">
        <v>142</v>
      </c>
      <c r="L129" s="237">
        <v>163</v>
      </c>
      <c r="M129" s="237">
        <v>182</v>
      </c>
      <c r="N129" s="237">
        <v>210</v>
      </c>
      <c r="O129" s="237">
        <v>251</v>
      </c>
      <c r="P129" s="237">
        <v>296</v>
      </c>
      <c r="Q129" s="237">
        <v>344</v>
      </c>
      <c r="R129" s="237">
        <v>394</v>
      </c>
      <c r="S129" s="237">
        <v>429</v>
      </c>
      <c r="T129" s="237">
        <v>52</v>
      </c>
      <c r="U129" s="237">
        <v>104</v>
      </c>
      <c r="W129" s="237">
        <v>57</v>
      </c>
      <c r="X129" s="237">
        <v>114</v>
      </c>
      <c r="Y129" s="237">
        <v>54</v>
      </c>
      <c r="Z129" s="237">
        <f>54+59</f>
        <v>113</v>
      </c>
      <c r="AA129" s="237">
        <v>54</v>
      </c>
      <c r="AB129" s="237">
        <v>116</v>
      </c>
    </row>
    <row r="130" spans="1:28" ht="18" customHeight="1">
      <c r="A130" s="3"/>
      <c r="B130" s="617" t="s">
        <v>468</v>
      </c>
      <c r="C130" s="617"/>
      <c r="D130" s="617"/>
      <c r="E130" s="640">
        <v>5.3</v>
      </c>
      <c r="F130" s="624" t="s">
        <v>119</v>
      </c>
      <c r="G130" s="408" t="s">
        <v>91</v>
      </c>
      <c r="H130" s="434">
        <v>35</v>
      </c>
      <c r="I130" s="434">
        <v>70</v>
      </c>
      <c r="J130" s="434">
        <v>105</v>
      </c>
      <c r="K130" s="432">
        <v>140</v>
      </c>
      <c r="L130" s="434">
        <v>190</v>
      </c>
      <c r="M130" s="434">
        <v>240</v>
      </c>
      <c r="N130" s="434">
        <v>390</v>
      </c>
      <c r="O130" s="434">
        <v>440</v>
      </c>
      <c r="P130" s="434">
        <v>490</v>
      </c>
      <c r="Q130" s="434">
        <v>540</v>
      </c>
      <c r="R130" s="434">
        <v>590</v>
      </c>
      <c r="S130" s="434">
        <v>640</v>
      </c>
      <c r="T130" s="409">
        <v>0</v>
      </c>
      <c r="U130" s="409">
        <v>25</v>
      </c>
      <c r="W130" s="409">
        <v>25</v>
      </c>
      <c r="X130" s="409">
        <v>50</v>
      </c>
      <c r="Y130" s="409">
        <v>0</v>
      </c>
      <c r="Z130" s="409">
        <v>25</v>
      </c>
      <c r="AA130" s="409">
        <v>25</v>
      </c>
      <c r="AB130" s="409">
        <v>50</v>
      </c>
    </row>
    <row r="131" spans="1:28">
      <c r="A131" s="3"/>
      <c r="B131" s="617"/>
      <c r="C131" s="617"/>
      <c r="D131" s="617"/>
      <c r="E131" s="640"/>
      <c r="F131" s="624"/>
      <c r="G131" s="408" t="s">
        <v>92</v>
      </c>
      <c r="H131" s="434"/>
      <c r="I131" s="434">
        <v>78</v>
      </c>
      <c r="J131" s="434"/>
      <c r="K131" s="432"/>
      <c r="L131" s="434"/>
      <c r="M131" s="434">
        <v>340</v>
      </c>
      <c r="N131" s="434">
        <v>411</v>
      </c>
      <c r="O131" s="434">
        <v>542</v>
      </c>
      <c r="P131" s="434">
        <v>608</v>
      </c>
      <c r="Q131" s="434">
        <v>712</v>
      </c>
      <c r="R131" s="434">
        <v>741</v>
      </c>
      <c r="S131" s="434">
        <v>780</v>
      </c>
      <c r="T131" s="409">
        <v>0</v>
      </c>
      <c r="U131" s="409">
        <v>30</v>
      </c>
      <c r="W131" s="409">
        <v>27</v>
      </c>
      <c r="X131" s="409">
        <v>54</v>
      </c>
      <c r="Y131" s="409">
        <v>0</v>
      </c>
      <c r="Z131" s="409">
        <v>34</v>
      </c>
      <c r="AA131" s="409">
        <v>27</v>
      </c>
      <c r="AB131" s="409">
        <v>53</v>
      </c>
    </row>
    <row r="132" spans="1:28">
      <c r="A132" s="3"/>
      <c r="B132" s="3"/>
      <c r="C132" s="3"/>
      <c r="D132" s="3"/>
      <c r="E132" s="3"/>
      <c r="F132" s="3"/>
      <c r="G132" s="2"/>
      <c r="H132" s="3"/>
      <c r="I132" s="3"/>
      <c r="J132" s="3"/>
      <c r="K132" s="3"/>
      <c r="L132" s="3"/>
      <c r="M132" s="3"/>
      <c r="N132" s="3"/>
      <c r="O132" s="3"/>
      <c r="R132" s="36"/>
      <c r="S132" s="36"/>
    </row>
    <row r="133" spans="1:28">
      <c r="A133" s="3"/>
      <c r="B133" s="3"/>
      <c r="C133" s="3"/>
      <c r="D133" s="3"/>
      <c r="E133" s="3"/>
      <c r="F133" s="3"/>
      <c r="G133" s="2"/>
      <c r="H133" s="3"/>
      <c r="I133" s="3"/>
      <c r="J133" s="3"/>
      <c r="K133" s="3"/>
      <c r="L133" s="3"/>
      <c r="M133" s="3"/>
      <c r="N133" s="3"/>
      <c r="O133" s="3"/>
      <c r="R133" s="36"/>
      <c r="S133" s="36"/>
    </row>
    <row r="134" spans="1:28">
      <c r="A134" s="3"/>
      <c r="B134" s="3"/>
      <c r="C134" s="3"/>
      <c r="D134" s="3"/>
      <c r="E134" s="3"/>
      <c r="F134" s="3"/>
      <c r="G134" s="2"/>
      <c r="H134" s="3"/>
      <c r="I134" s="3"/>
      <c r="J134" s="3"/>
      <c r="K134" s="3"/>
      <c r="L134" s="3"/>
      <c r="M134" s="3"/>
      <c r="N134" s="3"/>
      <c r="O134" s="3"/>
      <c r="R134" s="36"/>
      <c r="S134" s="36"/>
    </row>
    <row r="135" spans="1:28" ht="16.5" thickBot="1">
      <c r="A135" s="3"/>
      <c r="B135" s="306"/>
      <c r="C135" s="3"/>
      <c r="D135" s="3"/>
      <c r="E135" s="3"/>
      <c r="F135" s="3"/>
      <c r="G135" s="2"/>
      <c r="H135" s="3"/>
      <c r="I135" s="3"/>
      <c r="J135" s="3"/>
      <c r="K135" s="3"/>
      <c r="L135" s="3"/>
      <c r="M135" s="3"/>
      <c r="N135" s="3"/>
      <c r="O135" s="3"/>
      <c r="R135" s="36"/>
      <c r="S135" s="36"/>
    </row>
    <row r="136" spans="1:28">
      <c r="A136" s="3"/>
      <c r="B136" s="3" t="s">
        <v>409</v>
      </c>
      <c r="C136" s="3"/>
      <c r="D136" s="3"/>
      <c r="E136" s="447" t="s">
        <v>331</v>
      </c>
      <c r="F136" s="448" t="s">
        <v>348</v>
      </c>
      <c r="G136" s="449"/>
      <c r="H136" s="450">
        <f t="shared" ref="H136:S136" si="6">C30</f>
        <v>0</v>
      </c>
      <c r="I136" s="450">
        <f t="shared" si="6"/>
        <v>0</v>
      </c>
      <c r="J136" s="450">
        <f t="shared" si="6"/>
        <v>0</v>
      </c>
      <c r="K136" s="450" t="str">
        <f t="shared" si="6"/>
        <v>P1-P12 (Q1.2010-Q4.2012)</v>
      </c>
      <c r="L136" s="450" t="str">
        <f t="shared" si="6"/>
        <v>P13 (Q1.2013)</v>
      </c>
      <c r="M136" s="450" t="str">
        <f t="shared" si="6"/>
        <v>P14 (Q2.2013)</v>
      </c>
      <c r="N136" s="450" t="str">
        <f t="shared" si="6"/>
        <v>P15 (Q3.2013)</v>
      </c>
      <c r="O136" s="450" t="str">
        <f t="shared" si="6"/>
        <v>P16 (Q4.2013)</v>
      </c>
      <c r="P136" s="450" t="str">
        <f t="shared" si="6"/>
        <v>P17 (Q1.2014)</v>
      </c>
      <c r="Q136" s="450" t="str">
        <f t="shared" si="6"/>
        <v>P18 (Q2.2014)</v>
      </c>
      <c r="R136" s="450" t="str">
        <f t="shared" si="6"/>
        <v>P19 (Q3.2014)</v>
      </c>
      <c r="S136" s="451" t="str">
        <f t="shared" si="6"/>
        <v>P20 (Q4.2014)</v>
      </c>
      <c r="T136" s="450" t="str">
        <f t="shared" ref="T136:Z136" si="7">T112</f>
        <v>P13</v>
      </c>
      <c r="U136" s="451" t="str">
        <f t="shared" si="7"/>
        <v>P14</v>
      </c>
      <c r="V136" s="451">
        <f t="shared" si="7"/>
        <v>0</v>
      </c>
      <c r="W136" s="451" t="str">
        <f t="shared" si="7"/>
        <v>P15</v>
      </c>
      <c r="X136" s="451" t="str">
        <f t="shared" si="7"/>
        <v>P16</v>
      </c>
      <c r="Y136" s="451" t="str">
        <f t="shared" si="7"/>
        <v>P17</v>
      </c>
      <c r="Z136" s="451" t="str">
        <f t="shared" si="7"/>
        <v>P18</v>
      </c>
      <c r="AA136" s="451" t="str">
        <f>AA112</f>
        <v>P19</v>
      </c>
      <c r="AB136" s="451" t="str">
        <f>AB112</f>
        <v>P20</v>
      </c>
    </row>
    <row r="137" spans="1:28">
      <c r="A137" s="3"/>
      <c r="B137" s="614" t="str">
        <f>IF(ISBLANK(B114),"",(B114))</f>
        <v>Number of people living with HIV/AIDS reached with care and support services 
(Numărul persoanelor care trăiesc cu HIV/SIDA şi au primit suport social)</v>
      </c>
      <c r="C137" s="614"/>
      <c r="D137" s="614"/>
      <c r="E137" s="643">
        <f>IF(ISBLANK(E114),"",(E114))</f>
        <v>4.2</v>
      </c>
      <c r="F137" s="643" t="str">
        <f>IF(ISBLANK(F114),"",(F114))</f>
        <v>Yes</v>
      </c>
      <c r="G137" s="452" t="s">
        <v>91</v>
      </c>
      <c r="H137" s="386">
        <f t="shared" ref="H137:M137" si="8">H114</f>
        <v>3250</v>
      </c>
      <c r="I137" s="386">
        <f t="shared" si="8"/>
        <v>3500</v>
      </c>
      <c r="J137" s="386">
        <f t="shared" si="8"/>
        <v>3750</v>
      </c>
      <c r="K137" s="386">
        <f t="shared" si="8"/>
        <v>4000</v>
      </c>
      <c r="L137" s="386">
        <f t="shared" si="8"/>
        <v>4375</v>
      </c>
      <c r="M137" s="386">
        <f t="shared" si="8"/>
        <v>4750</v>
      </c>
      <c r="N137" s="386">
        <f t="shared" ref="N137:S138" si="9">N114</f>
        <v>4832</v>
      </c>
      <c r="O137" s="386">
        <f t="shared" si="9"/>
        <v>5207</v>
      </c>
      <c r="P137" s="386">
        <f t="shared" si="9"/>
        <v>5357</v>
      </c>
      <c r="Q137" s="386">
        <f t="shared" si="9"/>
        <v>5507</v>
      </c>
      <c r="R137" s="386">
        <f t="shared" si="9"/>
        <v>5657</v>
      </c>
      <c r="S137" s="386">
        <f t="shared" si="9"/>
        <v>5807</v>
      </c>
      <c r="T137" s="386">
        <f t="shared" ref="T137:U142" si="10">T114</f>
        <v>5947</v>
      </c>
      <c r="U137" s="386">
        <f t="shared" si="10"/>
        <v>6087</v>
      </c>
      <c r="V137" s="386">
        <f t="shared" ref="V137:Z142" si="11">V114</f>
        <v>0</v>
      </c>
      <c r="W137" s="386">
        <f t="shared" si="11"/>
        <v>6227</v>
      </c>
      <c r="X137" s="386">
        <f t="shared" si="11"/>
        <v>6367</v>
      </c>
      <c r="Y137" s="386">
        <f t="shared" si="11"/>
        <v>6507</v>
      </c>
      <c r="Z137" s="386">
        <f t="shared" si="11"/>
        <v>6647</v>
      </c>
      <c r="AA137" s="386">
        <f t="shared" ref="AA137:AB142" si="12">AA114</f>
        <v>6787</v>
      </c>
      <c r="AB137" s="386">
        <f t="shared" si="12"/>
        <v>6927</v>
      </c>
    </row>
    <row r="138" spans="1:28">
      <c r="A138" s="3"/>
      <c r="B138" s="614"/>
      <c r="C138" s="614"/>
      <c r="D138" s="614"/>
      <c r="E138" s="643"/>
      <c r="F138" s="643"/>
      <c r="G138" s="452" t="s">
        <v>92</v>
      </c>
      <c r="H138" s="386">
        <f t="shared" ref="H138:K142" si="13">H115</f>
        <v>2093</v>
      </c>
      <c r="I138" s="386">
        <f t="shared" si="13"/>
        <v>2817</v>
      </c>
      <c r="J138" s="386">
        <f t="shared" si="13"/>
        <v>3197</v>
      </c>
      <c r="K138" s="386">
        <f t="shared" si="13"/>
        <v>3717</v>
      </c>
      <c r="L138" s="386">
        <f>L115</f>
        <v>3976</v>
      </c>
      <c r="M138" s="386">
        <f>M115</f>
        <v>4296</v>
      </c>
      <c r="N138" s="386">
        <f t="shared" si="9"/>
        <v>4564</v>
      </c>
      <c r="O138" s="386">
        <f t="shared" si="9"/>
        <v>4853</v>
      </c>
      <c r="P138" s="386">
        <f t="shared" si="9"/>
        <v>5107</v>
      </c>
      <c r="Q138" s="386">
        <f t="shared" si="9"/>
        <v>5327</v>
      </c>
      <c r="R138" s="386">
        <f t="shared" si="9"/>
        <v>5519</v>
      </c>
      <c r="S138" s="386">
        <f t="shared" si="9"/>
        <v>5704</v>
      </c>
      <c r="T138" s="386">
        <f t="shared" si="10"/>
        <v>5874</v>
      </c>
      <c r="U138" s="386">
        <f t="shared" si="10"/>
        <v>6085</v>
      </c>
      <c r="V138" s="386">
        <f t="shared" si="11"/>
        <v>0</v>
      </c>
      <c r="W138" s="386">
        <f t="shared" si="11"/>
        <v>6262</v>
      </c>
      <c r="X138" s="386">
        <f t="shared" si="11"/>
        <v>6444</v>
      </c>
      <c r="Y138" s="386">
        <f t="shared" si="11"/>
        <v>6622</v>
      </c>
      <c r="Z138" s="386">
        <f t="shared" si="11"/>
        <v>6785</v>
      </c>
      <c r="AA138" s="386">
        <f t="shared" si="12"/>
        <v>6943</v>
      </c>
      <c r="AB138" s="386">
        <f t="shared" si="12"/>
        <v>7067</v>
      </c>
    </row>
    <row r="139" spans="1:28">
      <c r="A139" s="3"/>
      <c r="B139" s="615" t="str">
        <f>IF(ISBLANK(B116),"",(B116))</f>
        <v>Number of children infected and affected by HIV/AIDS who receive social support 
(Numărul de copii infectaţi şi afectaţi de HIV/SIDA care primesc suport social)</v>
      </c>
      <c r="C139" s="615"/>
      <c r="D139" s="615"/>
      <c r="E139" s="641">
        <f>IF(ISBLANK(E116),"",(E116))</f>
        <v>4.3</v>
      </c>
      <c r="F139" s="641" t="str">
        <f>IF(ISBLANK(F116),"",(F116))</f>
        <v>Yes</v>
      </c>
      <c r="G139" s="411" t="s">
        <v>91</v>
      </c>
      <c r="H139" s="412">
        <f t="shared" si="13"/>
        <v>95</v>
      </c>
      <c r="I139" s="412">
        <f>I116</f>
        <v>125</v>
      </c>
      <c r="J139" s="412">
        <f t="shared" si="13"/>
        <v>155</v>
      </c>
      <c r="K139" s="412">
        <f>K116</f>
        <v>185</v>
      </c>
      <c r="L139" s="412">
        <f t="shared" ref="L139:S139" si="14">L116</f>
        <v>216</v>
      </c>
      <c r="M139" s="412">
        <f t="shared" si="14"/>
        <v>248</v>
      </c>
      <c r="N139" s="412">
        <f t="shared" si="14"/>
        <v>352</v>
      </c>
      <c r="O139" s="412">
        <f t="shared" si="14"/>
        <v>372</v>
      </c>
      <c r="P139" s="412">
        <f t="shared" si="14"/>
        <v>392</v>
      </c>
      <c r="Q139" s="412">
        <f t="shared" si="14"/>
        <v>412</v>
      </c>
      <c r="R139" s="412">
        <f t="shared" si="14"/>
        <v>432</v>
      </c>
      <c r="S139" s="412">
        <f t="shared" si="14"/>
        <v>452</v>
      </c>
      <c r="T139" s="412">
        <f t="shared" si="10"/>
        <v>230</v>
      </c>
      <c r="U139" s="412">
        <f t="shared" si="10"/>
        <v>244</v>
      </c>
      <c r="V139" s="412">
        <f t="shared" si="11"/>
        <v>0</v>
      </c>
      <c r="W139" s="412">
        <f t="shared" si="11"/>
        <v>258</v>
      </c>
      <c r="X139" s="412">
        <f t="shared" si="11"/>
        <v>272</v>
      </c>
      <c r="Y139" s="412">
        <f t="shared" si="11"/>
        <v>230</v>
      </c>
      <c r="Z139" s="412">
        <f t="shared" si="11"/>
        <v>244</v>
      </c>
      <c r="AA139" s="412">
        <f t="shared" si="12"/>
        <v>258</v>
      </c>
      <c r="AB139" s="412">
        <f t="shared" si="12"/>
        <v>272</v>
      </c>
    </row>
    <row r="140" spans="1:28" ht="28.5" customHeight="1">
      <c r="A140" s="3"/>
      <c r="B140" s="615"/>
      <c r="C140" s="615"/>
      <c r="D140" s="615"/>
      <c r="E140" s="641"/>
      <c r="F140" s="641"/>
      <c r="G140" s="411" t="s">
        <v>92</v>
      </c>
      <c r="H140" s="412">
        <f t="shared" si="13"/>
        <v>91</v>
      </c>
      <c r="I140" s="412">
        <f t="shared" si="13"/>
        <v>133</v>
      </c>
      <c r="J140" s="412">
        <f t="shared" si="13"/>
        <v>195</v>
      </c>
      <c r="K140" s="412">
        <f t="shared" si="13"/>
        <v>236</v>
      </c>
      <c r="L140" s="412">
        <f t="shared" ref="L140:S140" si="15">L117</f>
        <v>298</v>
      </c>
      <c r="M140" s="412">
        <f t="shared" si="15"/>
        <v>332</v>
      </c>
      <c r="N140" s="412">
        <f t="shared" si="15"/>
        <v>363</v>
      </c>
      <c r="O140" s="412">
        <f t="shared" si="15"/>
        <v>395</v>
      </c>
      <c r="P140" s="412">
        <f t="shared" si="15"/>
        <v>395</v>
      </c>
      <c r="Q140" s="412">
        <f t="shared" si="15"/>
        <v>462</v>
      </c>
      <c r="R140" s="412">
        <f t="shared" si="15"/>
        <v>482</v>
      </c>
      <c r="S140" s="412">
        <f t="shared" si="15"/>
        <v>509</v>
      </c>
      <c r="T140" s="412">
        <f t="shared" si="10"/>
        <v>229</v>
      </c>
      <c r="U140" s="412">
        <f t="shared" si="10"/>
        <v>264</v>
      </c>
      <c r="V140" s="412">
        <f t="shared" si="11"/>
        <v>0</v>
      </c>
      <c r="W140" s="412">
        <f t="shared" si="11"/>
        <v>297</v>
      </c>
      <c r="X140" s="412">
        <f t="shared" si="11"/>
        <v>325</v>
      </c>
      <c r="Y140" s="412">
        <f t="shared" si="11"/>
        <v>230</v>
      </c>
      <c r="Z140" s="412">
        <f t="shared" si="11"/>
        <v>271</v>
      </c>
      <c r="AA140" s="412">
        <f t="shared" si="12"/>
        <v>307</v>
      </c>
      <c r="AB140" s="412">
        <f t="shared" si="12"/>
        <v>332</v>
      </c>
    </row>
    <row r="141" spans="1:28">
      <c r="A141" s="3"/>
      <c r="B141" s="614" t="str">
        <f>IF(ISBLANK(B118),"",(B118))</f>
        <v xml:space="preserve">Number of Injecting drug users on opioid substitution therapy that receive at least 3 support services from NGOs working in DUs rehabilitation 
(Numărul de CDI care sunt în terapia de substituţie cu metadonă şi primesc cel puţin 3 servicii de suport din partea ONG-urilor care lucrează la reabilitarea CDI)           </v>
      </c>
      <c r="C141" s="614"/>
      <c r="D141" s="614"/>
      <c r="E141" s="643">
        <f>IF(ISBLANK(E118),"",(E118))</f>
        <v>4.4000000000000004</v>
      </c>
      <c r="F141" s="643" t="str">
        <f>IF(ISBLANK(F118),"",(F118))</f>
        <v>Yes</v>
      </c>
      <c r="G141" s="452" t="s">
        <v>91</v>
      </c>
      <c r="H141" s="386">
        <f t="shared" si="13"/>
        <v>54</v>
      </c>
      <c r="I141" s="386">
        <f t="shared" si="13"/>
        <v>108</v>
      </c>
      <c r="J141" s="386">
        <f t="shared" si="13"/>
        <v>162</v>
      </c>
      <c r="K141" s="386">
        <f t="shared" si="13"/>
        <v>216</v>
      </c>
      <c r="L141" s="386">
        <f t="shared" ref="L141:S141" si="16">L118</f>
        <v>280</v>
      </c>
      <c r="M141" s="386">
        <f t="shared" si="16"/>
        <v>344</v>
      </c>
      <c r="N141" s="386">
        <f t="shared" si="16"/>
        <v>407</v>
      </c>
      <c r="O141" s="386">
        <f t="shared" si="16"/>
        <v>471</v>
      </c>
      <c r="P141" s="386">
        <f t="shared" si="16"/>
        <v>511</v>
      </c>
      <c r="Q141" s="386">
        <f t="shared" si="16"/>
        <v>551</v>
      </c>
      <c r="R141" s="386">
        <f t="shared" si="16"/>
        <v>591</v>
      </c>
      <c r="S141" s="386">
        <f t="shared" si="16"/>
        <v>631</v>
      </c>
      <c r="T141" s="386">
        <f t="shared" si="10"/>
        <v>651</v>
      </c>
      <c r="U141" s="386">
        <f t="shared" si="10"/>
        <v>671</v>
      </c>
      <c r="V141" s="386">
        <f t="shared" si="11"/>
        <v>0</v>
      </c>
      <c r="W141" s="386">
        <f t="shared" si="11"/>
        <v>691</v>
      </c>
      <c r="X141" s="386">
        <f t="shared" si="11"/>
        <v>711</v>
      </c>
      <c r="Y141" s="386">
        <f t="shared" si="11"/>
        <v>731</v>
      </c>
      <c r="Z141" s="386">
        <f t="shared" si="11"/>
        <v>751</v>
      </c>
      <c r="AA141" s="386">
        <f t="shared" si="12"/>
        <v>771</v>
      </c>
      <c r="AB141" s="386">
        <f t="shared" si="12"/>
        <v>791</v>
      </c>
    </row>
    <row r="142" spans="1:28" ht="26.25" customHeight="1">
      <c r="A142" s="3"/>
      <c r="B142" s="614"/>
      <c r="C142" s="614"/>
      <c r="D142" s="614"/>
      <c r="E142" s="643"/>
      <c r="F142" s="643"/>
      <c r="G142" s="452" t="s">
        <v>92</v>
      </c>
      <c r="H142" s="386">
        <f t="shared" si="13"/>
        <v>61</v>
      </c>
      <c r="I142" s="386">
        <f t="shared" si="13"/>
        <v>131</v>
      </c>
      <c r="J142" s="386">
        <f t="shared" si="13"/>
        <v>180</v>
      </c>
      <c r="K142" s="386">
        <f t="shared" si="13"/>
        <v>225</v>
      </c>
      <c r="L142" s="386">
        <f t="shared" ref="L142:S142" si="17">L119</f>
        <v>284</v>
      </c>
      <c r="M142" s="386">
        <f t="shared" si="17"/>
        <v>322</v>
      </c>
      <c r="N142" s="386">
        <f t="shared" si="17"/>
        <v>368</v>
      </c>
      <c r="O142" s="386">
        <f t="shared" si="17"/>
        <v>437</v>
      </c>
      <c r="P142" s="386">
        <f t="shared" si="17"/>
        <v>462</v>
      </c>
      <c r="Q142" s="386">
        <f t="shared" si="17"/>
        <v>481</v>
      </c>
      <c r="R142" s="386">
        <f t="shared" si="17"/>
        <v>500</v>
      </c>
      <c r="S142" s="386">
        <f t="shared" si="17"/>
        <v>534</v>
      </c>
      <c r="T142" s="386">
        <f t="shared" si="10"/>
        <v>554</v>
      </c>
      <c r="U142" s="386">
        <f t="shared" si="10"/>
        <v>579</v>
      </c>
      <c r="V142" s="386">
        <f t="shared" si="11"/>
        <v>0</v>
      </c>
      <c r="W142" s="386">
        <f t="shared" si="11"/>
        <v>592</v>
      </c>
      <c r="X142" s="386">
        <f t="shared" si="11"/>
        <v>632</v>
      </c>
      <c r="Y142" s="386">
        <f t="shared" si="11"/>
        <v>653</v>
      </c>
      <c r="Z142" s="386">
        <f t="shared" si="11"/>
        <v>678</v>
      </c>
      <c r="AA142" s="386">
        <f t="shared" si="12"/>
        <v>699</v>
      </c>
      <c r="AB142" s="386">
        <f t="shared" si="12"/>
        <v>718</v>
      </c>
    </row>
    <row r="143" spans="1:28">
      <c r="A143" s="3"/>
      <c r="B143" s="3"/>
      <c r="C143" s="3"/>
      <c r="D143" s="3"/>
      <c r="E143" s="3"/>
      <c r="F143" s="3"/>
      <c r="G143" s="3"/>
      <c r="H143" s="3"/>
      <c r="I143" s="3"/>
      <c r="J143" s="3"/>
      <c r="K143" s="3"/>
      <c r="L143" s="3"/>
      <c r="M143" s="3"/>
      <c r="N143"/>
      <c r="O143"/>
      <c r="P143" s="36"/>
      <c r="Q143" s="36"/>
      <c r="S143" s="19"/>
    </row>
    <row r="144" spans="1:28">
      <c r="N144"/>
      <c r="O144"/>
      <c r="P144" s="36"/>
      <c r="Q144" s="36"/>
    </row>
  </sheetData>
  <mergeCells count="70">
    <mergeCell ref="O31:O34"/>
    <mergeCell ref="E114:E115"/>
    <mergeCell ref="F114:F115"/>
    <mergeCell ref="F116:F117"/>
    <mergeCell ref="E116:E117"/>
    <mergeCell ref="F43:I43"/>
    <mergeCell ref="B141:D142"/>
    <mergeCell ref="E139:E140"/>
    <mergeCell ref="E122:E123"/>
    <mergeCell ref="F139:F140"/>
    <mergeCell ref="F120:F121"/>
    <mergeCell ref="E141:E142"/>
    <mergeCell ref="F141:F142"/>
    <mergeCell ref="B120:D121"/>
    <mergeCell ref="E130:E131"/>
    <mergeCell ref="F130:F131"/>
    <mergeCell ref="E137:E138"/>
    <mergeCell ref="F137:F138"/>
    <mergeCell ref="F126:F127"/>
    <mergeCell ref="E120:E121"/>
    <mergeCell ref="E124:E125"/>
    <mergeCell ref="B122:D123"/>
    <mergeCell ref="E128:E129"/>
    <mergeCell ref="I24:J24"/>
    <mergeCell ref="B21:J21"/>
    <mergeCell ref="B69:C69"/>
    <mergeCell ref="E118:E119"/>
    <mergeCell ref="B112:D112"/>
    <mergeCell ref="D24:E24"/>
    <mergeCell ref="F128:F129"/>
    <mergeCell ref="F122:F123"/>
    <mergeCell ref="B67:C67"/>
    <mergeCell ref="B26:C26"/>
    <mergeCell ref="B104:B107"/>
    <mergeCell ref="F124:F125"/>
    <mergeCell ref="E126:E127"/>
    <mergeCell ref="B137:D138"/>
    <mergeCell ref="B139:D140"/>
    <mergeCell ref="B124:D125"/>
    <mergeCell ref="B126:D127"/>
    <mergeCell ref="B128:D129"/>
    <mergeCell ref="B130:D131"/>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68:C68"/>
    <mergeCell ref="A114:A119"/>
    <mergeCell ref="B29:N29"/>
    <mergeCell ref="B114:D115"/>
    <mergeCell ref="B56:D56"/>
    <mergeCell ref="F118:F119"/>
    <mergeCell ref="B116:D117"/>
    <mergeCell ref="B118:D119"/>
    <mergeCell ref="B18:C18"/>
    <mergeCell ref="D18:F18"/>
  </mergeCells>
  <phoneticPr fontId="30" type="noConversion"/>
  <conditionalFormatting sqref="B34 B32 C31 C32:F33">
    <cfRule type="expression" dxfId="55" priority="19" stopIfTrue="1">
      <formula>+AND(B30&gt;=#REF!,B30&lt;=#REF!)</formula>
    </cfRule>
  </conditionalFormatting>
  <conditionalFormatting sqref="C34:F34">
    <cfRule type="expression" dxfId="54" priority="20" stopIfTrue="1">
      <formula>+AND(C32&gt;=#REF!,C32&lt;=#REF!)</formula>
    </cfRule>
  </conditionalFormatting>
  <conditionalFormatting sqref="C30:F30 C90:N90">
    <cfRule type="cellIs" dxfId="53" priority="23" stopIfTrue="1" operator="equal">
      <formula>$C$16</formula>
    </cfRule>
  </conditionalFormatting>
  <conditionalFormatting sqref="C12:D12">
    <cfRule type="cellIs" dxfId="52" priority="25" stopIfTrue="1" operator="equal">
      <formula>"C"</formula>
    </cfRule>
    <cfRule type="cellIs" dxfId="51" priority="26" stopIfTrue="1" operator="equal">
      <formula>"B2"</formula>
    </cfRule>
    <cfRule type="cellIs" dxfId="50" priority="27" stopIfTrue="1" operator="equal">
      <formula>"B1"</formula>
    </cfRule>
  </conditionalFormatting>
  <conditionalFormatting sqref="H112:U113 H136:X136">
    <cfRule type="cellIs" dxfId="49" priority="34" stopIfTrue="1" operator="equal">
      <formula>$C$16</formula>
    </cfRule>
  </conditionalFormatting>
  <conditionalFormatting sqref="F43:I43">
    <cfRule type="expression" dxfId="48" priority="35" stopIfTrue="1">
      <formula>LEFT($F$43,2)="OK"</formula>
    </cfRule>
  </conditionalFormatting>
  <conditionalFormatting sqref="F32:H32">
    <cfRule type="expression" dxfId="47" priority="13" stopIfTrue="1">
      <formula>+AND(F31&gt;=#REF!,F31&lt;=#REF!)</formula>
    </cfRule>
  </conditionalFormatting>
  <conditionalFormatting sqref="F30:N30">
    <cfRule type="cellIs" dxfId="46" priority="15" stopIfTrue="1" operator="equal">
      <formula>$C$16</formula>
    </cfRule>
  </conditionalFormatting>
  <conditionalFormatting sqref="F30:H30">
    <cfRule type="cellIs" dxfId="45" priority="16" stopIfTrue="1" operator="equal">
      <formula>$C$16</formula>
    </cfRule>
  </conditionalFormatting>
  <conditionalFormatting sqref="F33:I33">
    <cfRule type="expression" dxfId="44" priority="11" stopIfTrue="1">
      <formula>+AND(F32&gt;=#REF!,F32&lt;=#REF!)</formula>
    </cfRule>
  </conditionalFormatting>
  <conditionalFormatting sqref="F34:I34">
    <cfRule type="expression" dxfId="43" priority="12" stopIfTrue="1">
      <formula>+AND(F32&gt;=#REF!,F32&lt;=#REF!)</formula>
    </cfRule>
  </conditionalFormatting>
  <conditionalFormatting sqref="W112:W113">
    <cfRule type="cellIs" dxfId="42" priority="10" stopIfTrue="1" operator="equal">
      <formula>$C$16</formula>
    </cfRule>
  </conditionalFormatting>
  <conditionalFormatting sqref="X112:X113">
    <cfRule type="cellIs" dxfId="41" priority="9" stopIfTrue="1" operator="equal">
      <formula>$C$16</formula>
    </cfRule>
  </conditionalFormatting>
  <conditionalFormatting sqref="J33">
    <cfRule type="expression" dxfId="40" priority="7" stopIfTrue="1">
      <formula>+AND(J32&gt;=#REF!,J32&lt;=#REF!)</formula>
    </cfRule>
  </conditionalFormatting>
  <conditionalFormatting sqref="J34">
    <cfRule type="expression" dxfId="39" priority="8" stopIfTrue="1">
      <formula>+AND(J32&gt;=#REF!,J32&lt;=#REF!)</formula>
    </cfRule>
  </conditionalFormatting>
  <conditionalFormatting sqref="J33:N33">
    <cfRule type="expression" dxfId="38" priority="5" stopIfTrue="1">
      <formula>+AND(J32&gt;=#REF!,J32&lt;=#REF!)</formula>
    </cfRule>
  </conditionalFormatting>
  <conditionalFormatting sqref="J34:N34">
    <cfRule type="expression" dxfId="37" priority="6" stopIfTrue="1">
      <formula>+AND(J32&gt;=#REF!,J32&lt;=#REF!)</formula>
    </cfRule>
  </conditionalFormatting>
  <conditionalFormatting sqref="Y136:AB136">
    <cfRule type="cellIs" dxfId="36" priority="4" stopIfTrue="1" operator="equal">
      <formula>$C$16</formula>
    </cfRule>
  </conditionalFormatting>
  <conditionalFormatting sqref="Y112:AB113">
    <cfRule type="cellIs" dxfId="35" priority="3" stopIfTrue="1" operator="equal">
      <formula>$C$16</formula>
    </cfRule>
  </conditionalFormatting>
  <conditionalFormatting sqref="I33">
    <cfRule type="expression" dxfId="34" priority="1" stopIfTrue="1">
      <formula>+AND(I32&gt;=#REF!,I32&lt;=#REF!)</formula>
    </cfRule>
  </conditionalFormatting>
  <conditionalFormatting sqref="I34">
    <cfRule type="expression" dxfId="33" priority="2" stopIfTrue="1">
      <formula>+AND(I32&gt;=#REF!,I32&lt;=#REF!)</formula>
    </cfRule>
  </conditionalFormatting>
  <dataValidations count="10">
    <dataValidation type="list" allowBlank="1" showInputMessage="1" showErrorMessage="1" sqref="B104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4:C107">
      <formula1>Medicaments</formula1>
    </dataValidation>
    <dataValidation type="decimal" allowBlank="1" showInputMessage="1" showErrorMessage="1" sqref="F48:F51">
      <formula1>-1000000000000000</formula1>
      <formula2>99999999999999900</formula2>
    </dataValidation>
  </dataValidations>
  <pageMargins left="0.25" right="0.25" top="0.75" bottom="0.75" header="0.3" footer="0.3"/>
  <pageSetup paperSize="8" scale="45" orientation="landscape" r:id="rId1"/>
  <headerFooter>
    <oddFooter>&amp;L&amp;F&amp;C&amp;A&amp;RV1.0          &amp;D</oddFooter>
  </headerFooter>
  <rowBreaks count="1" manualBreakCount="1">
    <brk id="61" max="16383" man="1"/>
  </rowBreaks>
  <ignoredErrors>
    <ignoredError sqref="H136:S136 E137" unlockedFormula="1"/>
  </ignoredErrors>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N29" sqref="N29"/>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55"/>
      <c r="H1" s="2"/>
      <c r="I1" s="2"/>
      <c r="J1" s="2"/>
    </row>
    <row r="2" spans="1:24" ht="25.5" customHeight="1"/>
    <row r="3" spans="1:24" ht="36">
      <c r="B3" s="651" t="str">
        <f>+"Dashboard: "&amp;" "&amp;+IF('Data Entry'!C4="Please Select","",'Data Entry'!C4&amp;" - ")&amp;+IF('Data Entry'!G6="Please Select","",'Data Entry'!G6)</f>
        <v>Dashboard:  Moldova - HIV / AIDS</v>
      </c>
      <c r="C3" s="651"/>
      <c r="D3" s="651"/>
      <c r="E3" s="651"/>
      <c r="F3" s="651"/>
      <c r="G3" s="651"/>
      <c r="H3" s="651"/>
      <c r="I3" s="651"/>
      <c r="J3" s="651"/>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51" t="s">
        <v>31</v>
      </c>
      <c r="B6" s="653" t="str">
        <f>+IF('Data Entry'!C4="Please Select","",'Data Entry'!C4)</f>
        <v>Moldova</v>
      </c>
      <c r="C6" s="653"/>
      <c r="D6" s="657" t="s">
        <v>17</v>
      </c>
      <c r="E6" s="657"/>
      <c r="F6" s="658" t="str">
        <f>+'Data Entry'!G4</f>
        <v>Reducing HIV-related burden in the Republic of Moldova</v>
      </c>
      <c r="G6" s="658"/>
      <c r="H6" s="658"/>
      <c r="I6" s="658"/>
      <c r="J6" s="658"/>
      <c r="K6" s="48"/>
      <c r="L6" s="80"/>
      <c r="M6" s="48"/>
      <c r="N6" s="48"/>
      <c r="O6" s="48"/>
      <c r="P6" s="49"/>
      <c r="Q6" s="17"/>
      <c r="R6" s="17"/>
      <c r="S6" s="17"/>
      <c r="T6" s="17"/>
      <c r="U6" s="17"/>
    </row>
    <row r="7" spans="1:24" ht="8.25" customHeight="1">
      <c r="B7" s="6"/>
      <c r="C7" s="7"/>
      <c r="D7" s="7"/>
      <c r="E7" s="8"/>
      <c r="F7" s="8"/>
      <c r="G7" s="9"/>
      <c r="H7" s="9"/>
      <c r="K7" s="48"/>
      <c r="L7" s="48"/>
      <c r="M7" s="48"/>
      <c r="N7" s="48"/>
      <c r="O7" s="48"/>
      <c r="P7" s="49"/>
      <c r="Q7" s="17"/>
      <c r="R7" s="17"/>
      <c r="S7" s="17"/>
      <c r="T7" s="17"/>
      <c r="U7" s="17"/>
    </row>
    <row r="8" spans="1:24" ht="3.75" customHeight="1">
      <c r="C8" s="10"/>
      <c r="D8" s="10"/>
      <c r="E8" s="10"/>
      <c r="F8" s="10"/>
      <c r="G8" s="10"/>
      <c r="H8" s="10"/>
      <c r="I8" s="10"/>
      <c r="J8" s="10"/>
      <c r="K8" s="48"/>
      <c r="L8" s="48"/>
      <c r="M8" s="48"/>
      <c r="N8" s="48"/>
      <c r="O8" s="50"/>
      <c r="P8" s="49"/>
      <c r="Q8" s="50"/>
      <c r="R8" s="51"/>
      <c r="S8" s="17"/>
      <c r="T8" s="17"/>
      <c r="U8" s="17"/>
    </row>
    <row r="9" spans="1:24" ht="25.5" customHeight="1">
      <c r="A9" s="353" t="s">
        <v>32</v>
      </c>
      <c r="B9" s="323" t="str">
        <f>+IF('Data Entry'!G6="Please Select","",'Data Entry'!G6)</f>
        <v>HIV / AIDS</v>
      </c>
      <c r="C9" s="220" t="s">
        <v>332</v>
      </c>
      <c r="D9" s="324" t="str">
        <f>+'Data Entry'!C6</f>
        <v>MOL-H-PAS</v>
      </c>
      <c r="E9" s="655" t="s">
        <v>18</v>
      </c>
      <c r="F9" s="655"/>
      <c r="G9" s="325" t="str">
        <f>+IF(ISBLANK('Data Entry'!C10),"",'Data Entry'!C10)</f>
        <v>January 01, 2010</v>
      </c>
      <c r="H9" s="353" t="s">
        <v>333</v>
      </c>
      <c r="I9" s="654" t="str">
        <f>+IF(ISBLANK('Data Entry'!I6),"",'Data Entry'!I6)</f>
        <v>EUR 12057410</v>
      </c>
      <c r="J9" s="654"/>
      <c r="K9" s="48"/>
      <c r="L9" s="48"/>
      <c r="M9" s="48"/>
      <c r="N9" s="48"/>
      <c r="O9" s="50"/>
      <c r="P9" s="49"/>
      <c r="Q9" s="50"/>
      <c r="R9" s="51"/>
      <c r="S9" s="17"/>
      <c r="T9" s="11"/>
      <c r="U9" s="11"/>
      <c r="V9" s="10"/>
      <c r="W9" s="10"/>
      <c r="X9" s="10"/>
    </row>
    <row r="10" spans="1:24" ht="25.5" customHeight="1">
      <c r="A10" s="353" t="s">
        <v>327</v>
      </c>
      <c r="B10" s="326" t="str">
        <f>+IF('Data Entry'!G8="Please Select","",'Data Entry'!G8)</f>
        <v>SSF (Round 8)</v>
      </c>
      <c r="C10" s="220" t="s">
        <v>326</v>
      </c>
      <c r="D10" s="327" t="str">
        <f>+IF('Data Entry'!I8="Please Select","",'Data Entry'!I8)</f>
        <v xml:space="preserve">Piriod 2 </v>
      </c>
      <c r="E10" s="656" t="s">
        <v>273</v>
      </c>
      <c r="F10" s="656"/>
      <c r="G10" s="652" t="str">
        <f>+'Data Entry'!C8</f>
        <v>PAS Center</v>
      </c>
      <c r="H10" s="652"/>
      <c r="I10" s="652"/>
      <c r="J10" s="652"/>
      <c r="K10" s="52"/>
      <c r="L10" s="52"/>
      <c r="M10" s="48"/>
      <c r="N10" s="52"/>
      <c r="O10" s="50"/>
      <c r="P10" s="49"/>
      <c r="Q10" s="11"/>
      <c r="R10" s="51"/>
      <c r="S10" s="17"/>
      <c r="T10" s="11"/>
      <c r="U10" s="11"/>
    </row>
    <row r="11" spans="1:24" ht="25.5" customHeight="1">
      <c r="A11" s="353" t="s">
        <v>26</v>
      </c>
      <c r="B11" s="328" t="str">
        <f>+'Data Entry'!C16</f>
        <v>P12</v>
      </c>
      <c r="C11" s="309" t="s">
        <v>271</v>
      </c>
      <c r="D11" s="329" t="str">
        <f>+IF(ISBLANK('Data Entry'!E16),"",'Data Entry'!E16)</f>
        <v>July 01, 2014</v>
      </c>
      <c r="E11" s="655" t="s">
        <v>27</v>
      </c>
      <c r="F11" s="655"/>
      <c r="G11" s="329" t="str">
        <f>+IF(ISBLANK('Data Entry'!G16),"",'Data Entry'!G16)</f>
        <v>December 31, 2014</v>
      </c>
      <c r="H11" s="353" t="s">
        <v>34</v>
      </c>
      <c r="I11" s="659" t="str">
        <f>+IF('Data Entry'!C12="Please Select","",'Data Entry'!C12)</f>
        <v>A1</v>
      </c>
      <c r="J11" s="659"/>
      <c r="K11" s="254"/>
      <c r="L11" s="52"/>
      <c r="M11" s="48"/>
      <c r="N11" s="52"/>
      <c r="O11" s="52"/>
      <c r="P11" s="49"/>
      <c r="Q11" s="11"/>
      <c r="R11" s="51"/>
      <c r="S11" s="17"/>
      <c r="T11" s="12"/>
      <c r="U11" s="11"/>
    </row>
    <row r="12" spans="1:24" ht="25.5" customHeight="1">
      <c r="A12" s="353" t="s">
        <v>36</v>
      </c>
      <c r="B12" s="652" t="str">
        <f>+IF('Data Entry'!G10="Please Select","",'Data Entry'!G10)</f>
        <v>PwC (PricewaterhouseCoopers)</v>
      </c>
      <c r="C12" s="652"/>
      <c r="D12" s="652"/>
      <c r="E12" s="656" t="s">
        <v>294</v>
      </c>
      <c r="F12" s="656"/>
      <c r="G12" s="652" t="str">
        <f>+'Data Entry'!G12</f>
        <v>Tatiana Vinichenko</v>
      </c>
      <c r="H12" s="652"/>
      <c r="I12" s="652"/>
      <c r="J12" s="652"/>
      <c r="K12" s="52"/>
      <c r="L12" s="52"/>
      <c r="M12" s="48"/>
      <c r="N12" s="52"/>
      <c r="O12" s="17"/>
      <c r="P12" s="49"/>
      <c r="Q12" s="11"/>
      <c r="R12" s="51"/>
      <c r="S12" s="17"/>
      <c r="T12" s="11"/>
      <c r="U12" s="53"/>
      <c r="V12" s="11"/>
      <c r="W12" s="12"/>
      <c r="X12" s="11"/>
    </row>
    <row r="13" spans="1:24" ht="25.5" customHeight="1">
      <c r="A13" s="353" t="s">
        <v>37</v>
      </c>
      <c r="B13" s="652" t="str">
        <f>+'Data Entry'!D18</f>
        <v>PAS Center</v>
      </c>
      <c r="C13" s="652"/>
      <c r="D13" s="652"/>
      <c r="E13" s="656" t="s">
        <v>35</v>
      </c>
      <c r="F13" s="656"/>
      <c r="G13" s="660">
        <f>+IF(ISBLANK('Data Entry'!J16),"",'Data Entry'!J16)</f>
        <v>42050</v>
      </c>
      <c r="H13" s="661"/>
      <c r="I13" s="661"/>
      <c r="J13" s="661"/>
      <c r="K13" s="17"/>
      <c r="L13" s="18"/>
      <c r="M13" s="18"/>
      <c r="N13" s="18"/>
      <c r="O13" s="17"/>
      <c r="P13" s="18"/>
      <c r="Q13" s="18"/>
      <c r="R13" s="51"/>
      <c r="S13" s="17"/>
      <c r="T13" s="18"/>
      <c r="U13" s="54"/>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29"/>
      <c r="D16" s="16"/>
      <c r="E16" s="354"/>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4" zoomScale="130" zoomScaleNormal="130" zoomScalePageLayoutView="130" workbookViewId="0">
      <selection activeCell="M33" sqref="M33"/>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8" customWidth="1"/>
  </cols>
  <sheetData>
    <row r="1" spans="2:15" ht="30.75" customHeight="1">
      <c r="B1" s="3"/>
      <c r="C1" s="3"/>
      <c r="D1" s="3"/>
      <c r="E1" s="3"/>
      <c r="F1" s="3"/>
      <c r="G1" s="3"/>
      <c r="H1" s="3"/>
      <c r="I1" s="3"/>
      <c r="J1" s="3"/>
      <c r="K1" s="3"/>
    </row>
    <row r="2" spans="2:15" ht="27.75" customHeight="1">
      <c r="B2" s="604" t="str">
        <f>+"Dashboard:  "&amp;"  "&amp;IF(+'Data Entry'!C4="Please Select","",'Data Entry'!C4&amp;" - ")&amp;IF('Data Entry'!G6="Please Select","",'Data Entry'!G6)</f>
        <v>Dashboard:    Moldova - HIV / AIDS</v>
      </c>
      <c r="C2" s="604"/>
      <c r="D2" s="604"/>
      <c r="E2" s="604"/>
      <c r="F2" s="604"/>
      <c r="G2" s="604"/>
      <c r="H2" s="604"/>
      <c r="I2" s="604"/>
      <c r="J2" s="604"/>
      <c r="K2" s="604"/>
      <c r="L2" s="1"/>
      <c r="M2" s="1"/>
      <c r="N2" s="1"/>
      <c r="O2" s="1"/>
    </row>
    <row r="3" spans="2:15">
      <c r="B3" s="495" t="str">
        <f>+IF('Data Entry'!G8="Please Select","",'Data Entry'!G8)</f>
        <v>SSF (Round 8)</v>
      </c>
      <c r="C3" s="676" t="str">
        <f>+IF('Data Entry'!I8="Please Select","",'Data Entry'!I8)</f>
        <v xml:space="preserve">Piriod 2 </v>
      </c>
      <c r="D3" s="676"/>
      <c r="E3" s="675"/>
      <c r="F3" s="675"/>
      <c r="G3" s="675"/>
      <c r="H3" s="675"/>
      <c r="I3" s="673" t="str">
        <f>+'Data Entry'!B16</f>
        <v>Report Period:</v>
      </c>
      <c r="J3" s="673"/>
      <c r="K3" s="496" t="str">
        <f>+'Data Entry'!C16</f>
        <v>P12</v>
      </c>
      <c r="L3" s="81"/>
    </row>
    <row r="4" spans="2:15">
      <c r="B4" s="495" t="str">
        <f>+'Data Entry'!B12</f>
        <v>Latest Rating:</v>
      </c>
      <c r="C4" s="677" t="str">
        <f>+IF('Data Entry'!C12="Please Select","",'Data Entry'!C12)</f>
        <v>A1</v>
      </c>
      <c r="D4" s="677"/>
      <c r="E4" s="675" t="str">
        <f>+'Data Entry'!C8</f>
        <v>PAS Center</v>
      </c>
      <c r="F4" s="675"/>
      <c r="G4" s="675"/>
      <c r="H4" s="675"/>
      <c r="I4" s="673" t="str">
        <f>+'Data Entry'!D16</f>
        <v>From:</v>
      </c>
      <c r="J4" s="674"/>
      <c r="K4" s="497" t="str">
        <f>+IF(ISBLANK('Data Entry'!E16),"",'Data Entry'!E16)</f>
        <v>July 01, 2014</v>
      </c>
    </row>
    <row r="5" spans="2:15" ht="18.75" customHeight="1">
      <c r="B5" s="495"/>
      <c r="C5" s="495"/>
      <c r="D5" s="672" t="str">
        <f>+'Data Entry'!G4</f>
        <v>Reducing HIV-related burden in the Republic of Moldova</v>
      </c>
      <c r="E5" s="672"/>
      <c r="F5" s="672"/>
      <c r="G5" s="672"/>
      <c r="H5" s="672"/>
      <c r="I5" s="672"/>
      <c r="J5" s="495" t="str">
        <f>+'Data Entry'!F16</f>
        <v>To:</v>
      </c>
      <c r="K5" s="497" t="str">
        <f>+IF(ISBLANK('Data Entry'!G16),"",'Data Entry'!G16)</f>
        <v>December 31, 2014</v>
      </c>
    </row>
    <row r="6" spans="2:15" ht="18.75">
      <c r="B6" s="132"/>
      <c r="C6" s="128"/>
      <c r="D6" s="129"/>
      <c r="E6" s="678" t="s">
        <v>68</v>
      </c>
      <c r="F6" s="678"/>
      <c r="G6" s="678"/>
      <c r="H6" s="678"/>
      <c r="I6" s="3"/>
      <c r="J6" s="3"/>
      <c r="K6" s="3"/>
    </row>
    <row r="7" spans="2:15" ht="10.5" customHeight="1">
      <c r="B7" s="133"/>
      <c r="C7" s="134"/>
      <c r="D7" s="135"/>
      <c r="E7" s="136"/>
      <c r="F7" s="136"/>
      <c r="G7" s="137"/>
      <c r="H7" s="137"/>
      <c r="I7" s="131"/>
      <c r="J7" s="131"/>
      <c r="K7" s="130"/>
    </row>
    <row r="8" spans="2:15">
      <c r="B8" s="198" t="str">
        <f>+'Data Entry'!B27&amp; " - in ("&amp;'Data Entry'!D26&amp;")         "&amp;+I3&amp;" "&amp;+K3</f>
        <v>F1: Budget and disbursements by Global Fund - in (€)         Report Period: P12</v>
      </c>
      <c r="C8" s="138"/>
      <c r="D8" s="2"/>
      <c r="E8" s="2"/>
      <c r="F8" s="2"/>
      <c r="H8" s="198" t="str">
        <f>+'Data Entry'!B45&amp; " - in ("&amp;'Data Entry'!D26&amp;")         "&amp;+I3&amp;" "&amp;+K3</f>
        <v>F3: Disbursements and expenditures - in (€)         Report Period: P12</v>
      </c>
      <c r="I8" s="3"/>
      <c r="J8" s="3"/>
      <c r="K8" s="3"/>
    </row>
    <row r="9" spans="2:15" ht="117" customHeight="1">
      <c r="B9" s="332" t="s">
        <v>14</v>
      </c>
      <c r="C9" s="662" t="s">
        <v>494</v>
      </c>
      <c r="D9" s="663"/>
      <c r="E9" s="663"/>
      <c r="F9" s="664"/>
      <c r="H9" s="333" t="s">
        <v>14</v>
      </c>
      <c r="I9" s="665" t="s">
        <v>495</v>
      </c>
      <c r="J9" s="666"/>
      <c r="K9" s="667"/>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199" t="str">
        <f>+'Data Entry'!B36&amp; " - in ("&amp;'Data Entry'!D26&amp;")  "&amp;+I3&amp;" "&amp;+K3</f>
        <v>F2: Budget and actual expenditures by Grant Objective - in (€)  Report Period: P12</v>
      </c>
      <c r="C22" s="2"/>
      <c r="D22" s="2"/>
      <c r="E22" s="2"/>
      <c r="F22" s="2"/>
      <c r="H22" s="199" t="str">
        <f>+'Data Entry'!B54&amp;"      "&amp;+I3&amp;" "&amp;+K3</f>
        <v>F4: Latest PR reporting and disbursement cycle      Report Period: P12</v>
      </c>
      <c r="J22" s="3"/>
      <c r="K22" s="3"/>
    </row>
    <row r="23" spans="1:11" ht="138" customHeight="1">
      <c r="B23" s="333" t="s">
        <v>15</v>
      </c>
      <c r="C23" s="662" t="s">
        <v>496</v>
      </c>
      <c r="D23" s="663"/>
      <c r="E23" s="663"/>
      <c r="F23" s="664"/>
      <c r="G23" s="350"/>
      <c r="H23" s="333" t="s">
        <v>14</v>
      </c>
      <c r="I23" s="684" t="s">
        <v>497</v>
      </c>
      <c r="J23" s="685"/>
      <c r="K23" s="685"/>
    </row>
    <row r="24" spans="1:11" ht="15.75" thickBot="1">
      <c r="B24" s="208"/>
      <c r="C24" s="208"/>
      <c r="D24" s="208"/>
      <c r="E24" s="208"/>
      <c r="F24" s="208"/>
      <c r="G24" s="208"/>
      <c r="H24" s="209"/>
      <c r="I24" s="209"/>
      <c r="J24" s="208"/>
      <c r="K24" s="208"/>
    </row>
    <row r="25" spans="1:11" ht="29.25" customHeight="1" thickBot="1">
      <c r="B25" s="3"/>
      <c r="C25" s="3"/>
      <c r="D25" s="3"/>
      <c r="E25" s="3"/>
      <c r="F25" s="3"/>
      <c r="G25" s="307"/>
      <c r="H25" s="679" t="s">
        <v>312</v>
      </c>
      <c r="I25" s="680"/>
      <c r="J25" s="680"/>
      <c r="K25" s="681"/>
    </row>
    <row r="26" spans="1:11" ht="24.75">
      <c r="B26" s="3"/>
      <c r="C26" s="3"/>
      <c r="D26" s="3"/>
      <c r="E26" s="3"/>
      <c r="F26" s="3"/>
      <c r="G26" s="272"/>
      <c r="H26" s="682"/>
      <c r="I26" s="683"/>
      <c r="J26" s="287" t="s">
        <v>66</v>
      </c>
      <c r="K26" s="288" t="s">
        <v>67</v>
      </c>
    </row>
    <row r="27" spans="1:11" ht="23.25" customHeight="1">
      <c r="B27" s="3"/>
      <c r="C27" s="3"/>
      <c r="D27" s="3"/>
      <c r="E27" s="3"/>
      <c r="F27" s="3"/>
      <c r="G27" s="308"/>
      <c r="H27" s="668" t="str">
        <f>'Data Entry'!B58</f>
        <v>Days taken to submit final PU/DR to LFA</v>
      </c>
      <c r="I27" s="669"/>
      <c r="J27" s="289">
        <f>+'Data Entry'!C58</f>
        <v>45</v>
      </c>
      <c r="K27" s="286">
        <f>+'Data Entry'!D58</f>
        <v>45</v>
      </c>
    </row>
    <row r="28" spans="1:11" ht="21" customHeight="1">
      <c r="B28" s="3"/>
      <c r="C28" s="3"/>
      <c r="D28" s="3"/>
      <c r="E28" s="3"/>
      <c r="F28" s="3"/>
      <c r="G28" s="308"/>
      <c r="H28" s="668" t="str">
        <f>'Data Entry'!B59</f>
        <v>Days taken for disbursement to reach PR</v>
      </c>
      <c r="I28" s="669"/>
      <c r="J28" s="289">
        <f>+'Data Entry'!C59</f>
        <v>45</v>
      </c>
      <c r="K28" s="286">
        <f>+'Data Entry'!D59</f>
        <v>50</v>
      </c>
    </row>
    <row r="29" spans="1:11" ht="21" customHeight="1" thickBot="1">
      <c r="B29" s="3"/>
      <c r="C29" s="3"/>
      <c r="D29" s="3"/>
      <c r="E29" s="3"/>
      <c r="F29" s="3"/>
      <c r="G29" s="308"/>
      <c r="H29" s="670" t="str">
        <f>'Data Entry'!B60</f>
        <v xml:space="preserve">Days taken for disbursement to reach SRs </v>
      </c>
      <c r="I29" s="671"/>
      <c r="J29" s="290">
        <f>+'Data Entry'!C60</f>
        <v>20</v>
      </c>
      <c r="K29" s="291">
        <f>+'Data Entry'!D60</f>
        <v>5</v>
      </c>
    </row>
    <row r="30" spans="1:11">
      <c r="B30" s="3"/>
      <c r="C30" s="3"/>
      <c r="D30" s="3"/>
      <c r="E30" s="3"/>
      <c r="F30" s="3"/>
      <c r="G30" s="3"/>
      <c r="H30" s="3"/>
      <c r="I30" s="3"/>
      <c r="J30" s="3"/>
      <c r="K30" s="3"/>
    </row>
    <row r="31" spans="1:11">
      <c r="B31" s="3"/>
      <c r="C31" s="15"/>
      <c r="D31" s="230"/>
      <c r="E31" s="3"/>
      <c r="F31" s="3"/>
      <c r="G31" s="3"/>
      <c r="H31" s="3"/>
      <c r="I31" s="3"/>
      <c r="J31" s="3"/>
      <c r="K31" s="3"/>
    </row>
    <row r="32" spans="1:11">
      <c r="B32" s="3"/>
      <c r="C32" s="15"/>
      <c r="D32" s="230"/>
      <c r="E32" s="3"/>
      <c r="F32" s="3"/>
      <c r="G32" s="3"/>
      <c r="H32" s="3"/>
      <c r="I32" s="3"/>
      <c r="J32" s="3"/>
      <c r="K32" s="3"/>
    </row>
    <row r="34" spans="5:5">
      <c r="E34" s="19"/>
    </row>
  </sheetData>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K27:K29">
    <cfRule type="cellIs" dxfId="29" priority="4" stopIfTrue="1" operator="greaterThan">
      <formula>J27</formula>
    </cfRule>
    <cfRule type="cellIs" dxfId="28" priority="5" stopIfTrue="1" operator="between">
      <formula>J27</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25" right="0.25" top="0.75" bottom="0.75" header="0.3" footer="0.3"/>
  <pageSetup paperSize="8" scale="97" orientation="landscape" r:id="rId1"/>
  <headerFooter>
    <oddFooter>&amp;L&amp;F&amp;C&amp;A&amp;RV1.0          &amp;D</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130" zoomScaleNormal="130" zoomScalePageLayoutView="130" workbookViewId="0">
      <selection activeCell="N10" sqref="N10"/>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25.42578125" customWidth="1"/>
    <col min="7" max="7" width="3.85546875" customWidth="1"/>
    <col min="8" max="8" width="9.85546875" customWidth="1"/>
    <col min="9" max="9" width="13" customWidth="1"/>
    <col min="10" max="10" width="13.7109375" customWidth="1"/>
    <col min="11" max="11" width="13.42578125" customWidth="1"/>
    <col min="12" max="12" width="29.140625" customWidth="1"/>
  </cols>
  <sheetData>
    <row r="1" spans="1:16" ht="22.5" customHeight="1">
      <c r="C1" s="226"/>
      <c r="E1" s="227"/>
    </row>
    <row r="2" spans="1:16" ht="18.75" customHeight="1">
      <c r="B2" s="690" t="str">
        <f>+"Dashboard:  "&amp;"  "&amp;IF(+'Data Entry'!C4="Please Select","",'Data Entry'!C4&amp;" - ")&amp;IF('Data Entry'!G6="Please Select","",'Data Entry'!G6)</f>
        <v>Dashboard:    Moldova - HIV / AIDS</v>
      </c>
      <c r="C2" s="690"/>
      <c r="D2" s="690"/>
      <c r="E2" s="690"/>
      <c r="F2" s="690"/>
      <c r="G2" s="690"/>
      <c r="H2" s="690"/>
      <c r="I2" s="690"/>
      <c r="J2" s="690"/>
      <c r="K2" s="690"/>
      <c r="L2" s="690"/>
      <c r="M2" s="26"/>
      <c r="N2" s="26"/>
      <c r="O2" s="26"/>
      <c r="P2" s="26"/>
    </row>
    <row r="3" spans="1:16">
      <c r="B3" s="24" t="str">
        <f>+IF('Data Entry'!G8="Please Select","",'Data Entry'!G8)</f>
        <v>SSF (Round 8)</v>
      </c>
      <c r="C3" s="700" t="str">
        <f>+IF('Data Entry'!I8="Please Select","",'Data Entry'!I8)</f>
        <v xml:space="preserve">Piriod 2 </v>
      </c>
      <c r="D3" s="700"/>
      <c r="E3" s="692"/>
      <c r="F3" s="692"/>
      <c r="G3" s="692"/>
      <c r="H3" s="692"/>
      <c r="I3" s="692"/>
      <c r="J3" s="693" t="str">
        <f>+'Data Entry'!B16</f>
        <v>Report Period:</v>
      </c>
      <c r="K3" s="693"/>
      <c r="L3" s="193" t="str">
        <f>+'Data Entry'!C16</f>
        <v>P12</v>
      </c>
    </row>
    <row r="4" spans="1:16">
      <c r="B4" s="24" t="str">
        <f>+'Data Entry'!B12</f>
        <v>Latest Rating:</v>
      </c>
      <c r="C4" s="691" t="str">
        <f>+IF('Data Entry'!C12="Please Select","",'Data Entry'!C12)</f>
        <v>A1</v>
      </c>
      <c r="D4" s="691"/>
      <c r="E4" s="692" t="str">
        <f>+'Data Entry'!C8</f>
        <v>PAS Center</v>
      </c>
      <c r="F4" s="692"/>
      <c r="G4" s="692"/>
      <c r="H4" s="692"/>
      <c r="I4" s="692"/>
      <c r="J4" s="693" t="str">
        <f>+'Data Entry'!D16</f>
        <v>From:</v>
      </c>
      <c r="K4" s="704"/>
      <c r="L4" s="195" t="str">
        <f>+IF(ISBLANK('Data Entry'!E16),"",'Data Entry'!E16)</f>
        <v>July 01, 2014</v>
      </c>
    </row>
    <row r="5" spans="1:16" ht="18.75" customHeight="1">
      <c r="B5" s="24"/>
      <c r="C5" s="24"/>
      <c r="D5" s="692" t="str">
        <f>+'Data Entry'!G4</f>
        <v>Reducing HIV-related burden in the Republic of Moldova</v>
      </c>
      <c r="E5" s="692"/>
      <c r="F5" s="692"/>
      <c r="G5" s="692"/>
      <c r="H5" s="692"/>
      <c r="I5" s="692"/>
      <c r="J5" s="692"/>
      <c r="K5" s="24" t="str">
        <f>+'Data Entry'!F16</f>
        <v>To:</v>
      </c>
      <c r="L5" s="195" t="str">
        <f>+IF(ISBLANK('Data Entry'!G16),"",'Data Entry'!G16)</f>
        <v>December 31, 2014</v>
      </c>
    </row>
    <row r="6" spans="1:16" ht="18.75">
      <c r="B6" s="23"/>
      <c r="C6" s="24"/>
      <c r="D6" s="25"/>
      <c r="E6" s="678" t="s">
        <v>75</v>
      </c>
      <c r="F6" s="678"/>
      <c r="G6" s="678"/>
      <c r="H6" s="678"/>
      <c r="I6" s="678"/>
    </row>
    <row r="7" spans="1:16">
      <c r="B7" s="351" t="str">
        <f>+'Data Entry'!B65&amp;"                "&amp;+J3&amp;" "&amp;+L3</f>
        <v>M1: Status of Conditions Precedent (CPs) and Time Bound Actions (TBAs)                Report Period: P12</v>
      </c>
      <c r="C7" s="21"/>
      <c r="H7" s="351" t="str">
        <f>+'Data Entry'!B72&amp;"                                                                             "&amp;+J3&amp;"  "&amp;+L3</f>
        <v>M2: Status of key PR management positions                                                                             Report Period:  P12</v>
      </c>
    </row>
    <row r="8" spans="1:16" ht="51.75" customHeight="1">
      <c r="B8" s="334" t="s">
        <v>14</v>
      </c>
      <c r="C8" s="662" t="s">
        <v>509</v>
      </c>
      <c r="D8" s="705"/>
      <c r="E8" s="705"/>
      <c r="F8" s="706"/>
      <c r="G8" s="352"/>
      <c r="H8" s="333" t="s">
        <v>14</v>
      </c>
      <c r="I8" s="662" t="s">
        <v>498</v>
      </c>
      <c r="J8" s="705"/>
      <c r="K8" s="705"/>
      <c r="L8" s="706"/>
    </row>
    <row r="9" spans="1:16">
      <c r="B9" s="19"/>
      <c r="C9" s="19"/>
      <c r="D9" s="19"/>
      <c r="E9" s="19"/>
      <c r="F9" s="19"/>
      <c r="G9" s="19"/>
      <c r="H9" s="19"/>
    </row>
    <row r="10" spans="1:16">
      <c r="A10" s="45"/>
      <c r="B10" s="19"/>
      <c r="C10" s="19"/>
      <c r="D10" s="699"/>
      <c r="E10" s="551"/>
      <c r="F10" s="551"/>
      <c r="G10" s="202"/>
      <c r="H10" s="19"/>
      <c r="N10" s="47"/>
      <c r="O10" s="47"/>
      <c r="P10" s="46"/>
    </row>
    <row r="11" spans="1:16">
      <c r="B11" s="19"/>
      <c r="C11" s="28"/>
      <c r="D11" s="699"/>
      <c r="E11" s="28"/>
      <c r="F11" s="28"/>
      <c r="G11" s="28"/>
      <c r="H11" s="28"/>
      <c r="N11" s="19"/>
      <c r="O11" s="19"/>
    </row>
    <row r="12" spans="1:16">
      <c r="B12" s="28"/>
      <c r="C12" s="77"/>
      <c r="D12" s="78"/>
      <c r="E12" s="78"/>
      <c r="F12" s="78"/>
      <c r="G12" s="78"/>
      <c r="H12" s="79"/>
    </row>
    <row r="13" spans="1:16">
      <c r="B13" s="28"/>
      <c r="C13" s="77"/>
      <c r="D13" s="78"/>
      <c r="E13" s="78"/>
      <c r="F13" s="78"/>
      <c r="G13" s="78"/>
      <c r="H13" s="79"/>
    </row>
    <row r="15" spans="1:16" ht="27.75" customHeight="1">
      <c r="B15" s="351" t="str">
        <f>+'Data Entry'!B77&amp;"                                                                                                  "&amp;+J3&amp;" "&amp;+L3</f>
        <v>M3: Contractual arrangements (SRs)                                                                                                   Report Period: P12</v>
      </c>
      <c r="H15" s="351" t="str">
        <f>+'Data Entry'!B82&amp;"                                                             "&amp;+J3&amp;" "&amp;+L3</f>
        <v>M4: Number of complete reports received on time                                                             Report Period: P12</v>
      </c>
    </row>
    <row r="16" spans="1:16" ht="305.25" customHeight="1">
      <c r="B16" s="334" t="s">
        <v>14</v>
      </c>
      <c r="C16" s="662" t="s">
        <v>486</v>
      </c>
      <c r="D16" s="705"/>
      <c r="E16" s="705"/>
      <c r="F16" s="706"/>
      <c r="G16" s="352"/>
      <c r="H16" s="333" t="s">
        <v>14</v>
      </c>
      <c r="I16" s="694" t="s">
        <v>499</v>
      </c>
      <c r="J16" s="695"/>
      <c r="K16" s="695"/>
      <c r="L16" s="696"/>
    </row>
    <row r="17" spans="2:13">
      <c r="B17" s="29"/>
      <c r="H17" s="30"/>
    </row>
    <row r="18" spans="2:13">
      <c r="M18" s="81"/>
    </row>
    <row r="26" spans="2:13">
      <c r="B26" s="351" t="str">
        <f>+'Data Entry'!B88</f>
        <v>M5: Budget and Procurement of health products, health equipment, medicines and pharmaceuticals</v>
      </c>
      <c r="H26" s="351" t="str">
        <f>+'Data Entry'!B101&amp;"                                                                "&amp;+J3&amp;"  "&amp;+L3</f>
        <v>M6: Difference between current and safety stock                                                                Report Period:  P12</v>
      </c>
    </row>
    <row r="27" spans="2:13">
      <c r="B27" s="332" t="s">
        <v>14</v>
      </c>
      <c r="C27" s="687" t="s">
        <v>4</v>
      </c>
      <c r="D27" s="688"/>
      <c r="E27" s="688"/>
      <c r="F27" s="689"/>
      <c r="G27" s="352"/>
      <c r="H27" s="333" t="s">
        <v>14</v>
      </c>
      <c r="I27" s="665" t="s">
        <v>4</v>
      </c>
      <c r="J27" s="697"/>
      <c r="K27" s="697"/>
      <c r="L27" s="698"/>
    </row>
    <row r="28" spans="2:13" ht="15.75" thickBot="1"/>
    <row r="29" spans="2:13" ht="44.25" customHeight="1">
      <c r="F29" s="314"/>
      <c r="G29" s="314"/>
      <c r="H29" s="214" t="s">
        <v>38</v>
      </c>
      <c r="I29" s="310" t="s">
        <v>85</v>
      </c>
      <c r="J29" s="331" t="s">
        <v>347</v>
      </c>
      <c r="K29" s="213" t="s">
        <v>335</v>
      </c>
      <c r="L29" s="311" t="s">
        <v>334</v>
      </c>
    </row>
    <row r="30" spans="2:13" ht="15" customHeight="1">
      <c r="F30" s="314"/>
      <c r="G30" s="314"/>
      <c r="H30" s="701" t="str">
        <f>+'Data Entry'!B104</f>
        <v>HIV / AIDS</v>
      </c>
      <c r="I30" s="312" t="str">
        <f>+'Data Entry'!C104</f>
        <v>Please Select</v>
      </c>
      <c r="J30" s="403" t="str">
        <f>+'Data Entry'!I104</f>
        <v/>
      </c>
      <c r="K30" s="404">
        <f>+'Data Entry'!J104</f>
        <v>0</v>
      </c>
      <c r="L30" s="388" t="str">
        <f>+'Data Entry'!K104</f>
        <v/>
      </c>
    </row>
    <row r="31" spans="2:13">
      <c r="F31" s="314"/>
      <c r="G31" s="314"/>
      <c r="H31" s="702"/>
      <c r="I31" s="312" t="str">
        <f>+'Data Entry'!C105</f>
        <v>Please Select</v>
      </c>
      <c r="J31" s="403" t="str">
        <f>+'Data Entry'!I105</f>
        <v/>
      </c>
      <c r="K31" s="404">
        <f>+'Data Entry'!J105</f>
        <v>0</v>
      </c>
      <c r="L31" s="389" t="str">
        <f>+'Data Entry'!K105</f>
        <v/>
      </c>
    </row>
    <row r="32" spans="2:13">
      <c r="F32" s="314"/>
      <c r="G32" s="314"/>
      <c r="H32" s="702"/>
      <c r="I32" s="312" t="str">
        <f>+'Data Entry'!C106</f>
        <v>Please Select</v>
      </c>
      <c r="J32" s="403" t="str">
        <f>+'Data Entry'!I106</f>
        <v/>
      </c>
      <c r="K32" s="404">
        <f>+'Data Entry'!J106</f>
        <v>0</v>
      </c>
      <c r="L32" s="388" t="str">
        <f>+'Data Entry'!K106</f>
        <v/>
      </c>
    </row>
    <row r="33" spans="2:12" ht="15.75" thickBot="1">
      <c r="F33" s="314"/>
      <c r="G33" s="314"/>
      <c r="H33" s="703"/>
      <c r="I33" s="313" t="str">
        <f>+'Data Entry'!C107</f>
        <v>Please Select</v>
      </c>
      <c r="J33" s="405" t="str">
        <f>+'Data Entry'!I107</f>
        <v/>
      </c>
      <c r="K33" s="406">
        <f>+'Data Entry'!J107</f>
        <v>0</v>
      </c>
      <c r="L33" s="388" t="str">
        <f>+'Data Entry'!K107</f>
        <v/>
      </c>
    </row>
    <row r="34" spans="2:12" ht="24.75" customHeight="1">
      <c r="B34" s="686" t="str">
        <f>+'Data Entry'!B98</f>
        <v>* Includes only EFR category 4 and 5  (Health products and health equipment &amp; Medicines and Pharmaceuticals)</v>
      </c>
      <c r="C34" s="686"/>
      <c r="D34" s="686"/>
      <c r="E34" s="686"/>
      <c r="F34" s="19"/>
      <c r="G34" s="19"/>
      <c r="H34" s="210"/>
      <c r="I34" s="211"/>
      <c r="J34" s="212"/>
      <c r="K34" s="202"/>
      <c r="L34" s="20"/>
    </row>
    <row r="35" spans="2:12">
      <c r="F35" s="19"/>
      <c r="G35" s="19"/>
      <c r="H35" s="19"/>
      <c r="I35" s="19"/>
      <c r="J35" s="19"/>
      <c r="K35" s="19"/>
      <c r="L35" s="19"/>
    </row>
  </sheetData>
  <mergeCells count="19">
    <mergeCell ref="C16:F16"/>
    <mergeCell ref="E10:F10"/>
    <mergeCell ref="C8:F8"/>
    <mergeCell ref="B34:E34"/>
    <mergeCell ref="C27:F27"/>
    <mergeCell ref="B2:L2"/>
    <mergeCell ref="C4:D4"/>
    <mergeCell ref="E6:I6"/>
    <mergeCell ref="E3:I3"/>
    <mergeCell ref="J3:K3"/>
    <mergeCell ref="I16:L16"/>
    <mergeCell ref="I27:L27"/>
    <mergeCell ref="D10:D11"/>
    <mergeCell ref="C3:D3"/>
    <mergeCell ref="E4:I4"/>
    <mergeCell ref="H30:H33"/>
    <mergeCell ref="J4:K4"/>
    <mergeCell ref="I8:L8"/>
    <mergeCell ref="D5:J5"/>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25" right="0.25" top="0.75" bottom="0.75" header="0.3" footer="0.3"/>
  <pageSetup paperSize="8" scale="83" orientation="landscape" r:id="rId1"/>
  <headerFooter>
    <oddFooter>&amp;L&amp;F&amp;C&amp;A&amp;RV1.0          &amp;D</oddFooter>
  </headerFooter>
  <colBreaks count="1" manualBreakCount="1">
    <brk id="12" max="33" man="1"/>
  </colBreak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pageSetUpPr fitToPage="1"/>
  </sheetPr>
  <dimension ref="A1:AI45"/>
  <sheetViews>
    <sheetView showGridLines="0" topLeftCell="C1" workbookViewId="0">
      <selection activeCell="B24" sqref="B24:D24"/>
    </sheetView>
  </sheetViews>
  <sheetFormatPr defaultColWidth="11" defaultRowHeight="15"/>
  <cols>
    <col min="1" max="1" width="0.42578125" customWidth="1"/>
    <col min="2" max="2" width="11.28515625" customWidth="1"/>
    <col min="3" max="3" width="19.140625" customWidth="1"/>
    <col min="4" max="4" width="29.140625" customWidth="1"/>
    <col min="5" max="5" width="8" customWidth="1"/>
    <col min="6" max="6" width="7.85546875" customWidth="1"/>
    <col min="7" max="7" width="12.28515625" customWidth="1"/>
    <col min="8" max="8" width="8.42578125" customWidth="1"/>
    <col min="9" max="9" width="13.28515625" customWidth="1"/>
    <col min="10" max="10" width="7.85546875" customWidth="1"/>
    <col min="11" max="11" width="21.85546875" customWidth="1"/>
    <col min="12" max="12" width="8.42578125" customWidth="1"/>
    <col min="13" max="13" width="5" customWidth="1"/>
    <col min="14" max="14" width="9.42578125" customWidth="1"/>
    <col min="15" max="15" width="9.28515625" customWidth="1"/>
    <col min="16" max="16" width="15.28515625" customWidth="1"/>
    <col min="17" max="17" width="53.4257812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690" t="str">
        <f>+"Dashboard:  "&amp;"  "&amp;IF(+'Data Entry'!C4="Please Select","",'Data Entry'!C4&amp;" - ")&amp;IF('Data Entry'!G6="Please Select","",'Data Entry'!G6)</f>
        <v>Dashboard:    Moldova - HIV / AIDS</v>
      </c>
      <c r="C2" s="690"/>
      <c r="D2" s="690"/>
      <c r="E2" s="690"/>
      <c r="F2" s="690"/>
      <c r="G2" s="690"/>
      <c r="H2" s="690"/>
      <c r="I2" s="690"/>
      <c r="J2" s="690"/>
      <c r="K2" s="690"/>
      <c r="L2" s="690"/>
      <c r="M2" s="690"/>
      <c r="N2" s="690"/>
      <c r="O2" s="690"/>
      <c r="P2" s="690"/>
      <c r="Q2" s="690"/>
    </row>
    <row r="3" spans="1:35" ht="18.75">
      <c r="A3" s="3"/>
      <c r="B3" s="128" t="str">
        <f>+IF('Data Entry'!G8="Please Select","",'Data Entry'!G8)</f>
        <v>SSF (Round 8)</v>
      </c>
      <c r="C3" s="700" t="str">
        <f>+IF('Data Entry'!I8="Please Select","",'Data Entry'!I8)</f>
        <v xml:space="preserve">Piriod 2 </v>
      </c>
      <c r="D3" s="700"/>
      <c r="E3" s="692"/>
      <c r="F3" s="692"/>
      <c r="G3" s="692"/>
      <c r="H3" s="692"/>
      <c r="I3" s="499"/>
      <c r="J3" s="499"/>
      <c r="K3" s="499"/>
      <c r="L3" s="3"/>
      <c r="M3" s="3"/>
      <c r="O3" s="693" t="str">
        <f>+'Data Entry'!B16</f>
        <v>Report Period:</v>
      </c>
      <c r="P3" s="693"/>
      <c r="Q3" s="194" t="str">
        <f>+'Data Entry'!C16</f>
        <v>P12</v>
      </c>
    </row>
    <row r="4" spans="1:35" ht="12" customHeight="1">
      <c r="A4" s="3"/>
      <c r="B4" s="128" t="str">
        <f>+'Data Entry'!B12</f>
        <v>Latest Rating:</v>
      </c>
      <c r="C4" s="750" t="str">
        <f>+IF('Data Entry'!C12="Please Select","",'Data Entry'!C12)</f>
        <v>A1</v>
      </c>
      <c r="D4" s="750"/>
      <c r="E4" s="692" t="str">
        <f>+'Data Entry'!C8</f>
        <v>PAS Center</v>
      </c>
      <c r="F4" s="692"/>
      <c r="G4" s="692"/>
      <c r="H4" s="692"/>
      <c r="I4" s="692"/>
      <c r="J4" s="692"/>
      <c r="K4" s="692"/>
      <c r="L4" s="692"/>
      <c r="M4" s="3"/>
      <c r="O4" s="316"/>
      <c r="P4" s="128" t="str">
        <f>+'Data Entry'!D16</f>
        <v>From:</v>
      </c>
      <c r="Q4" s="317" t="str">
        <f>+IF(ISBLANK('Data Entry'!E16),"",'Data Entry'!E16)</f>
        <v>July 01, 2014</v>
      </c>
      <c r="Y4" s="69"/>
      <c r="Z4" s="69"/>
      <c r="AA4" s="69"/>
      <c r="AB4" s="69"/>
      <c r="AC4" s="69"/>
    </row>
    <row r="5" spans="1:35" ht="15.75" customHeight="1">
      <c r="A5" s="3"/>
      <c r="B5" s="128"/>
      <c r="C5" s="128"/>
      <c r="D5" s="692" t="str">
        <f>+'Data Entry'!G4</f>
        <v>Reducing HIV-related burden in the Republic of Moldova</v>
      </c>
      <c r="E5" s="692"/>
      <c r="F5" s="692"/>
      <c r="G5" s="692"/>
      <c r="H5" s="692"/>
      <c r="I5" s="692"/>
      <c r="J5" s="692"/>
      <c r="K5" s="692"/>
      <c r="L5" s="692"/>
      <c r="M5" s="692"/>
      <c r="N5" s="692"/>
      <c r="P5" s="128" t="str">
        <f>+'Data Entry'!F16</f>
        <v>To:</v>
      </c>
      <c r="Q5" s="317" t="str">
        <f>+IF(ISBLANK('Data Entry'!G16),"",'Data Entry'!G16)</f>
        <v>December 31, 2014</v>
      </c>
      <c r="S5" s="221"/>
      <c r="T5" s="221"/>
      <c r="U5" s="221"/>
      <c r="V5" s="221"/>
      <c r="W5" s="221"/>
      <c r="X5" s="221"/>
      <c r="Y5" s="69"/>
      <c r="Z5" s="69"/>
      <c r="AA5" s="69" t="s">
        <v>48</v>
      </c>
      <c r="AB5" s="69"/>
      <c r="AC5" s="69" t="s">
        <v>269</v>
      </c>
      <c r="AD5" s="221"/>
      <c r="AE5" s="221"/>
      <c r="AF5" s="221"/>
      <c r="AG5" s="221"/>
      <c r="AH5" s="221"/>
      <c r="AI5" s="221"/>
    </row>
    <row r="6" spans="1:35" ht="15.75" customHeight="1">
      <c r="A6" s="3"/>
      <c r="B6" s="128"/>
      <c r="C6" s="128"/>
      <c r="D6" s="219"/>
      <c r="E6" s="219"/>
      <c r="F6" s="746" t="s">
        <v>396</v>
      </c>
      <c r="G6" s="746"/>
      <c r="H6" s="746"/>
      <c r="I6" s="746"/>
      <c r="J6" s="746"/>
      <c r="K6" s="746"/>
      <c r="L6" s="219"/>
      <c r="M6" s="3"/>
      <c r="N6" s="3"/>
      <c r="O6" s="196"/>
      <c r="P6" s="247"/>
      <c r="S6" s="221"/>
      <c r="T6" s="221"/>
      <c r="U6" s="221"/>
      <c r="V6" s="221"/>
      <c r="W6" s="221"/>
      <c r="X6" s="221"/>
      <c r="Y6" s="69"/>
      <c r="Z6" s="69"/>
      <c r="AA6" s="69"/>
      <c r="AB6" s="69"/>
      <c r="AC6" s="69"/>
      <c r="AD6" s="221"/>
      <c r="AE6" s="221"/>
      <c r="AF6" s="221"/>
      <c r="AG6" s="221"/>
      <c r="AH6" s="221"/>
      <c r="AI6" s="221"/>
    </row>
    <row r="7" spans="1:35" ht="3" customHeight="1">
      <c r="A7" s="3"/>
      <c r="B7" s="128"/>
      <c r="C7" s="128"/>
      <c r="D7" s="219"/>
      <c r="E7" s="219"/>
      <c r="F7" s="219"/>
      <c r="G7" s="219"/>
      <c r="H7" s="219"/>
      <c r="I7" s="219"/>
      <c r="J7" s="219"/>
      <c r="K7" s="219"/>
      <c r="L7" s="219"/>
      <c r="M7" s="3"/>
      <c r="N7" s="3"/>
      <c r="O7" s="196"/>
      <c r="P7" s="195"/>
      <c r="Q7" s="195"/>
      <c r="S7" s="221"/>
      <c r="T7" s="221"/>
      <c r="U7" s="221"/>
      <c r="V7" s="221"/>
      <c r="W7" s="221"/>
      <c r="X7" s="221"/>
      <c r="Y7" s="69"/>
      <c r="Z7" s="69"/>
      <c r="AA7" s="69"/>
      <c r="AB7" s="69"/>
      <c r="AC7" s="69"/>
      <c r="AD7" s="221"/>
      <c r="AE7" s="221"/>
      <c r="AF7" s="221"/>
      <c r="AG7" s="221"/>
      <c r="AH7" s="221"/>
      <c r="AI7" s="221"/>
    </row>
    <row r="8" spans="1:35" ht="59.25" customHeight="1">
      <c r="A8" s="3"/>
      <c r="B8" s="745" t="str">
        <f>+'Data Entry'!B114</f>
        <v>Number of people living with HIV/AIDS reached with care and support services 
(Numărul persoanelor care trăiesc cu HIV/SIDA şi au primit suport social)</v>
      </c>
      <c r="C8" s="745"/>
      <c r="D8" s="745"/>
      <c r="E8" s="745"/>
      <c r="F8" s="745" t="str">
        <f>+'Data Entry'!B116</f>
        <v>Number of children infected and affected by HIV/AIDS who receive social support 
(Numărul de copii infectaţi şi afectaţi de HIV/SIDA care primesc suport social)</v>
      </c>
      <c r="G8" s="745"/>
      <c r="H8" s="745"/>
      <c r="I8" s="745"/>
      <c r="J8" s="745"/>
      <c r="K8" s="745"/>
      <c r="L8" s="745" t="str">
        <f>+'Data Entry'!B118</f>
        <v xml:space="preserve">Number of Injecting drug users on opioid substitution therapy that receive at least 3 support services from NGOs working in DUs rehabilitation 
(Numărul de CDI care sunt în terapia de substituţie cu metadonă şi primesc cel puţin 3 servicii de suport din partea ONG-urilor care lucrează la reabilitarea CDI)           </v>
      </c>
      <c r="M8" s="745"/>
      <c r="N8" s="745"/>
      <c r="O8" s="745"/>
      <c r="P8" s="745"/>
      <c r="Q8" s="745"/>
      <c r="S8" s="221"/>
      <c r="T8" s="221"/>
      <c r="U8" s="221"/>
      <c r="V8" s="221"/>
      <c r="W8" s="221"/>
      <c r="X8" s="221"/>
      <c r="Y8" s="69"/>
      <c r="Z8" s="69"/>
      <c r="AA8" s="69"/>
      <c r="AB8" s="69"/>
      <c r="AC8" s="69"/>
      <c r="AD8" s="221"/>
      <c r="AE8" s="221"/>
      <c r="AF8" s="221"/>
      <c r="AG8" s="221"/>
      <c r="AH8" s="221"/>
      <c r="AI8" s="221"/>
    </row>
    <row r="9" spans="1:35" ht="333" customHeight="1">
      <c r="A9" s="3"/>
      <c r="B9" s="424" t="s">
        <v>415</v>
      </c>
      <c r="C9" s="751" t="str">
        <f>L20</f>
        <v>During S 2, 2014 a total of 282 PLHIV were primarily reached with care and support services through four social regional centers providing assistance to PLHIV and 10 territorial organizations that ensures outreach to PLHIV and their families. The beneficiaries are provided with the following services: psycho-social counseling and support, medical counseling and referral, distribution of information materials, peer counseling, self-support groups and food support, etc.
The indicator is overachieved.
[Pe parcursul semestrului 2, 2014, în total 282 PTH au fost primar acoperiți cu servicii de îngrijire și suport prestate în cadrul celor patru Centre Sociale Regionale și a 10 organizații teritoriale care prestează servicii direct PTH și membrilor familiilor lor. Beneficiarilor le sunt prestate următoarele servicii: suport și consiliere psiho-socială, consultații medicale și referiri, diseminarea materialelor informaționale și consiliere de la egal la egal, activități in grup și suport cu pachete alimentare, etc. 
Indicatorul este depășit.]</v>
      </c>
      <c r="D9" s="752"/>
      <c r="E9" s="753"/>
      <c r="F9" s="424" t="s">
        <v>416</v>
      </c>
      <c r="G9" s="754" t="str">
        <f>L21</f>
        <v>A total of 257 children (primarily reached) received social support during S2, 2014, out of them 123 infected and 134 affected by HIV. Each quarter 230 children (all HIV infected children that can be reached and the majority of children born from HIV infected mother with unknown status) benefit of food parcels. At the same time each semester HIV positive children benefit of a set of stationary and clothing for school as part of social support program. During reported period the number of HIV positive children that benefited of clothing and school supplies was 123, exceeding by 23 the expected number of 100. This fact has determined the need to reallocate additional budget (from savings under other budget lines targeted at PLHIV support) in order to cover additional twenty four sets of clothing and school supplies.
The indicator is overachieved. 
Reason for variance: The number of children primarily reached with social support is determined by the number of children diagnosed with HIV that are reached and by the number of children born from HIV positive mothers immediately before and during the reported period. 
[Un total de 257 copii au beneficiat de suport social în prima jumate a anului 2014 (acoperiți primar), dintre care 123  copii HIV infectați și 134 copii afectați de HIV. În același timp, în fiecare trimestru, 230 copii (toți copiii infectați cu HIV, care pot fi acoperiți cu servicii, și majoritatea copiilor născuți din mame infectate cu HIV) beneficiază de un set de haine și rechizite școlare ca parte a programului de acordare a suportului social. Pe parcursul perioadei de raportare, numărul de copii HIV infectați care au primit un set de haine și rechizite școlare a crescut la 123, depășind cu 23 unități numărul planificat de 100. Acest fapt a determinat necesitatea realocării unui buget adițional (din economiile obținute în cadrul altor linii bugetare orientate către suportul PTH) pentru a acoperi douazeci și patru seturi suplimentare de îmbrăcăminte și rechizite școlare. 
Indicatorul este depășit. 
Cauza variației: Numărul de copii primar acoperiți cu suport social este determinat de numărul de copii diagnosticați cu HIV și numărul copiilor născuți din mame HIV pozitive imediat înainte și în perioada de raportate.]</v>
      </c>
      <c r="H9" s="755"/>
      <c r="I9" s="755"/>
      <c r="J9" s="755"/>
      <c r="K9" s="756"/>
      <c r="L9" s="424" t="s">
        <v>417</v>
      </c>
      <c r="M9" s="754" t="str">
        <f>L22</f>
        <v>During S2, 2014 a total of 40 PWIDs on opioid substitution therapy (primarily reached) received at least 3 support services from the package (psycho-social support, self-support groups, peer to peer education, distributions of information materials, food support, etc.) offered by NGOs working in PWUDs rehabilitation. 
The indicator is achieved in proportion of 91%.
Reason for variance: The target for reported period (40 persons primarily reached per Semester) have been achieved (40 new people reached in S2, 2015). The underachievement of the cumulative target for the reported period (over program term) is determined by the variation between targets settled and results registered for period one of grant implementation caused by continuously decreasing enrolment of new patients in OST. As the number of OST patients that can be covered with psycho-support services is directly tied to new patients enrolled in OST, the enrolment dynamics in period one has determined and directly impacted the achievement of targets for this indicator and is affecting the results for the reported period as the target is cumulative over program term.  
[Pe parcursul semestrului 2, 2015 un total de 40 CDI aflați în terapia de substituție cu metadonă (primar acoperiți) au primit cel puțin 3 servicii de suport social din pachetul serviciilor (sprijin psiho-social, grupuri de suport reciproc, educație de la egal la egal, diseminarea materialelor informaționale și distribuirea pachetelor alimentare și igienice) oferite în cadrul centrelor de zi de către ONG-urile care lucrează în domeniul reabilitării CDI.
Indicatorul este substanțial atins (91%). 
Cauza variației: Ținta pentru perioada raportata (40 persoane noi primar acoperite) a fost atinsa (40 persoane acoperite). Neatingerea țintei cumulative pentru perioada raportată (pe toata perioada grantului) este determinată de variația între ținta stabilită și rezultatele înregistrate pentru perioada întâi de implementare a grantului cauzată de scăderea continua a pacienților înrolați în TSO. Numărul de pacienți în TSO care pot fi acoperiți cu servicii de suport psiho-social este direct proporțional cu numărul pacienților noi înrolați în TSO, dinamica înrolării în perioada întâi a determinat și a afectat direct atingerea țintei pentru acest indicator și afectează rezultatul pentru perioada dată deoarece ținta propusă se calculează cumulativ pentru toată perioada grantului.]</v>
      </c>
      <c r="N9" s="695"/>
      <c r="O9" s="695"/>
      <c r="P9" s="695"/>
      <c r="Q9" s="696"/>
      <c r="S9" s="221"/>
      <c r="T9" s="221"/>
      <c r="U9" s="221"/>
      <c r="V9" s="221"/>
      <c r="W9" s="221"/>
      <c r="X9" s="221"/>
      <c r="Y9" s="221"/>
      <c r="Z9" s="221"/>
      <c r="AA9" s="221"/>
      <c r="AB9" s="221"/>
      <c r="AC9" s="221"/>
      <c r="AD9" s="221"/>
      <c r="AE9" s="221"/>
      <c r="AF9" s="221"/>
      <c r="AG9" s="221"/>
      <c r="AH9" s="221"/>
      <c r="AI9" s="221"/>
    </row>
    <row r="10" spans="1:35" ht="18.75" customHeight="1">
      <c r="A10" s="3"/>
      <c r="B10" s="128"/>
      <c r="C10" s="128"/>
      <c r="D10" s="219"/>
      <c r="E10" s="219"/>
      <c r="F10" s="219"/>
      <c r="G10" s="219"/>
      <c r="H10" s="219"/>
      <c r="I10" s="219"/>
      <c r="J10" s="219"/>
      <c r="K10" s="219"/>
      <c r="L10" s="219"/>
      <c r="M10" s="3"/>
      <c r="N10" s="3"/>
      <c r="O10" s="196"/>
      <c r="P10" s="195"/>
      <c r="S10" s="221"/>
      <c r="T10" s="221"/>
      <c r="U10" s="221"/>
      <c r="V10" s="221"/>
      <c r="W10" s="221"/>
      <c r="X10" s="221"/>
      <c r="Y10" s="221"/>
      <c r="Z10" s="221"/>
      <c r="AA10" s="221"/>
      <c r="AB10" s="221"/>
      <c r="AC10" s="221"/>
      <c r="AD10" s="221"/>
      <c r="AE10" s="221"/>
      <c r="AF10" s="221"/>
      <c r="AG10" s="221"/>
      <c r="AH10" s="221"/>
      <c r="AI10" s="221"/>
    </row>
    <row r="11" spans="1:35" ht="18.75" customHeight="1">
      <c r="A11" s="3"/>
      <c r="B11" s="128"/>
      <c r="C11" s="128"/>
      <c r="D11" s="219"/>
      <c r="E11" s="219"/>
      <c r="F11" s="219"/>
      <c r="G11" s="219"/>
      <c r="H11" s="219"/>
      <c r="I11" s="219"/>
      <c r="J11" s="219"/>
      <c r="K11" s="219"/>
      <c r="L11" s="219"/>
      <c r="M11" s="3"/>
      <c r="N11" s="3"/>
      <c r="O11" s="196"/>
      <c r="P11" s="195"/>
      <c r="S11" s="221"/>
      <c r="T11" s="221"/>
      <c r="U11" s="221"/>
      <c r="V11" s="221"/>
      <c r="W11" s="221"/>
      <c r="X11" s="221"/>
      <c r="Y11" s="221"/>
      <c r="Z11" s="221"/>
      <c r="AA11" s="221"/>
      <c r="AB11" s="221"/>
      <c r="AC11" s="221"/>
      <c r="AD11" s="221"/>
      <c r="AE11" s="221"/>
      <c r="AF11" s="221"/>
      <c r="AG11" s="221"/>
      <c r="AH11" s="221"/>
      <c r="AI11" s="221"/>
    </row>
    <row r="12" spans="1:35" ht="18.75" customHeight="1">
      <c r="A12" s="3"/>
      <c r="B12" s="128"/>
      <c r="C12" s="128"/>
      <c r="D12" s="219"/>
      <c r="E12" s="219"/>
      <c r="F12" s="219"/>
      <c r="G12" s="219"/>
      <c r="H12" s="219"/>
      <c r="I12" s="219"/>
      <c r="J12" s="219"/>
      <c r="K12" s="219"/>
      <c r="L12" s="219"/>
      <c r="M12" s="3"/>
      <c r="N12" s="3"/>
      <c r="O12" s="196"/>
      <c r="P12" s="195"/>
      <c r="S12" s="221"/>
      <c r="T12" s="221"/>
      <c r="U12" s="221"/>
      <c r="V12" s="221"/>
      <c r="W12" s="221"/>
      <c r="X12" s="221"/>
      <c r="Y12" s="221"/>
      <c r="Z12" s="221"/>
      <c r="AA12" s="221"/>
      <c r="AB12" s="221"/>
      <c r="AC12" s="221"/>
      <c r="AD12" s="221"/>
      <c r="AE12" s="221"/>
      <c r="AF12" s="221"/>
      <c r="AG12" s="221"/>
      <c r="AH12" s="221"/>
      <c r="AI12" s="221"/>
    </row>
    <row r="13" spans="1:35" ht="18.75" customHeight="1">
      <c r="A13" s="3"/>
      <c r="B13" s="128"/>
      <c r="C13" s="128"/>
      <c r="D13" s="219"/>
      <c r="E13" s="219"/>
      <c r="F13" s="219"/>
      <c r="G13" s="219"/>
      <c r="H13" s="219"/>
      <c r="I13" s="219"/>
      <c r="J13" s="219"/>
      <c r="K13" s="219"/>
      <c r="L13" s="219"/>
      <c r="M13" s="3"/>
      <c r="N13" s="3"/>
      <c r="O13" s="196"/>
      <c r="P13" s="195"/>
      <c r="S13" s="221"/>
      <c r="T13" s="221"/>
      <c r="U13" s="221"/>
      <c r="V13" s="221"/>
      <c r="W13" s="221"/>
      <c r="X13" s="221"/>
      <c r="Y13" s="221"/>
      <c r="Z13" s="221"/>
      <c r="AA13" s="221"/>
      <c r="AB13" s="221"/>
      <c r="AC13" s="221"/>
      <c r="AD13" s="221"/>
      <c r="AE13" s="221"/>
      <c r="AF13" s="221"/>
      <c r="AG13" s="221"/>
      <c r="AH13" s="221"/>
      <c r="AI13" s="221"/>
    </row>
    <row r="14" spans="1:35" ht="18.75" customHeight="1">
      <c r="A14" s="3"/>
      <c r="B14" s="128"/>
      <c r="C14" s="128"/>
      <c r="D14" s="219"/>
      <c r="E14" s="219"/>
      <c r="F14" s="219"/>
      <c r="G14" s="219"/>
      <c r="H14" s="219"/>
      <c r="I14" s="219"/>
      <c r="J14" s="219"/>
      <c r="K14" s="219"/>
      <c r="L14" s="219"/>
      <c r="M14" s="3"/>
      <c r="N14" s="3"/>
      <c r="O14" s="196"/>
      <c r="P14" s="195"/>
      <c r="S14" s="221"/>
      <c r="T14" s="221"/>
      <c r="U14" s="221"/>
      <c r="V14" s="221"/>
      <c r="W14" s="221"/>
      <c r="X14" s="221"/>
      <c r="Y14" s="221"/>
      <c r="Z14" s="221"/>
      <c r="AA14" s="221"/>
      <c r="AB14" s="221"/>
      <c r="AC14" s="221"/>
      <c r="AD14" s="221"/>
      <c r="AE14" s="221"/>
      <c r="AF14" s="221"/>
      <c r="AG14" s="221"/>
      <c r="AH14" s="221"/>
      <c r="AI14" s="221"/>
    </row>
    <row r="15" spans="1:35" ht="18.75" customHeight="1">
      <c r="A15" s="3"/>
      <c r="B15" s="128"/>
      <c r="C15" s="128"/>
      <c r="D15" s="219"/>
      <c r="E15" s="219"/>
      <c r="F15" s="219"/>
      <c r="G15" s="219"/>
      <c r="H15" s="219"/>
      <c r="I15" s="219"/>
      <c r="J15" s="219"/>
      <c r="K15" s="219"/>
      <c r="L15" s="219"/>
      <c r="M15" s="3"/>
      <c r="N15" s="3"/>
      <c r="O15" s="196"/>
      <c r="P15" s="195"/>
      <c r="S15" s="221"/>
      <c r="T15" s="221"/>
      <c r="U15" s="221"/>
      <c r="V15" s="221"/>
      <c r="W15" s="221"/>
      <c r="X15" s="221"/>
      <c r="Y15" s="221"/>
      <c r="Z15" s="221"/>
      <c r="AA15" s="221"/>
      <c r="AB15" s="221"/>
      <c r="AC15" s="221"/>
      <c r="AD15" s="221"/>
      <c r="AE15" s="221"/>
      <c r="AF15" s="221"/>
      <c r="AG15" s="221"/>
      <c r="AH15" s="221"/>
      <c r="AI15" s="221"/>
    </row>
    <row r="16" spans="1:35" ht="18.75" customHeight="1">
      <c r="A16" s="3"/>
      <c r="B16" s="128"/>
      <c r="C16" s="128"/>
      <c r="D16" s="219"/>
      <c r="E16" s="219"/>
      <c r="F16" s="219"/>
      <c r="G16" s="219"/>
      <c r="H16" s="219"/>
      <c r="I16" s="219"/>
      <c r="J16" s="219"/>
      <c r="K16" s="219"/>
      <c r="L16" s="219"/>
      <c r="M16" s="3"/>
      <c r="N16" s="3"/>
      <c r="O16" s="196"/>
      <c r="P16" s="195"/>
      <c r="S16" s="221"/>
      <c r="T16" s="221"/>
      <c r="U16" s="221"/>
      <c r="V16" s="221"/>
      <c r="W16" s="221"/>
      <c r="X16" s="221"/>
      <c r="Y16" s="221"/>
      <c r="Z16" s="221"/>
      <c r="AA16" s="221"/>
      <c r="AB16" s="221"/>
      <c r="AC16" s="221"/>
      <c r="AD16" s="221"/>
      <c r="AE16" s="221"/>
      <c r="AF16" s="221"/>
      <c r="AG16" s="221"/>
      <c r="AH16" s="221"/>
      <c r="AI16" s="221"/>
    </row>
    <row r="17" spans="1:35" ht="17.25" customHeight="1">
      <c r="A17" s="3"/>
      <c r="B17" s="128"/>
      <c r="C17" s="128"/>
      <c r="D17" s="219"/>
      <c r="E17" s="219"/>
      <c r="F17" s="219"/>
      <c r="G17" s="219"/>
      <c r="H17" s="219"/>
      <c r="I17" s="219"/>
      <c r="J17" s="219"/>
      <c r="K17" s="219"/>
      <c r="L17" s="219"/>
      <c r="M17" s="3"/>
      <c r="N17" s="3"/>
      <c r="O17" s="196"/>
      <c r="P17" s="195"/>
      <c r="S17" s="221"/>
      <c r="T17" s="221"/>
      <c r="U17" s="221"/>
      <c r="V17" s="221"/>
      <c r="W17" s="221"/>
      <c r="X17" s="221"/>
      <c r="Y17" s="221"/>
      <c r="Z17" s="221"/>
      <c r="AA17" s="221"/>
      <c r="AB17" s="221"/>
      <c r="AC17" s="221"/>
      <c r="AD17" s="221"/>
      <c r="AE17" s="221"/>
      <c r="AF17" s="221"/>
      <c r="AG17" s="221"/>
      <c r="AH17" s="221"/>
      <c r="AI17" s="221"/>
    </row>
    <row r="18" spans="1:35" ht="14.25" customHeight="1">
      <c r="A18" s="3"/>
      <c r="B18" s="132"/>
      <c r="C18" s="128"/>
      <c r="D18" s="129"/>
      <c r="E18" s="759"/>
      <c r="F18" s="759"/>
      <c r="G18" s="759"/>
      <c r="H18" s="759"/>
      <c r="I18" s="759"/>
      <c r="J18" s="759"/>
      <c r="K18" s="759"/>
      <c r="L18" s="3"/>
      <c r="M18" s="3"/>
      <c r="N18" s="3"/>
      <c r="O18" s="3"/>
      <c r="P18" s="3"/>
      <c r="S18" s="221"/>
      <c r="T18" s="221"/>
      <c r="U18" s="221"/>
      <c r="V18" s="221"/>
      <c r="W18" s="221"/>
      <c r="X18" s="221"/>
      <c r="Y18" s="221"/>
      <c r="Z18" s="221"/>
      <c r="AA18" s="221"/>
      <c r="AB18" s="221"/>
      <c r="AC18" s="221"/>
      <c r="AD18" s="221"/>
      <c r="AE18" s="221"/>
      <c r="AF18" s="221"/>
      <c r="AG18" s="221"/>
      <c r="AH18" s="221"/>
      <c r="AI18" s="221"/>
    </row>
    <row r="19" spans="1:35" ht="55.5" customHeight="1">
      <c r="A19" s="3"/>
      <c r="B19" s="760" t="s">
        <v>94</v>
      </c>
      <c r="C19" s="760"/>
      <c r="D19" s="760"/>
      <c r="E19" s="139" t="s">
        <v>2</v>
      </c>
      <c r="F19" s="139" t="s">
        <v>3</v>
      </c>
      <c r="G19" s="738" t="s">
        <v>336</v>
      </c>
      <c r="H19" s="739"/>
      <c r="I19" s="740" t="s">
        <v>337</v>
      </c>
      <c r="J19" s="741"/>
      <c r="K19" s="315" t="s">
        <v>338</v>
      </c>
      <c r="L19" s="733" t="s">
        <v>97</v>
      </c>
      <c r="M19" s="734"/>
      <c r="N19" s="734"/>
      <c r="O19" s="734"/>
      <c r="P19" s="734"/>
      <c r="Q19" s="735"/>
      <c r="S19" s="63" t="s">
        <v>95</v>
      </c>
      <c r="T19" s="64">
        <v>0</v>
      </c>
      <c r="U19" s="65">
        <v>0.3</v>
      </c>
      <c r="V19" s="65">
        <v>0.6</v>
      </c>
      <c r="W19" s="65">
        <v>0.9</v>
      </c>
      <c r="X19" s="65">
        <v>1</v>
      </c>
      <c r="Y19" s="69"/>
      <c r="Z19" s="69"/>
      <c r="AA19" s="63" t="s">
        <v>95</v>
      </c>
      <c r="AB19" s="64">
        <v>0</v>
      </c>
      <c r="AC19" s="65">
        <v>0.2</v>
      </c>
      <c r="AD19" s="65">
        <v>0.4</v>
      </c>
      <c r="AE19" s="65">
        <v>0.6</v>
      </c>
      <c r="AF19" s="65">
        <v>0.8</v>
      </c>
      <c r="AG19" s="69"/>
      <c r="AH19" s="69"/>
      <c r="AI19" s="69"/>
    </row>
    <row r="20" spans="1:35" ht="123" customHeight="1">
      <c r="A20" s="3"/>
      <c r="B20" s="717" t="s">
        <v>471</v>
      </c>
      <c r="C20" s="710"/>
      <c r="D20" s="710"/>
      <c r="E20" s="435">
        <v>6927</v>
      </c>
      <c r="F20" s="435">
        <v>7067</v>
      </c>
      <c r="G20" s="721">
        <f t="shared" ref="G20:G27" si="0">+IF(ISERROR(F20/E20),0,F20/E20)</f>
        <v>1.0202107694528657</v>
      </c>
      <c r="H20" s="722"/>
      <c r="I20" s="722"/>
      <c r="J20" s="722"/>
      <c r="K20" s="723"/>
      <c r="L20" s="747" t="s">
        <v>500</v>
      </c>
      <c r="M20" s="748"/>
      <c r="N20" s="748"/>
      <c r="O20" s="748"/>
      <c r="P20" s="748"/>
      <c r="Q20" s="749"/>
      <c r="S20" s="63" t="s">
        <v>96</v>
      </c>
      <c r="T20" s="66">
        <v>0.3</v>
      </c>
      <c r="U20" s="65">
        <v>0.6</v>
      </c>
      <c r="V20" s="65">
        <v>0.9</v>
      </c>
      <c r="W20" s="65">
        <v>1</v>
      </c>
      <c r="X20" s="65">
        <v>2</v>
      </c>
      <c r="Y20" s="69"/>
      <c r="Z20" s="69"/>
      <c r="AA20" s="63" t="s">
        <v>96</v>
      </c>
      <c r="AB20" s="66">
        <v>0.2</v>
      </c>
      <c r="AC20" s="65">
        <v>0.4</v>
      </c>
      <c r="AD20" s="65">
        <v>0.6</v>
      </c>
      <c r="AE20" s="65">
        <v>0.8</v>
      </c>
      <c r="AF20" s="65">
        <v>1</v>
      </c>
      <c r="AG20" s="69"/>
      <c r="AH20" s="69"/>
      <c r="AI20" s="69"/>
    </row>
    <row r="21" spans="1:35" ht="219" customHeight="1">
      <c r="A21" s="3"/>
      <c r="B21" s="744" t="str">
        <f>+'[1]Data Entry'!B120</f>
        <v>Number of children infected and affected by HIV/AIDS who receive social support _x000D_(Numărul de copii infectaţi şi afectaţi de HIV/SIDA care primesc suport social)</v>
      </c>
      <c r="C21" s="728"/>
      <c r="D21" s="728"/>
      <c r="E21" s="436">
        <v>272</v>
      </c>
      <c r="F21" s="494">
        <v>332</v>
      </c>
      <c r="G21" s="721">
        <f t="shared" si="0"/>
        <v>1.2205882352941178</v>
      </c>
      <c r="H21" s="722"/>
      <c r="I21" s="722"/>
      <c r="J21" s="722"/>
      <c r="K21" s="723"/>
      <c r="L21" s="743" t="s">
        <v>504</v>
      </c>
      <c r="M21" s="757"/>
      <c r="N21" s="757"/>
      <c r="O21" s="757"/>
      <c r="P21" s="757"/>
      <c r="Q21" s="758"/>
      <c r="S21" s="67"/>
      <c r="T21" s="68" t="str">
        <f>"de "&amp;T19&amp;" a "&amp;T20</f>
        <v>de 0 a 0.3</v>
      </c>
      <c r="U21" s="68" t="str">
        <f>"de "&amp;U19&amp;" a "&amp;U20</f>
        <v>de 0.3 a 0.6</v>
      </c>
      <c r="V21" s="68" t="str">
        <f>"de "&amp;V19&amp;" a "&amp;V20</f>
        <v>de 0.6 a 0.9</v>
      </c>
      <c r="W21" s="68" t="str">
        <f>"de "&amp;W19&amp;" a "&amp;W20</f>
        <v>de 0.9 a 1</v>
      </c>
      <c r="X21" s="68" t="str">
        <f>"de "&amp;X19&amp;" a "&amp;X20</f>
        <v>de 1 a 2</v>
      </c>
      <c r="Y21" s="69"/>
      <c r="Z21" s="69" t="s">
        <v>270</v>
      </c>
      <c r="AA21" s="67" t="s">
        <v>269</v>
      </c>
      <c r="AB21" s="68" t="str">
        <f>"de "&amp;AB19&amp;" a "&amp;AB20</f>
        <v>de 0 a 0.2</v>
      </c>
      <c r="AC21" s="68" t="str">
        <f>"de "&amp;AC19&amp;" a "&amp;AC20</f>
        <v>de 0.2 a 0.4</v>
      </c>
      <c r="AD21" s="68" t="str">
        <f>"de "&amp;AD19&amp;" a "&amp;AD20</f>
        <v>de 0.4 a 0.6</v>
      </c>
      <c r="AE21" s="68" t="str">
        <f>"de "&amp;AE19&amp;" a "&amp;AE20</f>
        <v>de 0.6 a 0.8</v>
      </c>
      <c r="AF21" s="68" t="str">
        <f>"de "&amp;AF19&amp;" a "&amp;AF20</f>
        <v>de 0.8 a 1</v>
      </c>
      <c r="AG21" s="69"/>
      <c r="AH21" s="69"/>
      <c r="AI21" s="69"/>
    </row>
    <row r="22" spans="1:35" ht="225.75" customHeight="1">
      <c r="A22" s="3"/>
      <c r="B22" s="710" t="str">
        <f>+'[1]Data Entry'!B122</f>
        <v>Number of Injecting drug users on opioid substitution therapy that receive at least 3 support services from NGOs working in DUs rehabilitation _x000D_(Numărul de CDI care sunt în terapia de substituţie cu metadonă şi primesc cel puţin 3 servicii de suport din p</v>
      </c>
      <c r="C22" s="710"/>
      <c r="D22" s="710"/>
      <c r="E22" s="435">
        <v>791</v>
      </c>
      <c r="F22" s="435">
        <v>718</v>
      </c>
      <c r="G22" s="721">
        <f t="shared" si="0"/>
        <v>0.90771175726927944</v>
      </c>
      <c r="H22" s="722"/>
      <c r="I22" s="722"/>
      <c r="J22" s="722"/>
      <c r="K22" s="723"/>
      <c r="L22" s="711" t="s">
        <v>501</v>
      </c>
      <c r="M22" s="712"/>
      <c r="N22" s="712"/>
      <c r="O22" s="712"/>
      <c r="P22" s="712"/>
      <c r="Q22" s="713"/>
      <c r="S22" s="67"/>
      <c r="T22" s="65" t="e">
        <f t="shared" ref="T22:W32" si="1">IF($K20&gt;T$19,IF($K20&lt;=T$20,$K20,NA()),NA())</f>
        <v>#N/A</v>
      </c>
      <c r="U22" s="65" t="e">
        <f t="shared" si="1"/>
        <v>#N/A</v>
      </c>
      <c r="V22" s="65" t="e">
        <f t="shared" si="1"/>
        <v>#N/A</v>
      </c>
      <c r="W22" s="65" t="e">
        <f t="shared" si="1"/>
        <v>#N/A</v>
      </c>
      <c r="X22" s="65" t="e">
        <f>IF($K20&gt;X$19,IF($K20&lt;=X$20,1,NA()),NA())</f>
        <v>#N/A</v>
      </c>
      <c r="Y22" s="69"/>
      <c r="Z22" s="192" t="e">
        <f>+'Grant Detail'!#REF!</f>
        <v>#REF!</v>
      </c>
      <c r="AA22" s="65" t="e">
        <f>+IF(Z22="A1",1,IF(Z22="A2",0.8,IF(Z22="B1",0.6,IF(Z22="B2",0.4,0.2))))</f>
        <v>#REF!</v>
      </c>
      <c r="AB22" s="65" t="e">
        <f>IF($AA22&gt;AB$19,IF($AA22&lt;=AB$20,$AA22,NA()),NA())</f>
        <v>#REF!</v>
      </c>
      <c r="AC22" s="65" t="e">
        <f t="shared" ref="AC22:AF24" si="2">IF($AA22&gt;AC$19,IF($AA22&lt;=AC$20,$AA22,NA()),NA())</f>
        <v>#REF!</v>
      </c>
      <c r="AD22" s="65" t="e">
        <f t="shared" si="2"/>
        <v>#REF!</v>
      </c>
      <c r="AE22" s="65" t="e">
        <f t="shared" si="2"/>
        <v>#REF!</v>
      </c>
      <c r="AF22" s="65" t="e">
        <f t="shared" si="2"/>
        <v>#REF!</v>
      </c>
      <c r="AG22" s="69"/>
      <c r="AH22" s="69"/>
      <c r="AI22" s="69"/>
    </row>
    <row r="23" spans="1:35" ht="159.75" customHeight="1">
      <c r="A23" s="3"/>
      <c r="B23" s="725" t="str">
        <f>+'[1]Data Entry'!B124</f>
        <v xml:space="preserve">Number of medical (doctors and nurses) and non-medical staff (psychologists, social assistants, peer consultants) trained in HIV/AIDS _x000D_(Numărul personalului medical (medici şi asistente medicale) şi non-medical (psihologi, asistenţi sociali, educatori de </v>
      </c>
      <c r="C23" s="726"/>
      <c r="D23" s="727"/>
      <c r="E23" s="485">
        <v>65</v>
      </c>
      <c r="F23" s="485">
        <v>118</v>
      </c>
      <c r="G23" s="718">
        <f t="shared" si="0"/>
        <v>1.8153846153846154</v>
      </c>
      <c r="H23" s="719"/>
      <c r="I23" s="719"/>
      <c r="J23" s="719"/>
      <c r="K23" s="720"/>
      <c r="L23" s="711" t="s">
        <v>505</v>
      </c>
      <c r="M23" s="736"/>
      <c r="N23" s="736"/>
      <c r="O23" s="736"/>
      <c r="P23" s="736"/>
      <c r="Q23" s="737"/>
      <c r="S23" s="67"/>
      <c r="T23" s="65" t="e">
        <f t="shared" si="1"/>
        <v>#N/A</v>
      </c>
      <c r="U23" s="65" t="e">
        <f t="shared" si="1"/>
        <v>#N/A</v>
      </c>
      <c r="V23" s="65" t="e">
        <f t="shared" si="1"/>
        <v>#N/A</v>
      </c>
      <c r="W23" s="65" t="e">
        <f t="shared" si="1"/>
        <v>#N/A</v>
      </c>
      <c r="X23" s="65" t="e">
        <f>IF($K21&gt;X$19,IF($K21&lt;=X$20,1,1),NA())</f>
        <v>#N/A</v>
      </c>
      <c r="Y23" s="69"/>
      <c r="Z23" s="192" t="e">
        <f>+'Grant Detail'!#REF!</f>
        <v>#REF!</v>
      </c>
      <c r="AA23" s="65" t="e">
        <f>+IF(Z23="A1",1,IF(Z23="A2",0.8,IF(Z23="B1",0.6,IF(Z23="B2",0.4,0.2))))</f>
        <v>#REF!</v>
      </c>
      <c r="AB23" s="65" t="e">
        <f>IF($AA23&gt;AB$19,IF($AA23&lt;=AB$20,$AA23,NA()),NA())</f>
        <v>#REF!</v>
      </c>
      <c r="AC23" s="65" t="e">
        <f t="shared" si="2"/>
        <v>#REF!</v>
      </c>
      <c r="AD23" s="65" t="e">
        <f t="shared" si="2"/>
        <v>#REF!</v>
      </c>
      <c r="AE23" s="65" t="e">
        <f t="shared" si="2"/>
        <v>#REF!</v>
      </c>
      <c r="AF23" s="65" t="e">
        <f t="shared" si="2"/>
        <v>#REF!</v>
      </c>
      <c r="AG23" s="69"/>
      <c r="AH23" s="69"/>
      <c r="AI23" s="69"/>
    </row>
    <row r="24" spans="1:35" ht="171" customHeight="1">
      <c r="A24" s="3"/>
      <c r="B24" s="728" t="str">
        <f>+'[1]Data Entry'!B126</f>
        <v>Number of PLHIV receiving food parcels to improve ARV treatment adherence _x000D_(Numărul de PTH care primesc pachete alimentare pentru a îmbunătăți aderenţa la tratamentul ARV)</v>
      </c>
      <c r="C24" s="728"/>
      <c r="D24" s="728"/>
      <c r="E24" s="435">
        <v>1040</v>
      </c>
      <c r="F24" s="435">
        <v>1106</v>
      </c>
      <c r="G24" s="721">
        <f t="shared" si="0"/>
        <v>1.0634615384615385</v>
      </c>
      <c r="H24" s="722"/>
      <c r="I24" s="722"/>
      <c r="J24" s="722"/>
      <c r="K24" s="723"/>
      <c r="L24" s="743" t="s">
        <v>502</v>
      </c>
      <c r="M24" s="736"/>
      <c r="N24" s="736"/>
      <c r="O24" s="736"/>
      <c r="P24" s="736"/>
      <c r="Q24" s="737"/>
      <c r="S24" s="67"/>
      <c r="T24" s="65" t="e">
        <f t="shared" si="1"/>
        <v>#N/A</v>
      </c>
      <c r="U24" s="65" t="e">
        <f t="shared" si="1"/>
        <v>#N/A</v>
      </c>
      <c r="V24" s="65" t="e">
        <f t="shared" si="1"/>
        <v>#N/A</v>
      </c>
      <c r="W24" s="65" t="e">
        <f t="shared" si="1"/>
        <v>#N/A</v>
      </c>
      <c r="X24" s="65" t="e">
        <f t="shared" ref="X24:X32" si="3">IF($K22&gt;X$19,IF($K22&lt;=X$20,1,NA()),NA())</f>
        <v>#N/A</v>
      </c>
      <c r="Y24" s="69"/>
      <c r="Z24" s="192" t="e">
        <f>+'Grant Detail'!#REF!</f>
        <v>#REF!</v>
      </c>
      <c r="AA24" s="65" t="e">
        <f>+IF(Z24="A1",1,IF(Z24="A2",0.8,IF(Z24="B1",0.6,IF(Z24="B2",0.4,0.2))))</f>
        <v>#REF!</v>
      </c>
      <c r="AB24" s="65" t="e">
        <f>IF($AA24&gt;AB$19,IF($AA24&lt;=AB$20,$AA24,NA()),NA())</f>
        <v>#REF!</v>
      </c>
      <c r="AC24" s="65" t="e">
        <f t="shared" si="2"/>
        <v>#REF!</v>
      </c>
      <c r="AD24" s="65" t="e">
        <f t="shared" si="2"/>
        <v>#REF!</v>
      </c>
      <c r="AE24" s="65" t="e">
        <f t="shared" si="2"/>
        <v>#REF!</v>
      </c>
      <c r="AF24" s="65" t="e">
        <f t="shared" si="2"/>
        <v>#REF!</v>
      </c>
      <c r="AG24" s="69"/>
      <c r="AH24" s="69"/>
      <c r="AI24" s="69"/>
    </row>
    <row r="25" spans="1:35" ht="103.5" customHeight="1">
      <c r="A25" s="3"/>
      <c r="B25" s="728" t="str">
        <f>+'[1]Data Entry'!B128</f>
        <v>Number and percentage of individuals currently on OST who have been on OST continuously at least 6 months for the past 12 months _x000D_(Numărul şi procentul persoanelor aflate în tratamentul de substituție cu metadonă (TSO) care au fost în TSO continuu cel puț</v>
      </c>
      <c r="C25" s="728"/>
      <c r="D25" s="728"/>
      <c r="E25" s="437">
        <f>'[2]Introducerea datelor'!I124</f>
        <v>0.6</v>
      </c>
      <c r="F25" s="437">
        <v>0.6</v>
      </c>
      <c r="G25" s="721">
        <f t="shared" si="0"/>
        <v>1</v>
      </c>
      <c r="H25" s="722"/>
      <c r="I25" s="722"/>
      <c r="J25" s="722"/>
      <c r="K25" s="723"/>
      <c r="L25" s="711" t="s">
        <v>489</v>
      </c>
      <c r="M25" s="736"/>
      <c r="N25" s="736"/>
      <c r="O25" s="736"/>
      <c r="P25" s="736"/>
      <c r="Q25" s="737"/>
      <c r="S25" s="67"/>
      <c r="T25" s="65" t="e">
        <f t="shared" si="1"/>
        <v>#N/A</v>
      </c>
      <c r="U25" s="65" t="e">
        <f t="shared" si="1"/>
        <v>#N/A</v>
      </c>
      <c r="V25" s="65" t="e">
        <f t="shared" si="1"/>
        <v>#N/A</v>
      </c>
      <c r="W25" s="65" t="e">
        <f t="shared" si="1"/>
        <v>#N/A</v>
      </c>
      <c r="X25" s="65" t="e">
        <f t="shared" si="3"/>
        <v>#N/A</v>
      </c>
      <c r="Y25" s="69"/>
      <c r="Z25" s="69"/>
      <c r="AA25" s="69"/>
      <c r="AB25" s="69"/>
      <c r="AC25" s="69"/>
      <c r="AD25" s="69"/>
      <c r="AE25" s="69"/>
      <c r="AF25" s="69"/>
      <c r="AG25" s="69"/>
      <c r="AH25" s="69"/>
      <c r="AI25" s="69"/>
    </row>
    <row r="26" spans="1:35" ht="129.75" customHeight="1">
      <c r="A26" s="3"/>
      <c r="B26" s="717" t="str">
        <f>+'[1]Data Entry'!B130</f>
        <v>Number of human rights strategic litigation cases for PLWH initiated _x000D_(Numărul de cazuri de încălcare a drepturilor PTH inițiate pentru litigare strategică)</v>
      </c>
      <c r="C26" s="710"/>
      <c r="D26" s="710"/>
      <c r="E26" s="435">
        <v>10</v>
      </c>
      <c r="F26" s="435">
        <v>12</v>
      </c>
      <c r="G26" s="721">
        <f>+IF(ISERROR(F26/E26),0,F26/E26)</f>
        <v>1.2</v>
      </c>
      <c r="H26" s="722"/>
      <c r="I26" s="722"/>
      <c r="J26" s="722"/>
      <c r="K26" s="723"/>
      <c r="L26" s="711" t="s">
        <v>506</v>
      </c>
      <c r="M26" s="736"/>
      <c r="N26" s="736"/>
      <c r="O26" s="736"/>
      <c r="P26" s="736"/>
      <c r="Q26" s="737"/>
      <c r="S26" s="67"/>
      <c r="T26" s="65" t="e">
        <f t="shared" si="1"/>
        <v>#N/A</v>
      </c>
      <c r="U26" s="65" t="e">
        <f t="shared" si="1"/>
        <v>#N/A</v>
      </c>
      <c r="V26" s="65" t="e">
        <f t="shared" si="1"/>
        <v>#N/A</v>
      </c>
      <c r="W26" s="65" t="e">
        <f t="shared" si="1"/>
        <v>#N/A</v>
      </c>
      <c r="X26" s="65" t="e">
        <f t="shared" si="3"/>
        <v>#N/A</v>
      </c>
      <c r="Y26" s="69"/>
      <c r="Z26" s="69"/>
      <c r="AA26" s="69"/>
      <c r="AB26" s="69"/>
      <c r="AC26" s="69"/>
      <c r="AD26" s="69"/>
      <c r="AE26" s="69"/>
      <c r="AF26" s="69"/>
      <c r="AG26" s="69"/>
      <c r="AH26" s="69"/>
      <c r="AI26" s="69"/>
    </row>
    <row r="27" spans="1:35" ht="183" customHeight="1">
      <c r="A27" s="3"/>
      <c r="B27" s="709" t="str">
        <f>+'[1]Data Entry'!B132</f>
        <v>Number of PLHIV assisted by legal aid (consultancies offered by legal network) _x000D_(Numărul de PTH care au beneficiat de asistență juridică)</v>
      </c>
      <c r="C27" s="710"/>
      <c r="D27" s="710"/>
      <c r="E27" s="435">
        <f>'[2]Introducerea datelor'!I128</f>
        <v>70</v>
      </c>
      <c r="F27" s="435">
        <v>116</v>
      </c>
      <c r="G27" s="721">
        <f t="shared" si="0"/>
        <v>1.6571428571428573</v>
      </c>
      <c r="H27" s="722"/>
      <c r="I27" s="722"/>
      <c r="J27" s="722"/>
      <c r="K27" s="723"/>
      <c r="L27" s="711" t="s">
        <v>507</v>
      </c>
      <c r="M27" s="712"/>
      <c r="N27" s="712"/>
      <c r="O27" s="712"/>
      <c r="P27" s="712"/>
      <c r="Q27" s="713"/>
      <c r="S27" s="67"/>
      <c r="T27" s="65" t="e">
        <f t="shared" si="1"/>
        <v>#N/A</v>
      </c>
      <c r="U27" s="65" t="e">
        <f t="shared" si="1"/>
        <v>#N/A</v>
      </c>
      <c r="V27" s="65" t="e">
        <f t="shared" si="1"/>
        <v>#N/A</v>
      </c>
      <c r="W27" s="65" t="e">
        <f t="shared" si="1"/>
        <v>#N/A</v>
      </c>
      <c r="X27" s="65" t="e">
        <f t="shared" si="3"/>
        <v>#N/A</v>
      </c>
      <c r="Y27" s="69"/>
      <c r="Z27" s="69"/>
      <c r="AA27" s="69"/>
      <c r="AB27" s="69"/>
      <c r="AC27" s="69"/>
      <c r="AD27" s="69"/>
      <c r="AE27" s="69"/>
      <c r="AF27" s="69"/>
      <c r="AG27" s="69"/>
      <c r="AH27" s="69"/>
      <c r="AI27" s="69"/>
    </row>
    <row r="28" spans="1:35" ht="117" customHeight="1">
      <c r="A28" s="3"/>
      <c r="B28" s="710" t="str">
        <f>+'[1]Data Entry'!B134</f>
        <v>Number of members of the civil society trained in services provision to PLHIV _x000D_(Numărul de membri ai societăţii civile instruiţi în furnizarea de servicii pentru PTH)</v>
      </c>
      <c r="C28" s="710"/>
      <c r="D28" s="710"/>
      <c r="E28" s="435">
        <v>50</v>
      </c>
      <c r="F28" s="435">
        <v>53</v>
      </c>
      <c r="G28" s="721">
        <f>+IF(ISERROR(F28/E28),0,F28/E28)</f>
        <v>1.06</v>
      </c>
      <c r="H28" s="722"/>
      <c r="I28" s="722"/>
      <c r="J28" s="722"/>
      <c r="K28" s="723"/>
      <c r="L28" s="714" t="s">
        <v>503</v>
      </c>
      <c r="M28" s="715"/>
      <c r="N28" s="715"/>
      <c r="O28" s="715"/>
      <c r="P28" s="715"/>
      <c r="Q28" s="716"/>
      <c r="S28" s="67"/>
      <c r="T28" s="65" t="e">
        <f t="shared" si="1"/>
        <v>#N/A</v>
      </c>
      <c r="U28" s="65" t="e">
        <f t="shared" si="1"/>
        <v>#N/A</v>
      </c>
      <c r="V28" s="65" t="e">
        <f t="shared" si="1"/>
        <v>#N/A</v>
      </c>
      <c r="W28" s="65" t="e">
        <f t="shared" si="1"/>
        <v>#N/A</v>
      </c>
      <c r="X28" s="65" t="e">
        <f t="shared" si="3"/>
        <v>#N/A</v>
      </c>
      <c r="Y28" s="69"/>
      <c r="Z28" s="69"/>
      <c r="AA28" s="69"/>
      <c r="AB28" s="69"/>
      <c r="AC28" s="69"/>
      <c r="AD28" s="69"/>
      <c r="AE28" s="69"/>
      <c r="AF28" s="69"/>
      <c r="AG28" s="69"/>
      <c r="AH28" s="69"/>
      <c r="AI28" s="69"/>
    </row>
    <row r="29" spans="1:35" ht="22.5" customHeight="1">
      <c r="A29" s="3"/>
      <c r="B29" s="732"/>
      <c r="C29" s="732"/>
      <c r="D29" s="732"/>
      <c r="E29" s="732"/>
      <c r="F29" s="731"/>
      <c r="G29" s="731"/>
      <c r="H29" s="731"/>
      <c r="I29" s="731"/>
      <c r="J29" s="731"/>
      <c r="K29" s="731"/>
      <c r="L29" s="742"/>
      <c r="M29" s="742"/>
      <c r="N29" s="742"/>
      <c r="O29" s="742"/>
      <c r="P29" s="742"/>
      <c r="S29" s="67"/>
      <c r="T29" s="65" t="e">
        <f>IF($K28&gt;T$19,IF($K28&lt;=T$20,$K28,NA()),NA())</f>
        <v>#N/A</v>
      </c>
      <c r="U29" s="65" t="e">
        <f>IF($K28&gt;U$19,IF($K28&lt;=U$20,$K28,NA()),NA())</f>
        <v>#N/A</v>
      </c>
      <c r="V29" s="65" t="e">
        <f>IF($K28&gt;V$19,IF($K28&lt;=V$20,$K28,NA()),NA())</f>
        <v>#N/A</v>
      </c>
      <c r="W29" s="65" t="e">
        <f>IF($K28&gt;W$19,IF($K28&lt;=W$20,$K28,NA()),NA())</f>
        <v>#N/A</v>
      </c>
      <c r="X29" s="65" t="e">
        <f>IF($K28&gt;X$19,IF($K28&lt;=X$20,1,NA()),NA())</f>
        <v>#N/A</v>
      </c>
      <c r="Y29" s="69"/>
      <c r="Z29" s="69"/>
      <c r="AA29" s="69"/>
      <c r="AB29" s="69"/>
      <c r="AC29" s="69"/>
      <c r="AD29" s="69"/>
      <c r="AE29" s="69"/>
      <c r="AF29" s="69"/>
      <c r="AG29" s="69"/>
      <c r="AH29" s="69"/>
      <c r="AI29" s="69"/>
    </row>
    <row r="30" spans="1:35" ht="22.5" customHeight="1">
      <c r="A30" s="3"/>
      <c r="B30" s="729"/>
      <c r="C30" s="729"/>
      <c r="D30" s="729"/>
      <c r="E30" s="730"/>
      <c r="F30" s="707"/>
      <c r="G30" s="708"/>
      <c r="H30" s="708"/>
      <c r="I30" s="708"/>
      <c r="J30" s="708"/>
      <c r="K30" s="730"/>
      <c r="L30" s="707"/>
      <c r="M30" s="708"/>
      <c r="N30" s="708"/>
      <c r="O30" s="708"/>
      <c r="P30" s="708"/>
      <c r="S30" s="67"/>
      <c r="T30" s="65" t="e">
        <f>IF(#REF!&gt;T$19,IF(#REF!&lt;=T$20,#REF!,NA()),NA())</f>
        <v>#REF!</v>
      </c>
      <c r="U30" s="65" t="e">
        <f>IF(#REF!&gt;U$19,IF(#REF!&lt;=U$20,#REF!,NA()),NA())</f>
        <v>#REF!</v>
      </c>
      <c r="V30" s="65" t="e">
        <f>IF(#REF!&gt;V$19,IF(#REF!&lt;=V$20,#REF!,NA()),NA())</f>
        <v>#REF!</v>
      </c>
      <c r="W30" s="65" t="e">
        <f>IF(#REF!&gt;W$19,IF(#REF!&lt;=W$20,#REF!,NA()),NA())</f>
        <v>#REF!</v>
      </c>
      <c r="X30" s="65" t="e">
        <f>IF(#REF!&gt;X$19,IF(#REF!&lt;=X$20,1,NA()),NA())</f>
        <v>#REF!</v>
      </c>
      <c r="Y30" s="69"/>
      <c r="Z30" s="69"/>
      <c r="AA30" s="69"/>
      <c r="AB30" s="69"/>
      <c r="AC30" s="69"/>
      <c r="AD30" s="69"/>
      <c r="AE30" s="69"/>
      <c r="AF30" s="69"/>
      <c r="AG30" s="69"/>
      <c r="AH30" s="69"/>
      <c r="AI30" s="69"/>
    </row>
    <row r="31" spans="1:35">
      <c r="A31" s="3"/>
      <c r="B31" s="222"/>
      <c r="C31" s="222"/>
      <c r="D31" s="222"/>
      <c r="E31" s="222"/>
      <c r="F31" s="222"/>
      <c r="G31" s="222"/>
      <c r="H31" s="223"/>
      <c r="I31" s="222"/>
      <c r="J31" s="222"/>
      <c r="K31" s="222"/>
      <c r="L31" s="222"/>
      <c r="M31" s="222"/>
      <c r="N31" s="222"/>
      <c r="O31" s="222"/>
      <c r="P31" s="222"/>
      <c r="S31" s="67"/>
      <c r="T31" s="65" t="e">
        <f t="shared" si="1"/>
        <v>#N/A</v>
      </c>
      <c r="U31" s="65" t="e">
        <f t="shared" si="1"/>
        <v>#N/A</v>
      </c>
      <c r="V31" s="65" t="e">
        <f t="shared" si="1"/>
        <v>#N/A</v>
      </c>
      <c r="W31" s="65" t="e">
        <f t="shared" si="1"/>
        <v>#N/A</v>
      </c>
      <c r="X31" s="65" t="e">
        <f t="shared" si="3"/>
        <v>#N/A</v>
      </c>
      <c r="Y31" s="69"/>
      <c r="Z31" s="69"/>
      <c r="AA31" s="69"/>
      <c r="AB31" s="69"/>
      <c r="AC31" s="69"/>
      <c r="AD31" s="69"/>
      <c r="AE31" s="69"/>
      <c r="AF31" s="69"/>
      <c r="AG31" s="69"/>
      <c r="AH31" s="69"/>
      <c r="AI31" s="69"/>
    </row>
    <row r="32" spans="1:35">
      <c r="A32" s="3"/>
      <c r="B32" s="724"/>
      <c r="C32" s="724"/>
      <c r="D32" s="724"/>
      <c r="E32" s="724"/>
      <c r="F32" s="724"/>
      <c r="G32" s="724"/>
      <c r="H32" s="724"/>
      <c r="I32" s="724"/>
      <c r="J32" s="724"/>
      <c r="K32" s="724"/>
      <c r="L32" s="222"/>
      <c r="M32" s="222"/>
      <c r="N32" s="222"/>
      <c r="O32" s="222"/>
      <c r="P32" s="222"/>
      <c r="S32" s="67"/>
      <c r="T32" s="65" t="e">
        <f t="shared" si="1"/>
        <v>#N/A</v>
      </c>
      <c r="U32" s="65" t="e">
        <f t="shared" si="1"/>
        <v>#N/A</v>
      </c>
      <c r="V32" s="65" t="e">
        <f t="shared" si="1"/>
        <v>#N/A</v>
      </c>
      <c r="W32" s="65" t="e">
        <f t="shared" si="1"/>
        <v>#N/A</v>
      </c>
      <c r="X32" s="65" t="e">
        <f t="shared" si="3"/>
        <v>#N/A</v>
      </c>
      <c r="Y32" s="69"/>
      <c r="Z32" s="69"/>
      <c r="AA32" s="69"/>
      <c r="AB32" s="69"/>
      <c r="AC32" s="69"/>
      <c r="AD32" s="69"/>
      <c r="AE32" s="69"/>
      <c r="AF32" s="69"/>
      <c r="AG32" s="69"/>
      <c r="AH32" s="69"/>
      <c r="AI32" s="69"/>
    </row>
    <row r="33" spans="1:35">
      <c r="A33" s="3"/>
      <c r="B33" s="724"/>
      <c r="C33" s="724"/>
      <c r="D33" s="724"/>
      <c r="E33" s="724"/>
      <c r="F33" s="724"/>
      <c r="G33" s="724"/>
      <c r="H33" s="724"/>
      <c r="I33" s="724"/>
      <c r="J33" s="724"/>
      <c r="K33" s="724"/>
      <c r="L33" s="222"/>
      <c r="M33" s="222"/>
      <c r="N33" s="222"/>
      <c r="O33" s="222"/>
      <c r="P33" s="222"/>
      <c r="S33" s="69"/>
      <c r="T33" s="69"/>
      <c r="U33" s="69"/>
      <c r="V33" s="69"/>
      <c r="W33" s="69"/>
      <c r="X33" s="69"/>
      <c r="Y33" s="69"/>
      <c r="Z33" s="69"/>
      <c r="AA33" s="69"/>
      <c r="AB33" s="69"/>
      <c r="AC33" s="69"/>
      <c r="AD33" s="69"/>
      <c r="AE33" s="69"/>
      <c r="AF33" s="69"/>
      <c r="AG33" s="69"/>
      <c r="AH33" s="69"/>
      <c r="AI33" s="69"/>
    </row>
    <row r="34" spans="1:35">
      <c r="A34" s="3"/>
      <c r="B34" s="3"/>
      <c r="C34" s="3"/>
      <c r="D34" s="3"/>
      <c r="E34" s="3"/>
      <c r="F34" s="3"/>
      <c r="G34" s="3"/>
      <c r="H34" s="3"/>
      <c r="I34" s="98"/>
      <c r="J34" s="98"/>
      <c r="K34" s="98"/>
      <c r="L34" s="3"/>
      <c r="M34" s="3"/>
      <c r="N34" s="3"/>
      <c r="O34" s="3"/>
      <c r="P34" s="3"/>
      <c r="S34" s="69"/>
      <c r="T34" s="69"/>
      <c r="U34" s="69"/>
      <c r="V34" s="69"/>
      <c r="W34" s="69"/>
      <c r="X34" s="69"/>
      <c r="Y34" s="69"/>
      <c r="Z34" s="69"/>
      <c r="AA34" s="69"/>
      <c r="AB34" s="69"/>
      <c r="AC34" s="69"/>
      <c r="AD34" s="69"/>
      <c r="AE34" s="69"/>
      <c r="AF34" s="69"/>
      <c r="AG34" s="69"/>
      <c r="AH34" s="69"/>
      <c r="AI34" s="69"/>
    </row>
    <row r="35" spans="1:35">
      <c r="A35" s="3"/>
      <c r="B35" s="3"/>
      <c r="C35" s="3"/>
      <c r="D35" s="3"/>
      <c r="E35" s="3"/>
      <c r="F35" s="3"/>
      <c r="G35" s="3"/>
      <c r="H35" s="3"/>
      <c r="I35" s="140"/>
      <c r="J35" s="141"/>
      <c r="K35" s="141"/>
      <c r="L35" s="3"/>
      <c r="M35" s="3"/>
      <c r="N35" s="3"/>
      <c r="O35" s="3"/>
      <c r="P35" s="3"/>
      <c r="S35" s="69"/>
      <c r="T35" s="69"/>
      <c r="U35" s="69"/>
      <c r="V35" s="69"/>
      <c r="W35" s="69"/>
      <c r="X35" s="69"/>
      <c r="Y35" s="69"/>
      <c r="Z35" s="69"/>
      <c r="AA35" s="69"/>
      <c r="AB35" s="69"/>
      <c r="AC35" s="69"/>
      <c r="AD35" s="69"/>
      <c r="AE35" s="69"/>
      <c r="AF35" s="69"/>
      <c r="AG35" s="69"/>
      <c r="AH35" s="69"/>
      <c r="AI35" s="69"/>
    </row>
    <row r="36" spans="1:35">
      <c r="A36" s="3"/>
      <c r="B36" s="3"/>
      <c r="C36" s="3"/>
      <c r="D36" s="3"/>
      <c r="E36" s="3"/>
      <c r="F36" s="3"/>
      <c r="G36" s="3"/>
      <c r="H36" s="3"/>
      <c r="I36" s="142"/>
      <c r="J36" s="143"/>
      <c r="K36" s="100"/>
      <c r="L36" s="3"/>
      <c r="M36" s="3"/>
      <c r="N36" s="3"/>
      <c r="O36" s="3"/>
      <c r="P36" s="3"/>
      <c r="S36" s="69"/>
      <c r="T36" s="69"/>
      <c r="U36" s="69"/>
      <c r="V36" s="69"/>
      <c r="W36" s="69"/>
      <c r="X36" s="69"/>
      <c r="Y36" s="69"/>
      <c r="Z36" s="69"/>
      <c r="AA36" s="69"/>
      <c r="AB36" s="69"/>
      <c r="AC36" s="69"/>
      <c r="AD36" s="69"/>
      <c r="AE36" s="69"/>
      <c r="AF36" s="69"/>
      <c r="AG36" s="69"/>
      <c r="AH36" s="69"/>
      <c r="AI36" s="69"/>
    </row>
    <row r="37" spans="1:35">
      <c r="A37" s="3"/>
      <c r="B37" s="3"/>
      <c r="C37" s="3"/>
      <c r="D37" s="3"/>
      <c r="E37" s="3"/>
      <c r="F37" s="3"/>
      <c r="G37" s="3"/>
      <c r="H37" s="3"/>
      <c r="I37" s="144"/>
      <c r="J37" s="143"/>
      <c r="K37" s="100"/>
      <c r="L37" s="3"/>
      <c r="M37" s="3"/>
      <c r="N37" s="3"/>
      <c r="O37" s="3"/>
      <c r="P37" s="3"/>
      <c r="S37" s="69"/>
      <c r="T37" s="69"/>
      <c r="U37" s="69"/>
      <c r="V37" s="69"/>
      <c r="W37" s="69"/>
      <c r="X37" s="69"/>
      <c r="Y37" s="69"/>
      <c r="Z37" s="69"/>
      <c r="AA37" s="69"/>
      <c r="AB37" s="69"/>
      <c r="AC37" s="69"/>
      <c r="AD37" s="69"/>
      <c r="AE37" s="69"/>
      <c r="AF37" s="69"/>
      <c r="AG37" s="69"/>
      <c r="AH37" s="69"/>
      <c r="AI37" s="69"/>
    </row>
    <row r="38" spans="1:35">
      <c r="A38" s="3"/>
      <c r="B38" s="3"/>
      <c r="C38" s="3"/>
      <c r="D38" s="3"/>
      <c r="E38" s="3"/>
      <c r="F38" s="3"/>
      <c r="G38" s="3"/>
      <c r="H38" s="3"/>
      <c r="I38" s="142"/>
      <c r="J38" s="143"/>
      <c r="K38" s="100"/>
      <c r="L38" s="3"/>
      <c r="M38" s="3"/>
      <c r="N38" s="3"/>
      <c r="O38" s="3"/>
      <c r="P38" s="3"/>
      <c r="S38" s="69"/>
      <c r="T38" s="69"/>
      <c r="U38" s="69"/>
      <c r="V38" s="69"/>
      <c r="W38" s="69"/>
      <c r="X38" s="69"/>
      <c r="Y38" s="69"/>
      <c r="Z38" s="69"/>
      <c r="AA38" s="69"/>
      <c r="AB38" s="69"/>
      <c r="AC38" s="69"/>
      <c r="AD38" s="69"/>
      <c r="AE38" s="69"/>
      <c r="AF38" s="69"/>
      <c r="AG38" s="69"/>
      <c r="AH38" s="69"/>
      <c r="AI38" s="69"/>
    </row>
    <row r="39" spans="1:35">
      <c r="A39" s="3"/>
      <c r="B39" s="3"/>
      <c r="C39" s="3"/>
      <c r="D39" s="3"/>
      <c r="E39" s="3"/>
      <c r="F39" s="3"/>
      <c r="G39" s="3"/>
      <c r="H39" s="3"/>
      <c r="I39" s="3"/>
      <c r="J39" s="3"/>
      <c r="K39" s="3"/>
      <c r="L39" s="3"/>
      <c r="M39" s="3"/>
      <c r="N39" s="3"/>
      <c r="O39" s="3"/>
      <c r="P39" s="3"/>
      <c r="S39" s="69"/>
      <c r="T39" s="69"/>
      <c r="U39" s="69"/>
      <c r="V39" s="69"/>
      <c r="W39" s="69"/>
      <c r="X39" s="69"/>
      <c r="Y39" s="69"/>
      <c r="Z39" s="69"/>
      <c r="AA39" s="69"/>
      <c r="AB39" s="69"/>
      <c r="AC39" s="69"/>
      <c r="AD39" s="69"/>
      <c r="AE39" s="69"/>
      <c r="AF39" s="69"/>
      <c r="AG39" s="69"/>
      <c r="AH39" s="69"/>
      <c r="AI39" s="69"/>
    </row>
    <row r="40" spans="1:35">
      <c r="A40" s="3"/>
      <c r="B40" s="3"/>
      <c r="C40" s="3"/>
      <c r="D40" s="3"/>
      <c r="E40" s="3"/>
      <c r="F40" s="3"/>
      <c r="G40" s="3"/>
      <c r="H40" s="3"/>
      <c r="I40" s="3"/>
      <c r="J40" s="3"/>
      <c r="K40" s="3"/>
      <c r="L40" s="3"/>
      <c r="M40" s="3"/>
      <c r="N40" s="3"/>
      <c r="O40" s="3"/>
      <c r="P40" s="3"/>
      <c r="S40" s="69"/>
      <c r="T40" s="69"/>
      <c r="U40" s="69"/>
      <c r="V40" s="69"/>
      <c r="W40" s="69"/>
      <c r="X40" s="69"/>
      <c r="Y40" s="69"/>
      <c r="Z40" s="69"/>
      <c r="AA40" s="69"/>
      <c r="AB40" s="69"/>
      <c r="AC40" s="69"/>
      <c r="AD40" s="69"/>
      <c r="AE40" s="69"/>
      <c r="AF40" s="69"/>
      <c r="AG40" s="69"/>
      <c r="AH40" s="69"/>
      <c r="AI40" s="69"/>
    </row>
    <row r="41" spans="1:35">
      <c r="A41" s="3"/>
      <c r="B41" s="3"/>
      <c r="C41" s="3"/>
      <c r="D41" s="3"/>
      <c r="E41" s="3"/>
      <c r="F41" s="3"/>
      <c r="G41" s="3"/>
      <c r="H41" s="3"/>
      <c r="I41" s="3"/>
      <c r="J41" s="3"/>
      <c r="K41" s="3"/>
      <c r="L41" s="3"/>
      <c r="M41" s="3"/>
      <c r="N41" s="3"/>
      <c r="O41" s="3"/>
      <c r="P41" s="3"/>
      <c r="S41" s="62"/>
      <c r="T41" s="62"/>
      <c r="U41" s="62"/>
      <c r="V41" s="62"/>
      <c r="W41" s="62"/>
      <c r="X41" s="62"/>
      <c r="Y41" s="62"/>
      <c r="Z41" s="62"/>
      <c r="AA41" s="62"/>
      <c r="AB41" s="62"/>
    </row>
    <row r="42" spans="1:35">
      <c r="S42" s="62"/>
      <c r="T42" s="62"/>
      <c r="U42" s="62"/>
      <c r="V42" s="62"/>
      <c r="W42" s="62"/>
      <c r="X42" s="62"/>
      <c r="Y42" s="62"/>
      <c r="Z42" s="62"/>
      <c r="AA42" s="62"/>
      <c r="AB42" s="62"/>
    </row>
    <row r="43" spans="1:35">
      <c r="S43" s="62"/>
      <c r="T43" s="62"/>
      <c r="U43" s="62"/>
      <c r="V43" s="62"/>
      <c r="W43" s="62"/>
      <c r="X43" s="62"/>
      <c r="Y43" s="62"/>
      <c r="Z43" s="62"/>
      <c r="AA43" s="62"/>
      <c r="AB43" s="62"/>
    </row>
    <row r="44" spans="1:35">
      <c r="S44" s="62"/>
      <c r="T44" s="62"/>
      <c r="U44" s="62"/>
      <c r="V44" s="62"/>
      <c r="W44" s="62"/>
      <c r="X44" s="62"/>
      <c r="Y44" s="62"/>
      <c r="Z44" s="62"/>
      <c r="AA44" s="62"/>
      <c r="AB44" s="62"/>
    </row>
    <row r="45" spans="1:35">
      <c r="S45" s="62"/>
      <c r="T45" s="62"/>
      <c r="U45" s="62"/>
      <c r="V45" s="62"/>
      <c r="W45" s="62"/>
      <c r="X45" s="62"/>
      <c r="Y45" s="62"/>
      <c r="Z45" s="62"/>
      <c r="AA45" s="62"/>
      <c r="AB45" s="62"/>
    </row>
  </sheetData>
  <mergeCells count="55">
    <mergeCell ref="M9:Q9"/>
    <mergeCell ref="F8:K8"/>
    <mergeCell ref="E18:K18"/>
    <mergeCell ref="B19:D19"/>
    <mergeCell ref="B21:D21"/>
    <mergeCell ref="B20:D20"/>
    <mergeCell ref="L23:Q23"/>
    <mergeCell ref="B2:Q2"/>
    <mergeCell ref="O3:P3"/>
    <mergeCell ref="D5:N5"/>
    <mergeCell ref="L8:Q8"/>
    <mergeCell ref="F6:K6"/>
    <mergeCell ref="L20:Q20"/>
    <mergeCell ref="E3:K3"/>
    <mergeCell ref="C4:D4"/>
    <mergeCell ref="C3:D3"/>
    <mergeCell ref="C9:E9"/>
    <mergeCell ref="G9:K9"/>
    <mergeCell ref="E4:L4"/>
    <mergeCell ref="B8:E8"/>
    <mergeCell ref="L19:Q19"/>
    <mergeCell ref="L25:Q25"/>
    <mergeCell ref="L26:Q26"/>
    <mergeCell ref="L27:Q27"/>
    <mergeCell ref="G20:K20"/>
    <mergeCell ref="G22:K22"/>
    <mergeCell ref="G19:H19"/>
    <mergeCell ref="I19:J19"/>
    <mergeCell ref="L24:Q24"/>
    <mergeCell ref="G21:K21"/>
    <mergeCell ref="L21:Q21"/>
    <mergeCell ref="B32:D33"/>
    <mergeCell ref="E32:G33"/>
    <mergeCell ref="H32:K33"/>
    <mergeCell ref="B23:D23"/>
    <mergeCell ref="B24:D24"/>
    <mergeCell ref="G26:K26"/>
    <mergeCell ref="G27:K27"/>
    <mergeCell ref="B25:D25"/>
    <mergeCell ref="G24:K24"/>
    <mergeCell ref="B30:E30"/>
    <mergeCell ref="F30:K30"/>
    <mergeCell ref="G28:K28"/>
    <mergeCell ref="F29:K29"/>
    <mergeCell ref="B28:D28"/>
    <mergeCell ref="B29:E29"/>
    <mergeCell ref="L30:P30"/>
    <mergeCell ref="B27:D27"/>
    <mergeCell ref="L22:Q22"/>
    <mergeCell ref="L28:Q28"/>
    <mergeCell ref="B22:D22"/>
    <mergeCell ref="B26:D26"/>
    <mergeCell ref="G23:K23"/>
    <mergeCell ref="G25:K25"/>
    <mergeCell ref="L29:P29"/>
  </mergeCells>
  <phoneticPr fontId="30" type="noConversion"/>
  <conditionalFormatting sqref="C4:D4">
    <cfRule type="cellIs" dxfId="11" priority="53" stopIfTrue="1" operator="equal">
      <formula>"C"</formula>
    </cfRule>
    <cfRule type="cellIs" dxfId="10" priority="54" stopIfTrue="1" operator="equal">
      <formula>"B2"</formula>
    </cfRule>
    <cfRule type="cellIs" dxfId="9" priority="55" stopIfTrue="1" operator="equal">
      <formula>"B1"</formula>
    </cfRule>
  </conditionalFormatting>
  <conditionalFormatting sqref="G20:G28">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25" right="0.25" top="0.75" bottom="0.75" header="0.3" footer="0.3"/>
  <pageSetup paperSize="8" scale="85" fitToHeight="0" orientation="landscape" r:id="rId1"/>
  <headerFooter>
    <oddFooter>&amp;L&amp;F&amp;C&amp;A&amp;RV1.0          &amp;D</oddFooter>
  </headerFooter>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4" zoomScale="90" zoomScaleNormal="90" zoomScalePageLayoutView="90" workbookViewId="0">
      <selection activeCell="S42" sqref="S42"/>
    </sheetView>
  </sheetViews>
  <sheetFormatPr defaultColWidth="9.1406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9.140625" style="31"/>
  </cols>
  <sheetData>
    <row r="1" spans="1:15" ht="38.25" customHeight="1">
      <c r="A1" s="146"/>
      <c r="B1" s="146"/>
      <c r="C1" s="146"/>
      <c r="D1" s="146"/>
      <c r="E1" s="146"/>
      <c r="F1" s="146"/>
      <c r="G1" s="146"/>
      <c r="H1" s="146"/>
      <c r="I1" s="146"/>
      <c r="J1" s="146"/>
      <c r="K1" s="147"/>
      <c r="L1" s="146"/>
      <c r="M1" s="146"/>
      <c r="N1" s="146"/>
    </row>
    <row r="2" spans="1:15" customFormat="1" ht="27.75" customHeight="1">
      <c r="A2" s="3"/>
      <c r="B2" s="690" t="str">
        <f>+"Dashboard:  "&amp;"  "&amp;IF(+'Data Entry'!C4="Please Select","",'Data Entry'!C4&amp;" - ")&amp;IF('Data Entry'!G6="Please Select","",'Data Entry'!G6)</f>
        <v>Dashboard:    Moldova - HIV / AIDS</v>
      </c>
      <c r="C2" s="690"/>
      <c r="D2" s="690"/>
      <c r="E2" s="690"/>
      <c r="F2" s="690"/>
      <c r="G2" s="690"/>
      <c r="H2" s="690"/>
      <c r="I2" s="690"/>
      <c r="J2" s="690"/>
      <c r="K2" s="690"/>
      <c r="L2" s="690"/>
      <c r="M2" s="690"/>
      <c r="N2" s="690"/>
      <c r="O2" s="71"/>
    </row>
    <row r="3" spans="1:15" customFormat="1" ht="18.75">
      <c r="A3" s="3"/>
      <c r="B3" s="128" t="str">
        <f>+IF('Data Entry'!G8="Please Select","",'Data Entry'!G8)</f>
        <v>SSF (Round 8)</v>
      </c>
      <c r="C3" s="700" t="str">
        <f>+IF('Data Entry'!I8="Please Select","",'Data Entry'!I8)</f>
        <v xml:space="preserve">Piriod 2 </v>
      </c>
      <c r="D3" s="700"/>
      <c r="E3" s="499"/>
      <c r="F3" s="499"/>
      <c r="G3" s="499"/>
      <c r="H3" s="499"/>
      <c r="I3" s="499"/>
      <c r="J3" s="499"/>
      <c r="K3" s="499"/>
      <c r="L3" s="128" t="str">
        <f>+'Data Entry'!B16</f>
        <v>Report Period:</v>
      </c>
      <c r="M3" s="194" t="str">
        <f>+'Data Entry'!C16</f>
        <v>P12</v>
      </c>
      <c r="N3" s="194"/>
      <c r="O3" s="31"/>
    </row>
    <row r="4" spans="1:15" customFormat="1" ht="15">
      <c r="A4" s="3"/>
      <c r="B4" s="128" t="str">
        <f>+'Data Entry'!B12</f>
        <v>Latest Rating:</v>
      </c>
      <c r="C4" s="750" t="str">
        <f>+IF('Data Entry'!C12="Please Select","",'Data Entry'!C12)</f>
        <v>A1</v>
      </c>
      <c r="D4" s="750"/>
      <c r="E4" s="692" t="str">
        <f>+'Data Entry'!C8</f>
        <v>PAS Center</v>
      </c>
      <c r="F4" s="692"/>
      <c r="G4" s="692"/>
      <c r="H4" s="692"/>
      <c r="I4" s="692"/>
      <c r="J4" s="692"/>
      <c r="K4" s="692"/>
      <c r="L4" s="128" t="str">
        <f>+'Data Entry'!D16</f>
        <v>From:</v>
      </c>
      <c r="M4" s="195" t="str">
        <f>+IF(ISBLANK('Data Entry'!E16),"",'Data Entry'!E16)</f>
        <v>July 01, 2014</v>
      </c>
      <c r="N4" s="195"/>
      <c r="O4" s="31"/>
    </row>
    <row r="5" spans="1:15" customFormat="1" ht="18.75" customHeight="1">
      <c r="A5" s="3"/>
      <c r="B5" s="128"/>
      <c r="C5" s="128"/>
      <c r="D5" s="129"/>
      <c r="E5" s="692" t="str">
        <f>+'Data Entry'!G4</f>
        <v>Reducing HIV-related burden in the Republic of Moldova</v>
      </c>
      <c r="F5" s="692"/>
      <c r="G5" s="692"/>
      <c r="H5" s="692"/>
      <c r="I5" s="692"/>
      <c r="J5" s="692"/>
      <c r="K5" s="692"/>
      <c r="L5" s="128" t="str">
        <f>+'Data Entry'!F16</f>
        <v>To:</v>
      </c>
      <c r="M5" s="195" t="str">
        <f>+IF(ISBLANK('Data Entry'!G16),"",'Data Entry'!G16)</f>
        <v>December 31, 2014</v>
      </c>
      <c r="N5" s="195"/>
    </row>
    <row r="6" spans="1:15" customFormat="1" ht="22.5" customHeight="1">
      <c r="A6" s="3"/>
      <c r="B6" s="133"/>
      <c r="C6" s="134"/>
      <c r="D6" s="135"/>
      <c r="E6" s="798" t="s">
        <v>319</v>
      </c>
      <c r="F6" s="798"/>
      <c r="G6" s="798"/>
      <c r="H6" s="798"/>
      <c r="I6" s="798"/>
      <c r="J6" s="798"/>
      <c r="K6" s="798"/>
      <c r="L6" s="2"/>
      <c r="M6" s="2"/>
      <c r="N6" s="2"/>
    </row>
    <row r="7" spans="1:15" s="33" customFormat="1" ht="4.5" customHeight="1">
      <c r="A7" s="148"/>
      <c r="B7" s="149"/>
      <c r="C7" s="149"/>
      <c r="D7" s="149"/>
      <c r="E7" s="149"/>
      <c r="F7" s="149"/>
      <c r="G7" s="149"/>
      <c r="H7" s="149"/>
      <c r="I7" s="149"/>
      <c r="J7" s="149"/>
      <c r="K7" s="149"/>
      <c r="L7" s="150"/>
      <c r="M7" s="150"/>
      <c r="N7" s="151"/>
    </row>
    <row r="8" spans="1:15" s="33" customFormat="1" ht="21" customHeight="1" thickBot="1">
      <c r="A8" s="148"/>
      <c r="B8" s="789" t="s">
        <v>103</v>
      </c>
      <c r="C8" s="789"/>
      <c r="D8" s="789"/>
      <c r="E8" s="789"/>
      <c r="F8" s="789"/>
      <c r="G8" s="789"/>
      <c r="H8" s="789"/>
      <c r="I8" s="789"/>
      <c r="J8" s="789"/>
      <c r="K8" s="789"/>
      <c r="L8" s="789"/>
      <c r="M8" s="789"/>
      <c r="N8" s="789"/>
    </row>
    <row r="9" spans="1:15" s="33" customFormat="1" ht="3.75" customHeight="1" thickBot="1">
      <c r="A9" s="148"/>
      <c r="B9" s="149"/>
      <c r="C9" s="149"/>
      <c r="D9" s="149"/>
      <c r="E9" s="149"/>
      <c r="F9" s="149"/>
      <c r="G9" s="149"/>
      <c r="H9" s="149"/>
      <c r="I9" s="149"/>
      <c r="J9" s="149"/>
      <c r="K9" s="149"/>
      <c r="L9" s="150"/>
      <c r="M9" s="150"/>
      <c r="N9" s="151"/>
    </row>
    <row r="10" spans="1:15" s="34" customFormat="1" ht="25.5" customHeight="1" thickBot="1">
      <c r="A10" s="152"/>
      <c r="B10" s="790" t="s">
        <v>98</v>
      </c>
      <c r="C10" s="808"/>
      <c r="D10" s="799" t="s">
        <v>102</v>
      </c>
      <c r="E10" s="800"/>
      <c r="F10" s="800"/>
      <c r="G10" s="801"/>
      <c r="H10" s="155"/>
      <c r="I10" s="799" t="s">
        <v>319</v>
      </c>
      <c r="J10" s="800"/>
      <c r="K10" s="800"/>
      <c r="L10" s="800"/>
      <c r="M10" s="800"/>
      <c r="N10" s="801"/>
    </row>
    <row r="11" spans="1:15" s="34" customFormat="1" ht="28.5" customHeight="1">
      <c r="A11" s="152"/>
      <c r="B11" s="393" t="s">
        <v>106</v>
      </c>
      <c r="C11" s="172"/>
      <c r="D11" s="773" t="str">
        <f>IF(ISBLANK(Finance!C9),"",(Finance!C9))</f>
        <v>By December, 31, 2014, the total amount disbursed by TGF to PAS Center was EUR 12,054,957. The cumulative disbursement rate is 99.9%. The variance is due to the amount of EUR 2.453 saved in period one, and deducted from period two disbursments.
(Până la 31 decembrie  2014, Centrului PAS i-au fost debursate de către Fondul Global 12,054,957 Euro. Rata cumulativă a debursării este de 99.9%. Variația este cauzată de deducerea din debursările pentru perioada doi a sumei de 2,453 Euro economisită în perioada unu.)</v>
      </c>
      <c r="E11" s="773"/>
      <c r="F11" s="773"/>
      <c r="G11" s="817"/>
      <c r="H11" s="178"/>
      <c r="I11" s="780"/>
      <c r="J11" s="781"/>
      <c r="K11" s="781"/>
      <c r="L11" s="781"/>
      <c r="M11" s="781"/>
      <c r="N11" s="782"/>
    </row>
    <row r="12" spans="1:15" s="34" customFormat="1" ht="27.75" customHeight="1">
      <c r="A12" s="152"/>
      <c r="B12" s="394" t="s">
        <v>107</v>
      </c>
      <c r="C12" s="173"/>
      <c r="D12" s="773" t="str">
        <f>IF(ISBLANK(Finance!C23),"",(Finance!C23))</f>
        <v>The cumulative rate of absorption from budget as of December 2014 is 100,82% (Actual EUR 12,156,860/Budget EUR 12,057,410). The cumulative variance at the end of the reporting period is an over-expenditure of EUR 99,450 mainly due to  payments afferent to previouse periode.  
(Rata cumulativă de absorbţie din buget la 31 decembrie 2014 este de 100,82% (Actual 12,156,860 Euro/Budget 12,057,410 Euro). Variaţia cumulativă la finalul perioadei raportate constituie o supra cheltuială de 99,450 Euro fiind în mare parte determinată de plăţi aferente perioadei anterioare.</v>
      </c>
      <c r="E12" s="773"/>
      <c r="F12" s="773"/>
      <c r="G12" s="817"/>
      <c r="H12" s="178"/>
      <c r="I12" s="809"/>
      <c r="J12" s="810"/>
      <c r="K12" s="810"/>
      <c r="L12" s="810"/>
      <c r="M12" s="810"/>
      <c r="N12" s="811"/>
    </row>
    <row r="13" spans="1:15" s="34" customFormat="1" ht="26.25" customHeight="1">
      <c r="A13" s="152"/>
      <c r="B13" s="394" t="s">
        <v>108</v>
      </c>
      <c r="C13" s="173"/>
      <c r="D13" s="773" t="str">
        <f>IF(ISBLANK(Finance!I9),"",(Finance!I9))</f>
        <v>The PR cash outflow rate for the reported period is 91.87% (Actual EUR 920,765/Budget EUR 1.002.194) from the  semiannual budget. The variance for the reporting period is due to advance payments to SRs and implementers and payments afferent to commitments from previous period.  
(Rata de absorbție pentru perioada raportată este de 91.87% (Actual 920,765 Euro/Budget 1.002.194 Euro) din bugetul semi anual. Variația dintre buget și cheltuieli pentru perioada raportată este în mare parte determinată de plăti în avans către SR și alți implementatori și plăți aferente perioadei anterioare.)</v>
      </c>
      <c r="E13" s="773"/>
      <c r="F13" s="773"/>
      <c r="G13" s="817"/>
      <c r="H13" s="178"/>
      <c r="I13" s="809"/>
      <c r="J13" s="810"/>
      <c r="K13" s="810"/>
      <c r="L13" s="810"/>
      <c r="M13" s="810"/>
      <c r="N13" s="811"/>
    </row>
    <row r="14" spans="1:15" s="34" customFormat="1" ht="28.5" customHeight="1" thickBot="1">
      <c r="A14" s="152"/>
      <c r="B14" s="395" t="s">
        <v>109</v>
      </c>
      <c r="C14" s="174"/>
      <c r="D14" s="815" t="str">
        <f>IF(ISBLANK(Finance!I23),"",(Finance!I23))</f>
        <v>The PU/EFR for year 2014 has been submitted to LFA in due terms (45 days after the end of reported period), on February 17, 2015. 
The disbursement requested with the previous PU/DR for S2, 2013 reached the PR on 31 March 2014 (50 days after the PU/DR) and include the budget for quarters 2-4, 2014.
(Actualizarea progresului si raportul financiar pentru anul 2014 a fost remisa Agentului Local al Fondului în termenii stabiliți (45 de zile după finisarea perioadei raportate) pe data de 17 februarie 2015.
Disbursarea solicitată cu actualizarea progresului pentru Semestrul 2, 2013 a fost primită de PR pe data de 31 martie 2014 (50 zile de la PU/DR) și a inclus bugetul pentru trimestrele 2-4, 2014.)</v>
      </c>
      <c r="E14" s="815"/>
      <c r="F14" s="815"/>
      <c r="G14" s="816"/>
      <c r="H14" s="178"/>
      <c r="I14" s="812"/>
      <c r="J14" s="813"/>
      <c r="K14" s="813"/>
      <c r="L14" s="813"/>
      <c r="M14" s="813"/>
      <c r="N14" s="814"/>
    </row>
    <row r="15" spans="1:15" s="34" customFormat="1" ht="4.5" customHeight="1">
      <c r="A15" s="152"/>
      <c r="B15" s="175"/>
      <c r="C15" s="176"/>
      <c r="D15" s="177"/>
      <c r="E15" s="177"/>
      <c r="F15" s="177"/>
      <c r="G15" s="177"/>
      <c r="H15" s="178"/>
      <c r="I15" s="179"/>
      <c r="J15" s="179"/>
      <c r="K15" s="179"/>
      <c r="L15" s="179"/>
      <c r="M15" s="179"/>
      <c r="N15" s="179"/>
      <c r="O15" s="73"/>
    </row>
    <row r="16" spans="1:15" s="33" customFormat="1" ht="21" customHeight="1" thickBot="1">
      <c r="A16" s="148"/>
      <c r="B16" s="789" t="s">
        <v>105</v>
      </c>
      <c r="C16" s="789"/>
      <c r="D16" s="789"/>
      <c r="E16" s="789"/>
      <c r="F16" s="789"/>
      <c r="G16" s="789"/>
      <c r="H16" s="789"/>
      <c r="I16" s="789"/>
      <c r="J16" s="789"/>
      <c r="K16" s="789"/>
      <c r="L16" s="789"/>
      <c r="M16" s="789"/>
      <c r="N16" s="789"/>
    </row>
    <row r="17" spans="1:15" s="34" customFormat="1" ht="3.75" customHeight="1" thickBot="1">
      <c r="A17" s="152"/>
      <c r="B17" s="161"/>
      <c r="C17" s="162"/>
      <c r="D17" s="163"/>
      <c r="E17" s="164"/>
      <c r="F17" s="165"/>
      <c r="G17" s="165"/>
      <c r="H17" s="166"/>
      <c r="I17" s="167"/>
      <c r="J17" s="168"/>
      <c r="K17" s="157"/>
      <c r="L17" s="158"/>
      <c r="M17" s="159"/>
      <c r="N17" s="160"/>
    </row>
    <row r="18" spans="1:15" s="34" customFormat="1" ht="22.5" customHeight="1" thickBot="1">
      <c r="A18" s="152"/>
      <c r="B18" s="808" t="s">
        <v>99</v>
      </c>
      <c r="C18" s="791"/>
      <c r="D18" s="795" t="s">
        <v>102</v>
      </c>
      <c r="E18" s="796"/>
      <c r="F18" s="796"/>
      <c r="G18" s="797"/>
      <c r="H18" s="155"/>
      <c r="I18" s="792" t="s">
        <v>319</v>
      </c>
      <c r="J18" s="793"/>
      <c r="K18" s="793"/>
      <c r="L18" s="793"/>
      <c r="M18" s="794"/>
      <c r="N18" s="794"/>
    </row>
    <row r="19" spans="1:15" s="34" customFormat="1" ht="21.75" customHeight="1">
      <c r="A19" s="152"/>
      <c r="B19" s="396" t="s">
        <v>114</v>
      </c>
      <c r="C19" s="180"/>
      <c r="D19" s="775" t="str">
        <f>IF(ISBLANK(Management!C8),"",(Management!C8))</f>
        <v>The two special conditions related to period 2 have been fulfilled  in strict accordance with their provisions. 
(Cele două condiții speciale aferente perioadei 2 au fost îndeplinite, în strictă conformitate cu prevederile contractuale.)</v>
      </c>
      <c r="E19" s="775"/>
      <c r="F19" s="775"/>
      <c r="G19" s="776"/>
      <c r="H19" s="181"/>
      <c r="I19" s="802"/>
      <c r="J19" s="803"/>
      <c r="K19" s="803"/>
      <c r="L19" s="803"/>
      <c r="M19" s="803"/>
      <c r="N19" s="804"/>
    </row>
    <row r="20" spans="1:15" ht="24.75" customHeight="1">
      <c r="A20" s="146"/>
      <c r="B20" s="397" t="s">
        <v>115</v>
      </c>
      <c r="C20" s="182"/>
      <c r="D20" s="773" t="str">
        <f>IF(ISBLANK(Management!I8),"",(Management!I8))</f>
        <v>Two full time positions and twelve part time.
(Două poziţii cu normă plină şi douasprezece - parţială.)</v>
      </c>
      <c r="E20" s="773" t="e">
        <f>+'Data Entry'!D69/'Data Entry'!G69</f>
        <v>#DIV/0!</v>
      </c>
      <c r="F20" s="773" t="e">
        <f>+('Data Entry'!E69+'Data Entry'!F69)/'Data Entry'!G69</f>
        <v>#DIV/0!</v>
      </c>
      <c r="G20" s="774"/>
      <c r="H20" s="181"/>
      <c r="I20" s="783"/>
      <c r="J20" s="784"/>
      <c r="K20" s="784"/>
      <c r="L20" s="784"/>
      <c r="M20" s="784"/>
      <c r="N20" s="785"/>
      <c r="O20" s="35"/>
    </row>
    <row r="21" spans="1:15" ht="29.25" customHeight="1">
      <c r="A21" s="146"/>
      <c r="B21" s="398" t="s">
        <v>116</v>
      </c>
      <c r="C21" s="182"/>
      <c r="D21" s="773" t="str">
        <f>IF(ISBLANK(Management!C16),"",(Management!C16))</f>
        <v>Four Sub-recipients (SRs) have been identified initialy (2010) to implement different components within the program: Soros Foundation-Moldova (SFM); League of people living with HIV of Moldova; New Life, Moldovan Institute for Human Rights. One SR (SFM) has been earlier assessed by the governmental PR of GF grants as it acts as an SR since GF Round one. Two other SRs have been assessed (New Life and Moldovan Institute for Human Rights) by PAS Center the last one (League of people living with HIV of Moldova) by TGF Local Fund Agent. Four sub-grant agreements have been signe following the assessment. In September 2011, due to lack of capacity for adequate implementation of the grant portion contracted the sub-grant agreement with one of the SRs (League of people living with HIV) was terminated and the management of activities has been entrusted to an other SR ( SFM).  Respectively three sub-recipients continued to receive funds till the end of Period one (December 31, 2012). During renewal one SR component has been reorganised and starting with Period two  (2013) there are two SRs that receiv funds within the grant. 
(Patru Sub-Recipienţi (SR), au fost identificaţi inițial (2010) pentru a implementa diferite componente în cadrul programului: Fundația Soros-Moldova (FSM), Liga persoanelor care trăiesc cu HIV din Moldova, Viaţa Nouă, Institutul pentru Drepturile Omului din Moldova. Un SR (SFM) a fost evaluată anterior de către PR guvernamental, deoarece activează în calitate de SR începănd cu Runda 1. Alţi doi SR au fost evaluaţi (Viaţa Nouă și Institutul pentru Drepturile Omului din Moldova) de către Centrul PAS iar ultimul (Liga persoanelor care trăiesc cu HIV din Republica Moldova) de către Agentul Local al Fondului Global. Urmare a evaluării au fost semnate patru acorduri de sub-grant. În septembrie 2011, din cauza lipsei de capacitate pentru implementarea adecvată a componentului de grant contractat acordul de sub-finantare cu unul dintre SR (Liga persoanelor care trăiesc cu HIV) a fost reziliat și gestionarea activităților a fost încredințată altui SR (SFM). Respectiv  trei SR au primit fonduri pînă la finele Perioadei unu (31 decembrie  2012). La etapa de reînoire a grantului, componentul implementat de unul dintre acesti SR a fost reorganizat și începănd cu Perioada 2 (2013)  doi SR primesc resurse din cadrul grantului trei SR.</v>
      </c>
      <c r="E21" s="773"/>
      <c r="F21" s="773"/>
      <c r="G21" s="774"/>
      <c r="H21" s="181"/>
      <c r="I21" s="783"/>
      <c r="J21" s="784"/>
      <c r="K21" s="784"/>
      <c r="L21" s="784"/>
      <c r="M21" s="784"/>
      <c r="N21" s="785"/>
      <c r="O21" s="35"/>
    </row>
    <row r="22" spans="1:15" ht="26.25" customHeight="1">
      <c r="A22" s="146"/>
      <c r="B22" s="398" t="s">
        <v>117</v>
      </c>
      <c r="C22" s="182"/>
      <c r="D22" s="773" t="str">
        <f>IF(ISBLANK(Management!I16),"",(Management!I16))</f>
        <v>The SRs’ quarterly reports (financial report, activity report and performance framework) are due to the PR not later than 25 days after the close of each quarter and are generally submitted in time. The clearance period vary from one SR to an other subject to the completeness and consistence of the reports.
For the SR SFM the Sub-subrecipients financial reports are due quarterly and can be submitted during the following quarter, the activity reports are due not later than 10 days from the end of each month and are generally submitted in time. During the reporting period reflected in this dashboard 15 reports from 15 due were submited in time. 
For the SR New Life the 2 Sub-subrecipient reports (financial, activity and indicators) are due not later than 15 days after the close of each quarter and are generally submitted in time.
(Rapoartele trimestriale ale SR  (raport financiar, raport de activitate și cadrul de performanță) urmează a fi transmise  RP nu mai târziu de 25 de zile de la încheierea fiecărui trimestru. Rapoartele sunt de regulă prezentate la timp. Perioada de verificare şi aprobare variază de la un SR la altul în funcţie de exhaustivitatea și consistență rapoartelor.
Pentru SR FSM rapoarte financiare ale Sub-subrecipienţilor (Ssr) urmează a fi transmise trimestrial și pot fi prezentate în trimestrul următor, rapoartele de activitate urmează a fi prezentate nu mai târziu de 10 zile de la sfârșitul fiecărei luni și sunt, în general, prezentate la timp. Pe parcursul perioadei de raportare reflectată în aces raport, 15 raporte din 15 planificate au fost transmise la timp. 
Pentru SR Viaţa Nouă cele două rapoarte ale Sub-subrecipientilor (financiare, de activitate și indicatorii) urmează a fi prezentate nu mai târziu de 15 zile de la încheierea fiecărui trimestru și sunt, de regulă, prezentate la timp.)</v>
      </c>
      <c r="E22" s="773"/>
      <c r="F22" s="773"/>
      <c r="G22" s="774"/>
      <c r="H22" s="181"/>
      <c r="I22" s="783"/>
      <c r="J22" s="784"/>
      <c r="K22" s="784"/>
      <c r="L22" s="784"/>
      <c r="M22" s="784"/>
      <c r="N22" s="785"/>
      <c r="O22" s="35"/>
    </row>
    <row r="23" spans="1:15" ht="24.75" customHeight="1">
      <c r="A23" s="146"/>
      <c r="B23" s="398" t="s">
        <v>118</v>
      </c>
      <c r="C23" s="182"/>
      <c r="D23" s="773" t="str">
        <f>IF(ISBLANK(Management!C27),"",(Management!C27))</f>
        <v>N/A</v>
      </c>
      <c r="E23" s="773"/>
      <c r="F23" s="773"/>
      <c r="G23" s="774"/>
      <c r="H23" s="181"/>
      <c r="I23" s="783"/>
      <c r="J23" s="784"/>
      <c r="K23" s="784"/>
      <c r="L23" s="784"/>
      <c r="M23" s="784"/>
      <c r="N23" s="785"/>
      <c r="O23" s="35"/>
    </row>
    <row r="24" spans="1:15" ht="27" customHeight="1" thickBot="1">
      <c r="A24" s="146"/>
      <c r="B24" s="399" t="s">
        <v>120</v>
      </c>
      <c r="C24" s="183"/>
      <c r="D24" s="778" t="str">
        <f>IF(ISBLANK(Management!I27),"",(Management!I27))</f>
        <v>N/A</v>
      </c>
      <c r="E24" s="778"/>
      <c r="F24" s="778"/>
      <c r="G24" s="779"/>
      <c r="H24" s="181"/>
      <c r="I24" s="805"/>
      <c r="J24" s="806"/>
      <c r="K24" s="806"/>
      <c r="L24" s="806"/>
      <c r="M24" s="806"/>
      <c r="N24" s="807"/>
      <c r="O24" s="35"/>
    </row>
    <row r="25" spans="1:15" ht="4.5" customHeight="1">
      <c r="A25" s="148"/>
      <c r="B25" s="153"/>
      <c r="C25" s="154"/>
      <c r="D25" s="169"/>
      <c r="E25" s="170"/>
      <c r="F25" s="171"/>
      <c r="G25" s="171"/>
      <c r="H25" s="155"/>
      <c r="I25" s="170"/>
      <c r="J25" s="156"/>
      <c r="K25" s="157"/>
      <c r="L25" s="158"/>
      <c r="M25" s="159"/>
      <c r="N25" s="160"/>
      <c r="O25" s="35"/>
    </row>
    <row r="26" spans="1:15" s="33" customFormat="1" ht="21" customHeight="1" thickBot="1">
      <c r="A26" s="148"/>
      <c r="B26" s="789" t="s">
        <v>104</v>
      </c>
      <c r="C26" s="789"/>
      <c r="D26" s="789"/>
      <c r="E26" s="789"/>
      <c r="F26" s="789"/>
      <c r="G26" s="789"/>
      <c r="H26" s="789"/>
      <c r="I26" s="789"/>
      <c r="J26" s="789"/>
      <c r="K26" s="789"/>
      <c r="L26" s="789"/>
      <c r="M26" s="789"/>
      <c r="N26" s="789"/>
    </row>
    <row r="27" spans="1:15" ht="3.75" customHeight="1" thickBot="1">
      <c r="A27" s="148"/>
      <c r="B27" s="153"/>
      <c r="C27" s="154"/>
      <c r="D27" s="169"/>
      <c r="E27" s="170"/>
      <c r="F27" s="171"/>
      <c r="G27" s="171"/>
      <c r="H27" s="155"/>
      <c r="I27" s="170"/>
      <c r="J27" s="156"/>
      <c r="K27" s="157"/>
      <c r="L27" s="158"/>
      <c r="M27" s="159"/>
      <c r="N27" s="160"/>
      <c r="O27" s="35"/>
    </row>
    <row r="28" spans="1:15" ht="21.75" customHeight="1" thickBot="1">
      <c r="A28" s="146"/>
      <c r="B28" s="790" t="s">
        <v>12</v>
      </c>
      <c r="C28" s="791"/>
      <c r="D28" s="764" t="s">
        <v>102</v>
      </c>
      <c r="E28" s="765"/>
      <c r="F28" s="765"/>
      <c r="G28" s="766"/>
      <c r="H28" s="155"/>
      <c r="I28" s="764" t="s">
        <v>319</v>
      </c>
      <c r="J28" s="765"/>
      <c r="K28" s="765"/>
      <c r="L28" s="765"/>
      <c r="M28" s="765"/>
      <c r="N28" s="766"/>
      <c r="O28" s="35"/>
    </row>
    <row r="29" spans="1:15" ht="29.25" customHeight="1">
      <c r="A29" s="146"/>
      <c r="B29" s="400" t="s">
        <v>320</v>
      </c>
      <c r="C29" s="184"/>
      <c r="D29" s="767" t="str">
        <f>IF(ISBLANK(Programmatic!C9),"",(Programmatic!C9))</f>
        <v>During S 2, 2014 a total of 282 PLHIV were primarily reached with care and support services through four social regional centers providing assistance to PLHIV and 10 territorial organizations that ensures outreach to PLHIV and their families. The beneficiaries are provided with the following services: psycho-social counseling and support, medical counseling and referral, distribution of information materials, peer counseling, self-support groups and food support, etc.
The indicator is overachieved.
[Pe parcursul semestrului 2, 2014, în total 282 PTH au fost primar acoperiți cu servicii de îngrijire și suport prestate în cadrul celor patru Centre Sociale Regionale și a 10 organizații teritoriale care prestează servicii direct PTH și membrilor familiilor lor. Beneficiarilor le sunt prestate următoarele servicii: suport și consiliere psiho-socială, consultații medicale și referiri, diseminarea materialelor informaționale și consiliere de la egal la egal, activități in grup și suport cu pachete alimentare, etc. 
Indicatorul este depășit.]</v>
      </c>
      <c r="E29" s="768"/>
      <c r="F29" s="768"/>
      <c r="G29" s="769"/>
      <c r="H29" s="181"/>
      <c r="I29" s="786"/>
      <c r="J29" s="787"/>
      <c r="K29" s="787"/>
      <c r="L29" s="787"/>
      <c r="M29" s="787"/>
      <c r="N29" s="788"/>
      <c r="O29" s="35"/>
    </row>
    <row r="30" spans="1:15" ht="21.75" customHeight="1">
      <c r="A30" s="146"/>
      <c r="B30" s="401" t="s">
        <v>321</v>
      </c>
      <c r="C30" s="185"/>
      <c r="D30" s="777" t="str">
        <f>IF(ISBLANK(Programmatic!G9),"",(Programmatic!G9))</f>
        <v>A total of 257 children (primarily reached) received social support during S2, 2014, out of them 123 infected and 134 affected by HIV. Each quarter 230 children (all HIV infected children that can be reached and the majority of children born from HIV infected mother with unknown status) benefit of food parcels. At the same time each semester HIV positive children benefit of a set of stationary and clothing for school as part of social support program. During reported period the number of HIV positive children that benefited of clothing and school supplies was 123, exceeding by 23 the expected number of 100. This fact has determined the need to reallocate additional budget (from savings under other budget lines targeted at PLHIV support) in order to cover additional twenty four sets of clothing and school supplies.
The indicator is overachieved. 
Reason for variance: The number of children primarily reached with social support is determined by the number of children diagnosed with HIV that are reached and by the number of children born from HIV positive mothers immediately before and during the reported period. 
[Un total de 257 copii au beneficiat de suport social în prima jumate a anului 2014 (acoperiți primar), dintre care 123  copii HIV infectați și 134 copii afectați de HIV. În același timp, în fiecare trimestru, 230 copii (toți copiii infectați cu HIV, care pot fi acoperiți cu servicii, și majoritatea copiilor născuți din mame infectate cu HIV) beneficiază de un set de haine și rechizite școlare ca parte a programului de acordare a suportului social. Pe parcursul perioadei de raportare, numărul de copii HIV infectați care au primit un set de haine și rechizite școlare a crescut la 123, depășind cu 23 unități numărul planificat de 100. Acest fapt a determinat necesitatea realocării unui buget adițional (din economiile obținute în cadrul altor linii bugetare orientate către suportul PTH) pentru a acoperi douazeci și patru seturi suplimentare de îmbrăcăminte și rechizite școlare. 
Indicatorul este depășit. 
Cauza variației: Numărul de copii primar acoperiți cu suport social este determinat de numărul de copii diagnosticați cu HIV și numărul copiilor născuți din mame HIV pozitive imediat înainte și în perioada de raportate.]</v>
      </c>
      <c r="E30" s="762"/>
      <c r="F30" s="762"/>
      <c r="G30" s="763"/>
      <c r="H30" s="181"/>
      <c r="I30" s="770"/>
      <c r="J30" s="771"/>
      <c r="K30" s="771"/>
      <c r="L30" s="771"/>
      <c r="M30" s="771"/>
      <c r="N30" s="772"/>
      <c r="O30" s="35"/>
    </row>
    <row r="31" spans="1:15" ht="21.75" customHeight="1">
      <c r="A31" s="146"/>
      <c r="B31" s="401" t="s">
        <v>322</v>
      </c>
      <c r="C31" s="185"/>
      <c r="D31" s="777" t="str">
        <f>IF(ISBLANK(Programmatic!M9),"",(Programmatic!M9))</f>
        <v>During S2, 2014 a total of 40 PWIDs on opioid substitution therapy (primarily reached) received at least 3 support services from the package (psycho-social support, self-support groups, peer to peer education, distributions of information materials, food support, etc.) offered by NGOs working in PWUDs rehabilitation. 
The indicator is achieved in proportion of 91%.
Reason for variance: The target for reported period (40 persons primarily reached per Semester) have been achieved (40 new people reached in S2, 2015). The underachievement of the cumulative target for the reported period (over program term) is determined by the variation between targets settled and results registered for period one of grant implementation caused by continuously decreasing enrolment of new patients in OST. As the number of OST patients that can be covered with psycho-support services is directly tied to new patients enrolled in OST, the enrolment dynamics in period one has determined and directly impacted the achievement of targets for this indicator and is affecting the results for the reported period as the target is cumulative over program term.  
[Pe parcursul semestrului 2, 2015 un total de 40 CDI aflați în terapia de substituție cu metadonă (primar acoperiți) au primit cel puțin 3 servicii de suport social din pachetul serviciilor (sprijin psiho-social, grupuri de suport reciproc, educație de la egal la egal, diseminarea materialelor informaționale și distribuirea pachetelor alimentare și igienice) oferite în cadrul centrelor de zi de către ONG-urile care lucrează în domeniul reabilitării CDI.
Indicatorul este substanțial atins (91%). 
Cauza variației: Ținta pentru perioada raportata (40 persoane noi primar acoperite) a fost atinsa (40 persoane acoperite). Neatingerea țintei cumulative pentru perioada raportată (pe toata perioada grantului) este determinată de variația între ținta stabilită și rezultatele înregistrate pentru perioada întâi de implementare a grantului cauzată de scăderea continua a pacienților înrolați în TSO. Numărul de pacienți în TSO care pot fi acoperiți cu servicii de suport psiho-social este direct proporțional cu numărul pacienților noi înrolați în TSO, dinamica înrolării în perioada întâi a determinat și a afectat direct atingerea țintei pentru acest indicator și afectează rezultatul pentru perioada dată deoarece ținta propusă se calculează cumulativ pentru toată perioada grantului.]</v>
      </c>
      <c r="E31" s="762"/>
      <c r="F31" s="762"/>
      <c r="G31" s="763"/>
      <c r="H31" s="181"/>
      <c r="I31" s="770"/>
      <c r="J31" s="771"/>
      <c r="K31" s="771"/>
      <c r="L31" s="771"/>
      <c r="M31" s="771"/>
      <c r="N31" s="772"/>
      <c r="O31" s="35"/>
    </row>
    <row r="32" spans="1:15" ht="21.75" customHeight="1">
      <c r="A32" s="146"/>
      <c r="B32" s="402" t="s">
        <v>110</v>
      </c>
      <c r="C32" s="185"/>
      <c r="D32" s="761" t="str">
        <f>IF(ISBLANK(Programmatic!L20),"",(Programmatic!L20))</f>
        <v>During S 2, 2014 a total of 282 PLHIV were primarily reached with care and support services through four social regional centers providing assistance to PLHIV and 10 territorial organizations that ensures outreach to PLHIV and their families. The beneficiaries are provided with the following services: psycho-social counseling and support, medical counseling and referral, distribution of information materials, peer counseling, self-support groups and food support, etc.
The indicator is overachieved.
[Pe parcursul semestrului 2, 2014, în total 282 PTH au fost primar acoperiți cu servicii de îngrijire și suport prestate în cadrul celor patru Centre Sociale Regionale și a 10 organizații teritoriale care prestează servicii direct PTH și membrilor familiilor lor. Beneficiarilor le sunt prestate următoarele servicii: suport și consiliere psiho-socială, consultații medicale și referiri, diseminarea materialelor informaționale și consiliere de la egal la egal, activități in grup și suport cu pachete alimentare, etc. 
Indicatorul este depășit.]</v>
      </c>
      <c r="E32" s="762"/>
      <c r="F32" s="762"/>
      <c r="G32" s="763"/>
      <c r="H32" s="181"/>
      <c r="I32" s="770"/>
      <c r="J32" s="771"/>
      <c r="K32" s="771"/>
      <c r="L32" s="771"/>
      <c r="M32" s="771"/>
      <c r="N32" s="772"/>
      <c r="O32" s="35"/>
    </row>
    <row r="33" spans="1:15" ht="27" customHeight="1">
      <c r="A33" s="146"/>
      <c r="B33" s="402" t="s">
        <v>111</v>
      </c>
      <c r="C33" s="185"/>
      <c r="D33" s="761" t="str">
        <f>IF(ISBLANK(Programmatic!L21),"",(Programmatic!L21))</f>
        <v>A total of 257 children (primarily reached) received social support during S2, 2014, out of them 123 infected and 134 affected by HIV. Each quarter 230 children (all HIV infected children that can be reached and the majority of children born from HIV infected mother with unknown status) benefit of food parcels. At the same time each semester HIV positive children benefit of a set of stationary and clothing for school as part of social support program. During reported period the number of HIV positive children that benefited of clothing and school supplies was 123, exceeding by 23 the expected number of 100. This fact has determined the need to reallocate additional budget (from savings under other budget lines targeted at PLHIV support) in order to cover additional twenty four sets of clothing and school supplies.
The indicator is overachieved. 
Reason for variance: The number of children primarily reached with social support is determined by the number of children diagnosed with HIV that are reached and by the number of children born from HIV positive mothers immediately before and during the reported period. 
[Un total de 257 copii au beneficiat de suport social în prima jumate a anului 2014 (acoperiți primar), dintre care 123  copii HIV infectați și 134 copii afectați de HIV. În același timp, în fiecare trimestru, 230 copii (toți copiii infectați cu HIV, care pot fi acoperiți cu servicii, și majoritatea copiilor născuți din mame infectate cu HIV) beneficiază de un set de haine și rechizite școlare ca parte a programului de acordare a suportului social. Pe parcursul perioadei de raportare, numărul de copii HIV infectați care au primit un set de haine și rechizite școlare a crescut la 123, depășind cu 23 unități numărul planificat de 100. Acest fapt a determinat necesitatea realocării unui buget adițional (din economiile obținute în cadrul altor linii bugetare orientate către suportul PTH) pentru a acoperi douazeci și patru seturi suplimentare de îmbrăcăminte și rechizite școlare. 
Indicatorul este depășit. 
Cauza variației: Numărul de copii primar acoperiți cu suport social este determinat de numărul de copii diagnosticați cu HIV și numărul copiilor născuți din mame HIV pozitive imediat înainte și în perioada de raportate.]</v>
      </c>
      <c r="E33" s="762"/>
      <c r="F33" s="762"/>
      <c r="G33" s="763"/>
      <c r="H33" s="181"/>
      <c r="I33" s="770"/>
      <c r="J33" s="771"/>
      <c r="K33" s="771"/>
      <c r="L33" s="771"/>
      <c r="M33" s="771"/>
      <c r="N33" s="772"/>
      <c r="O33" s="35"/>
    </row>
    <row r="34" spans="1:15" ht="21.75" customHeight="1">
      <c r="A34" s="146"/>
      <c r="B34" s="402" t="s">
        <v>112</v>
      </c>
      <c r="C34" s="185"/>
      <c r="D34" s="761" t="str">
        <f>IF(ISBLANK(Programmatic!L22),"",(Programmatic!L22))</f>
        <v>During S2, 2014 a total of 40 PWIDs on opioid substitution therapy (primarily reached) received at least 3 support services from the package (psycho-social support, self-support groups, peer to peer education, distributions of information materials, food support, etc.) offered by NGOs working in PWUDs rehabilitation. 
The indicator is achieved in proportion of 91%.
Reason for variance: The target for reported period (40 persons primarily reached per Semester) have been achieved (40 new people reached in S2, 2015). The underachievement of the cumulative target for the reported period (over program term) is determined by the variation between targets settled and results registered for period one of grant implementation caused by continuously decreasing enrolment of new patients in OST. As the number of OST patients that can be covered with psycho-support services is directly tied to new patients enrolled in OST, the enrolment dynamics in period one has determined and directly impacted the achievement of targets for this indicator and is affecting the results for the reported period as the target is cumulative over program term.  
[Pe parcursul semestrului 2, 2015 un total de 40 CDI aflați în terapia de substituție cu metadonă (primar acoperiți) au primit cel puțin 3 servicii de suport social din pachetul serviciilor (sprijin psiho-social, grupuri de suport reciproc, educație de la egal la egal, diseminarea materialelor informaționale și distribuirea pachetelor alimentare și igienice) oferite în cadrul centrelor de zi de către ONG-urile care lucrează în domeniul reabilitării CDI.
Indicatorul este substanțial atins (91%). 
Cauza variației: Ținta pentru perioada raportata (40 persoane noi primar acoperite) a fost atinsa (40 persoane acoperite). Neatingerea țintei cumulative pentru perioada raportată (pe toata perioada grantului) este determinată de variația între ținta stabilită și rezultatele înregistrate pentru perioada întâi de implementare a grantului cauzată de scăderea continua a pacienților înrolați în TSO. Numărul de pacienți în TSO care pot fi acoperiți cu servicii de suport psiho-social este direct proporțional cu numărul pacienților noi înrolați în TSO, dinamica înrolării în perioada întâi a determinat și a afectat direct atingerea țintei pentru acest indicator și afectează rezultatul pentru perioada dată deoarece ținta propusă se calculează cumulativ pentru toată perioada grantului.]</v>
      </c>
      <c r="E34" s="762"/>
      <c r="F34" s="762"/>
      <c r="G34" s="763"/>
      <c r="H34" s="181"/>
      <c r="I34" s="770"/>
      <c r="J34" s="771"/>
      <c r="K34" s="771"/>
      <c r="L34" s="771"/>
      <c r="M34" s="771"/>
      <c r="N34" s="772"/>
      <c r="O34" s="35"/>
    </row>
    <row r="35" spans="1:15" ht="21.75" customHeight="1">
      <c r="A35" s="146"/>
      <c r="B35" s="402" t="s">
        <v>113</v>
      </c>
      <c r="C35" s="228"/>
      <c r="D35" s="761" t="str">
        <f>IF(ISBLANK(Programmatic!L23),"",(Programmatic!L23))</f>
        <v xml:space="preserve">A total of 118 persons were trained in S2, 2015, from them: 29 medical MDT staff were trained in international training in Clinica Lavra - 15 in ARV treatment and OI in children and 14 in a TOT for ART, 25 non-medical specialists from Social regional center and NGO providing care and support to PLHIV were trained in services assessment, qualitative and quantitative assessment methods and tools, 26 VCT counselors from district hospital were trained in voluntary counseling and testing and counseling particularities for different populations and 38 infection disease doctors were trained in care to people living with HIV.                                                                                                                       
The indicator is overachieved. Reason for variance: one additional training for infection disease doctors has been conducted, with TGF approval, from savings under budget lines 3.1.2 and 3.1.4.
[În total 118 persoane au fost instruite în semestrul 2, 2015, dintre care: 29 lucrători medicali au fost instruiți in traininguri internaționale în Clinica Lavra - 15 în tratamentul ARV și IO la copii și 14  în TOT pentru ARV, 25 lucrători non-medicali din centrele social regionale și ONG-urile  care oferă servicii de îngrijire și suport pentru PTH au fost instruiți în metode calitative și cantitative de cercetare, instrumente de evaluare a serviciilor prestate în cadrul organizației; 26 consilieri din cabinetele CTV ale spitalelor raionale au fost instruiți în consiliere și testare voluntară și particularități de consiliere la diferite grupuri de populație si 38 de medici infecționiști au fost instruiți în îngrijire pentru persoanele care trăiesc cu HIV.
Indicatorul este depășit. Cauza variației: o instruire adițională pentru medici infecționiști din cadrul liniei bugetare 3.1.2 si 3. 1. 4 a fost efectuata, cu aprobarea FG, din economii].
</v>
      </c>
      <c r="E35" s="762"/>
      <c r="F35" s="762"/>
      <c r="G35" s="763"/>
      <c r="H35" s="181"/>
      <c r="I35" s="770"/>
      <c r="J35" s="771"/>
      <c r="K35" s="771"/>
      <c r="L35" s="771"/>
      <c r="M35" s="771"/>
      <c r="N35" s="772"/>
      <c r="O35" s="35"/>
    </row>
    <row r="36" spans="1:15" ht="21.75" customHeight="1">
      <c r="A36" s="146"/>
      <c r="B36" s="402" t="s">
        <v>125</v>
      </c>
      <c r="C36" s="228"/>
      <c r="D36" s="761" t="str">
        <f>IF(ISBLANK(Programmatic!L24),"",(Programmatic!L24))</f>
        <v xml:space="preserve">A total of 926 PLHIV received food parcels during S2, 2014, primarily reached. Each quarter 800 PLHIV, from both civilian and penitentiary sectors, selected based on socio-economic vulnerability, benefit of food parcels for better adherence to treatment.
The indicator is overachieved. 
The reason for variance: The target for this indicator is annual and has been calculated based on an estimated quarterly increase by 10% in the number of new beneficiaries which usually come from the ranks of new ART enrolled patients. 800 food parcels are distributed quarterly to PLHIV, selected based on a set of unique socio-economic vulnerability criteria. Subject to the degree of vulnerability the ranking of potential beneficiaries changes from one quarter to another, including previously reached and primarily reached beneficiaries (mostly from those newly enrolled in ART) that ranks in the top 800 most vulnerable ART patients.
În total 926 PTH au primit pachete alimentare pe parcursul semestrului 2, 2014 (primar acoperiți). In fiecare trimestru 800 PTH, din sectorul civil și penitenciar, selectate pe baza vulnerabilității socio-economice, beneficiază de pachete alimentare pentru o aderenta mai buna la tratament. Indicatorul este depășit. Motivul pentru variație: ținta pentru acest indicator este anuala și a fost calculata pe baza la o creștere estimată trimestriala de 10% din numărul de noi beneficiari care, de obicei, provin din rândurile de noi pacienți înrolați în ARV. 800 pachete alimentare sunt distribuite trimestrial PTH, selectate pe baza unui set de criterii unice de vulnerabilitate socio-economice. În funcție de gradul de vulnerabilitate al potențialilor beneficiari clasamentul se modifică de la un trimestru la altul, incluzând beneficiari acoperiți anterior și acoperiți primar (preponderent din rândul pacienților noi înrolați în ARV) care se clasează în primii cei mai vulnerabili  800 pacienți în ARV.  </v>
      </c>
      <c r="E36" s="762"/>
      <c r="F36" s="762"/>
      <c r="G36" s="763"/>
      <c r="H36" s="181"/>
      <c r="I36" s="770"/>
      <c r="J36" s="771"/>
      <c r="K36" s="771"/>
      <c r="L36" s="771"/>
      <c r="M36" s="771"/>
      <c r="N36" s="772"/>
      <c r="O36" s="35"/>
    </row>
    <row r="37" spans="1:15" ht="21.75" customHeight="1">
      <c r="A37" s="146"/>
      <c r="B37" s="402" t="s">
        <v>126</v>
      </c>
      <c r="C37" s="228"/>
      <c r="D37" s="761" t="str">
        <f>IF(ISBLANK(Programmatic!L25),"",(Programmatic!L25))</f>
        <v>A total of 81 individuals out of 134 that initiated OST during P17-P18 (January-June 2014) have completed at least 6 months of continuous treatment on OST. Currently OST is provided in three sites: Republican Narcological Dispensary, Balti Municipal Hospital and the Department of Penitentiary Institutions (in 11 penitentiary institutions: #1 Taraclia, #5 Cahul, #6 Soroca, #7 Rusca, #9 Pruncul, #11 Balti, #15 Cricova, #16 Pruncul, #17 Rezina, #18 Branesti, #13 Chisinau).
The indicator is achieved in proportion of 100%.
[Un număr total de 81 de persoane din 134 care au inițiat TSO în P17-P18 (Ianuarie-Iunie 2014) au finalizat cel puțin 6 luni de tratament TSO continuu. Actualmente TSO este distribuită în trei site-uri: Dispensarul Republican de Narcologie, Spitalul Municipal Bălți și Departamentul Instituțiilor Penitenciare (în 11 instituții penitenciare: #1 Taraclia,  #5 Cahul, #6 Soroca, #7 Rusca, #9 Pruncul, #11 Blti, #15 Cricova, #16 Pruncul, #17 Rezina, #18 Brănești, #13 Chișinău). Indicatorul este realizat în proporție de 100%</v>
      </c>
      <c r="E37" s="762"/>
      <c r="F37" s="762"/>
      <c r="G37" s="763"/>
      <c r="H37" s="181"/>
      <c r="I37" s="770"/>
      <c r="J37" s="771"/>
      <c r="K37" s="771"/>
      <c r="L37" s="771"/>
      <c r="M37" s="771"/>
      <c r="N37" s="772"/>
      <c r="O37" s="35"/>
    </row>
    <row r="38" spans="1:15" ht="21.75" customHeight="1">
      <c r="A38" s="146"/>
      <c r="B38" s="402" t="s">
        <v>127</v>
      </c>
      <c r="C38" s="228"/>
      <c r="D38" s="761" t="str">
        <f>IF(ISBLANK(Programmatic!L26),"",(Programmatic!L26))</f>
        <v>A total of 12 litigation cases have been initiated during S2, 2014. The cases were related to disclosure of confidential medical information related to HIV status, unethical and unprofessional behavior of medical staff, refusal to offer medical services, adoption of children by HIV positive persons, inhuman/ degrading treatment of detained PLHIV, etc.
The indicator is overachieved. The number of litigation cases is determined by the nature of cases handled by project lowers and have no financial impact as the litigator is fool day project consultant with fix remuneration.    
[Pe parcursul semestrului 2, 2015, au fost inițiate 12 litigii. Cazurile au fost legate de divulgarea informației medicale confidențiale legate de statutul HIV, comportament neetic și neprofesional al personalului medical, refuzul de a acorda servicii medicale, problema adopției copiilor de către persoane HIV pozitive, etc. 
Indicatorul este depășit. Cauza variației: Numărul de cazuri litigate depinde de natura cazurilor administrate de către avocații proiectului și nu are impact financiar deoarece litigatorul este angajat în proiect cu zi plină de lucru și are remunerare fixă.]</v>
      </c>
      <c r="E38" s="762"/>
      <c r="F38" s="762"/>
      <c r="G38" s="763"/>
      <c r="H38" s="181"/>
      <c r="I38" s="770"/>
      <c r="J38" s="771"/>
      <c r="K38" s="771"/>
      <c r="L38" s="771"/>
      <c r="M38" s="771"/>
      <c r="N38" s="772"/>
      <c r="O38" s="35"/>
    </row>
    <row r="39" spans="1:15" ht="21.75" customHeight="1">
      <c r="A39" s="146"/>
      <c r="B39" s="402" t="s">
        <v>128</v>
      </c>
      <c r="C39" s="228"/>
      <c r="D39" s="761" t="str">
        <f>IF(ISBLANK(Programmatic!L27),"",(Programmatic!L27))</f>
        <v>During S2, 2014 a total of 116 consultancies were offered remotely by traveling to project sites of 4 lawyers. They offered legal assistance related to issues of legal, civil (including disclosure of HIV status), administrative nature to all PLHIV in need. 
The indicator is overachieved. 
Reason for variance: The number of consultancies offered by project lawyers is determined by the request of legal support from PLHIV and can vary from one period to another. With the opening of Social Regional Centers project lawyer provide services within the Centers facilities (with a specific periodicity) bringing this way services closer to the beneficiary and increasing their access to legal support. The increase in number of consultancies provided has no financial impact as the layers are fool day project consultants with fix remuneration.   
[Pe parcursul semestrului 2, 2014 au fost prestate 116 consultații în teren de către 4 avocați. Aceștia au oferit asistență juridică pe aspecte de natură legală, civilă (inclusiv divulgarea statutului HIV) și administrative ale tuturor PTH care au solicitat asistență juridici).
Indicatorul este depășit. 
Cauza variației: Numărul de consultații oferite de către avocații proiectului este determinat de cererea de asistență juridică din partea PTH și poate varia de la o perioadă la alta. Odată cu deschiderea Centrelor Sociale Regionale avocații prestează servicii în cadrul centrelor (cu o anumită periodicitate) aducând astfel serviciile mai aproape de beneficiar și crescând accesul la asistența juridică. Creșterea numărului de servicii de consultanță juridică prestate nu are impact financiar deoarece avocații sunt angajați în proiect cu zi plină de lucru și au remunerare fixă.]</v>
      </c>
      <c r="E39" s="762"/>
      <c r="F39" s="762"/>
      <c r="G39" s="763"/>
      <c r="H39" s="181"/>
      <c r="I39" s="770"/>
      <c r="J39" s="771"/>
      <c r="K39" s="771"/>
      <c r="L39" s="771"/>
      <c r="M39" s="771"/>
      <c r="N39" s="772"/>
      <c r="O39" s="35"/>
    </row>
    <row r="40" spans="1:15" ht="21.75" customHeight="1">
      <c r="A40" s="146"/>
      <c r="B40" s="402" t="s">
        <v>129</v>
      </c>
      <c r="C40" s="228"/>
      <c r="D40" s="761" t="str">
        <f>IF(ISBLANK(Programmatic!L28),"",(Programmatic!L28))</f>
        <v>A total number of 53 representatives of organizations that provide services to PLHIV and key populations were trained during S2, 2014, from them: 27 people were trained in strategic planning and 26 in fundraising. 
The indicator is overachieved. Reason for variance: due the interest from community organizations and the fact that the costs for the selected venue allowed to increase the number of participants, a higher number of people have been included in each events compared to 25 planned.  
[Un număr total de 53 reprezentanți ai organizațiilor care prestează servicii PTH și ai populațiilor cheie au fost instruiți în S2, 2014, dintre care: 27 persoane au fost instruite în planificarea strategica și 26 în fundraising. 
Indicatorul este depășit. Motivul pentru variație: numărul persoanelor interesate în audierea cursului a fost mai mare decât cel planificat și datorită faptului că costurile de desfășurare a evenimentului au permis, numărul participanților a fost un pic mai mare decît 25 planificați.]</v>
      </c>
      <c r="E40" s="762"/>
      <c r="F40" s="762"/>
      <c r="G40" s="763"/>
      <c r="H40" s="181"/>
      <c r="I40" s="770"/>
      <c r="J40" s="771"/>
      <c r="K40" s="771"/>
      <c r="L40" s="771"/>
      <c r="M40" s="771"/>
      <c r="N40" s="772"/>
      <c r="O40" s="35"/>
    </row>
    <row r="41" spans="1:15" ht="21.75" customHeight="1" thickBot="1">
      <c r="A41" s="146"/>
      <c r="B41" s="402" t="s">
        <v>130</v>
      </c>
      <c r="C41" s="186"/>
      <c r="D41" s="761" t="e">
        <f>IF(ISBLANK(Programmatic!#REF!),"",(Programmatic!#REF!))</f>
        <v>#REF!</v>
      </c>
      <c r="E41" s="762"/>
      <c r="F41" s="762"/>
      <c r="G41" s="763"/>
      <c r="H41" s="181"/>
      <c r="I41" s="818"/>
      <c r="J41" s="819"/>
      <c r="K41" s="819"/>
      <c r="L41" s="819"/>
      <c r="M41" s="819"/>
      <c r="N41" s="820"/>
      <c r="O41" s="35"/>
    </row>
    <row r="42" spans="1:15" ht="14.25">
      <c r="A42" s="146"/>
      <c r="B42" s="187"/>
      <c r="C42" s="187"/>
      <c r="D42" s="188"/>
      <c r="E42" s="146"/>
      <c r="F42" s="187"/>
      <c r="G42" s="187"/>
      <c r="H42" s="146"/>
      <c r="I42" s="189"/>
      <c r="J42" s="146"/>
      <c r="K42" s="190"/>
      <c r="L42" s="190"/>
      <c r="M42" s="190"/>
      <c r="N42" s="190"/>
      <c r="O42" s="35"/>
    </row>
  </sheetData>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D13:G13"/>
    <mergeCell ref="I12:N12"/>
    <mergeCell ref="D12:G12"/>
    <mergeCell ref="B2:N2"/>
    <mergeCell ref="E5:K5"/>
    <mergeCell ref="E6:K6"/>
    <mergeCell ref="E3:K3"/>
    <mergeCell ref="C4:D4"/>
    <mergeCell ref="E4:K4"/>
    <mergeCell ref="C3:D3"/>
    <mergeCell ref="I11:N11"/>
    <mergeCell ref="I32:N32"/>
    <mergeCell ref="D33:G33"/>
    <mergeCell ref="I21:N21"/>
    <mergeCell ref="I22:N22"/>
    <mergeCell ref="I23:N23"/>
    <mergeCell ref="I29:N29"/>
    <mergeCell ref="I33:N33"/>
    <mergeCell ref="I30:N30"/>
    <mergeCell ref="I31:N31"/>
    <mergeCell ref="B26:N26"/>
    <mergeCell ref="B28:C28"/>
    <mergeCell ref="D22:G22"/>
    <mergeCell ref="D23:G23"/>
    <mergeCell ref="I18:N18"/>
    <mergeCell ref="D18:G18"/>
    <mergeCell ref="D20:G20"/>
    <mergeCell ref="D38:G38"/>
    <mergeCell ref="D37:G37"/>
    <mergeCell ref="D19:G19"/>
    <mergeCell ref="D21:G21"/>
    <mergeCell ref="D36:G36"/>
    <mergeCell ref="D30:G30"/>
    <mergeCell ref="D31:G31"/>
    <mergeCell ref="D24:G24"/>
    <mergeCell ref="D41:G41"/>
    <mergeCell ref="I28:N28"/>
    <mergeCell ref="D40:G40"/>
    <mergeCell ref="D34:G34"/>
    <mergeCell ref="D29:G29"/>
    <mergeCell ref="D28:G28"/>
    <mergeCell ref="I34:N34"/>
    <mergeCell ref="D35:G35"/>
    <mergeCell ref="D32:G32"/>
    <mergeCell ref="D39:G39"/>
    <mergeCell ref="I40:N40"/>
    <mergeCell ref="I41:N41"/>
    <mergeCell ref="I35:N35"/>
    <mergeCell ref="I36:N36"/>
    <mergeCell ref="I37:N37"/>
    <mergeCell ref="I38:N38"/>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P5" sqref="P5"/>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690" t="str">
        <f>+"Dashboard:  "&amp;"  "&amp;IF(+'Data Entry'!C4="Please Select","",'Data Entry'!C4&amp;" - ")&amp;IF('Data Entry'!G6="Please Select","",'Data Entry'!G6)</f>
        <v>Dashboard:    Moldova - HIV / AIDS</v>
      </c>
      <c r="C2" s="690"/>
      <c r="D2" s="690"/>
      <c r="E2" s="690"/>
      <c r="F2" s="690"/>
      <c r="G2" s="690"/>
      <c r="H2" s="690"/>
      <c r="I2" s="690"/>
      <c r="J2" s="690"/>
      <c r="K2" s="690"/>
      <c r="L2" s="690"/>
    </row>
    <row r="3" spans="1:13">
      <c r="B3" s="24" t="str">
        <f>+IF('Data Entry'!G8="Please Select","",'Data Entry'!G8)</f>
        <v>SSF (Round 8)</v>
      </c>
      <c r="C3" s="700" t="str">
        <f>+IF('Data Entry'!I8="Please Select","",'Data Entry'!I8)</f>
        <v xml:space="preserve">Piriod 2 </v>
      </c>
      <c r="D3" s="700"/>
      <c r="E3" s="692"/>
      <c r="F3" s="692"/>
      <c r="G3" s="692"/>
      <c r="H3" s="692"/>
      <c r="I3" s="692"/>
      <c r="J3" s="693" t="str">
        <f>+'Data Entry'!B16</f>
        <v>Report Period:</v>
      </c>
      <c r="K3" s="693"/>
      <c r="L3" s="194" t="str">
        <f>+'Data Entry'!C16</f>
        <v>P12</v>
      </c>
      <c r="M3" s="83"/>
    </row>
    <row r="4" spans="1:13">
      <c r="B4" s="24" t="str">
        <f>+'Data Entry'!B12</f>
        <v>Latest Rating:</v>
      </c>
      <c r="C4" s="833" t="str">
        <f>+IF('Data Entry'!C12="Please Select","",'Data Entry'!C12)</f>
        <v>A1</v>
      </c>
      <c r="D4" s="833"/>
      <c r="E4" s="692" t="str">
        <f>+'Data Entry'!C8</f>
        <v>PAS Center</v>
      </c>
      <c r="F4" s="692"/>
      <c r="G4" s="692"/>
      <c r="H4" s="692"/>
      <c r="I4" s="692"/>
      <c r="J4" s="693" t="str">
        <f>+'Data Entry'!D16</f>
        <v>From:</v>
      </c>
      <c r="K4" s="704"/>
      <c r="L4" s="195" t="str">
        <f>+IF(ISBLANK('Data Entry'!E16),"",'Data Entry'!E16)</f>
        <v>July 01, 2014</v>
      </c>
    </row>
    <row r="5" spans="1:13" ht="18.75" customHeight="1">
      <c r="B5" s="24"/>
      <c r="C5" s="24"/>
      <c r="D5" s="692" t="str">
        <f>+'Data Entry'!G4</f>
        <v>Reducing HIV-related burden in the Republic of Moldova</v>
      </c>
      <c r="E5" s="692"/>
      <c r="F5" s="692"/>
      <c r="G5" s="692"/>
      <c r="H5" s="692"/>
      <c r="I5" s="692"/>
      <c r="J5" s="692"/>
      <c r="K5" s="24" t="str">
        <f>+'Data Entry'!F16</f>
        <v>To:</v>
      </c>
      <c r="L5" s="195" t="str">
        <f>+IF(ISBLANK('Data Entry'!G16),"",'Data Entry'!G16)</f>
        <v>December 31, 2014</v>
      </c>
    </row>
    <row r="6" spans="1:13" ht="18.75">
      <c r="B6" s="23"/>
      <c r="C6" s="24"/>
      <c r="D6" s="25"/>
      <c r="E6" s="678" t="s">
        <v>376</v>
      </c>
      <c r="F6" s="678"/>
      <c r="G6" s="678"/>
      <c r="H6" s="678"/>
      <c r="I6" s="678"/>
    </row>
    <row r="7" spans="1:13" ht="18.75">
      <c r="E7" s="70"/>
      <c r="F7" s="70"/>
      <c r="G7" s="70"/>
      <c r="H7" s="70"/>
      <c r="I7" s="70"/>
    </row>
    <row r="8" spans="1:13" s="33" customFormat="1" ht="21" customHeight="1" thickBot="1">
      <c r="B8" s="74" t="s">
        <v>100</v>
      </c>
      <c r="C8" s="74"/>
      <c r="D8" s="74"/>
      <c r="E8" s="74"/>
      <c r="F8" s="74"/>
      <c r="G8" s="74"/>
      <c r="H8" s="74"/>
      <c r="I8" s="74"/>
      <c r="J8" s="74"/>
      <c r="K8" s="74"/>
      <c r="L8" s="74"/>
    </row>
    <row r="9" spans="1:13" ht="6" customHeight="1">
      <c r="B9" s="72"/>
    </row>
    <row r="10" spans="1:13">
      <c r="B10" s="863" t="s">
        <v>428</v>
      </c>
      <c r="C10" s="864"/>
      <c r="D10" s="864"/>
      <c r="E10" s="864"/>
      <c r="F10" s="864"/>
      <c r="G10" s="864"/>
      <c r="H10" s="864"/>
      <c r="I10" s="864"/>
      <c r="J10" s="864"/>
      <c r="K10" s="864"/>
      <c r="L10" s="865"/>
    </row>
    <row r="11" spans="1:13">
      <c r="B11" s="866"/>
      <c r="C11" s="867"/>
      <c r="D11" s="867"/>
      <c r="E11" s="867"/>
      <c r="F11" s="867"/>
      <c r="G11" s="867"/>
      <c r="H11" s="867"/>
      <c r="I11" s="867"/>
      <c r="J11" s="867"/>
      <c r="K11" s="867"/>
      <c r="L11" s="868"/>
    </row>
    <row r="12" spans="1:13" ht="15.75" thickBot="1"/>
    <row r="13" spans="1:13" ht="26.25" customHeight="1" thickBot="1">
      <c r="B13" s="847" t="s">
        <v>309</v>
      </c>
      <c r="C13" s="848"/>
      <c r="D13" s="848"/>
      <c r="E13" s="849"/>
      <c r="F13" s="75"/>
      <c r="G13" s="850" t="s">
        <v>133</v>
      </c>
      <c r="H13" s="827"/>
      <c r="I13" s="827"/>
      <c r="J13" s="76" t="s">
        <v>101</v>
      </c>
      <c r="K13" s="827" t="s">
        <v>297</v>
      </c>
      <c r="L13" s="828"/>
    </row>
    <row r="14" spans="1:13">
      <c r="A14" s="837" t="s">
        <v>310</v>
      </c>
      <c r="B14" s="840"/>
      <c r="C14" s="840"/>
      <c r="D14" s="840"/>
      <c r="E14" s="841"/>
      <c r="F14" s="44"/>
      <c r="G14" s="842"/>
      <c r="H14" s="834"/>
      <c r="I14" s="834"/>
      <c r="J14" s="834"/>
      <c r="K14" s="834"/>
      <c r="L14" s="835"/>
    </row>
    <row r="15" spans="1:13">
      <c r="A15" s="838"/>
      <c r="B15" s="840"/>
      <c r="C15" s="840"/>
      <c r="D15" s="840"/>
      <c r="E15" s="841"/>
      <c r="F15" s="44"/>
      <c r="G15" s="843"/>
      <c r="H15" s="829"/>
      <c r="I15" s="829"/>
      <c r="J15" s="829"/>
      <c r="K15" s="829"/>
      <c r="L15" s="830"/>
    </row>
    <row r="16" spans="1:13">
      <c r="A16" s="838"/>
      <c r="B16" s="840"/>
      <c r="C16" s="840"/>
      <c r="D16" s="840"/>
      <c r="E16" s="841"/>
      <c r="F16" s="44"/>
      <c r="G16" s="843"/>
      <c r="H16" s="829"/>
      <c r="I16" s="829"/>
      <c r="J16" s="829"/>
      <c r="K16" s="829"/>
      <c r="L16" s="830"/>
    </row>
    <row r="17" spans="1:12">
      <c r="A17" s="838"/>
      <c r="B17" s="840"/>
      <c r="C17" s="840"/>
      <c r="D17" s="840"/>
      <c r="E17" s="841"/>
      <c r="F17" s="44"/>
      <c r="G17" s="843"/>
      <c r="H17" s="829"/>
      <c r="I17" s="829"/>
      <c r="J17" s="829"/>
      <c r="K17" s="829"/>
      <c r="L17" s="830"/>
    </row>
    <row r="18" spans="1:12">
      <c r="A18" s="838"/>
      <c r="B18" s="840"/>
      <c r="C18" s="840"/>
      <c r="D18" s="840"/>
      <c r="E18" s="841"/>
      <c r="F18" s="44"/>
      <c r="G18" s="872"/>
      <c r="H18" s="873"/>
      <c r="I18" s="874"/>
      <c r="J18" s="829"/>
      <c r="K18" s="829"/>
      <c r="L18" s="830"/>
    </row>
    <row r="19" spans="1:12" ht="30.75" customHeight="1">
      <c r="A19" s="838"/>
      <c r="B19" s="840"/>
      <c r="C19" s="840"/>
      <c r="D19" s="840"/>
      <c r="E19" s="841"/>
      <c r="F19" s="44"/>
      <c r="G19" s="856"/>
      <c r="H19" s="857"/>
      <c r="I19" s="875"/>
      <c r="J19" s="829"/>
      <c r="K19" s="829"/>
      <c r="L19" s="830"/>
    </row>
    <row r="20" spans="1:12">
      <c r="A20" s="838"/>
      <c r="B20" s="840"/>
      <c r="C20" s="840"/>
      <c r="D20" s="840"/>
      <c r="E20" s="841"/>
      <c r="F20" s="44"/>
      <c r="G20" s="843"/>
      <c r="H20" s="829"/>
      <c r="I20" s="829"/>
      <c r="J20" s="829"/>
      <c r="K20" s="829"/>
      <c r="L20" s="830"/>
    </row>
    <row r="21" spans="1:12">
      <c r="A21" s="838"/>
      <c r="B21" s="840"/>
      <c r="C21" s="840"/>
      <c r="D21" s="840"/>
      <c r="E21" s="841"/>
      <c r="F21" s="44"/>
      <c r="G21" s="843"/>
      <c r="H21" s="829"/>
      <c r="I21" s="829"/>
      <c r="J21" s="829"/>
      <c r="K21" s="829"/>
      <c r="L21" s="830"/>
    </row>
    <row r="22" spans="1:12">
      <c r="A22" s="838"/>
      <c r="B22" s="840"/>
      <c r="C22" s="840"/>
      <c r="D22" s="840"/>
      <c r="E22" s="841"/>
      <c r="F22" s="44"/>
      <c r="G22" s="843"/>
      <c r="H22" s="829"/>
      <c r="I22" s="829"/>
      <c r="J22" s="829"/>
      <c r="K22" s="829"/>
      <c r="L22" s="830"/>
    </row>
    <row r="23" spans="1:12">
      <c r="A23" s="838"/>
      <c r="B23" s="840"/>
      <c r="C23" s="840"/>
      <c r="D23" s="840"/>
      <c r="E23" s="841"/>
      <c r="F23" s="44"/>
      <c r="G23" s="843"/>
      <c r="H23" s="829"/>
      <c r="I23" s="829"/>
      <c r="J23" s="829"/>
      <c r="K23" s="829"/>
      <c r="L23" s="830"/>
    </row>
    <row r="24" spans="1:12">
      <c r="A24" s="838"/>
      <c r="B24" s="840"/>
      <c r="C24" s="840"/>
      <c r="D24" s="840"/>
      <c r="E24" s="841"/>
      <c r="F24" s="44"/>
      <c r="G24" s="843"/>
      <c r="H24" s="829"/>
      <c r="I24" s="829"/>
      <c r="J24" s="829"/>
      <c r="K24" s="829"/>
      <c r="L24" s="830"/>
    </row>
    <row r="25" spans="1:12" ht="15.75" thickBot="1">
      <c r="A25" s="839"/>
      <c r="B25" s="869"/>
      <c r="C25" s="869"/>
      <c r="D25" s="869"/>
      <c r="E25" s="870"/>
      <c r="F25" s="44"/>
      <c r="G25" s="852"/>
      <c r="H25" s="831"/>
      <c r="I25" s="831"/>
      <c r="J25" s="831"/>
      <c r="K25" s="831"/>
      <c r="L25" s="832"/>
    </row>
    <row r="27" spans="1:12" ht="18.75">
      <c r="E27" s="851" t="s">
        <v>339</v>
      </c>
      <c r="F27" s="851"/>
      <c r="G27" s="851"/>
      <c r="H27" s="851"/>
      <c r="I27" s="851"/>
    </row>
    <row r="28" spans="1:12" ht="6" customHeight="1">
      <c r="E28" s="70"/>
      <c r="F28" s="70"/>
      <c r="G28" s="70"/>
      <c r="H28" s="70"/>
      <c r="I28" s="70"/>
    </row>
    <row r="29" spans="1:12" s="33" customFormat="1" ht="21" customHeight="1" thickBot="1">
      <c r="B29" s="74" t="s">
        <v>100</v>
      </c>
      <c r="C29" s="74"/>
      <c r="D29" s="74"/>
      <c r="E29" s="74"/>
      <c r="F29" s="74"/>
      <c r="G29" s="74"/>
      <c r="H29" s="74"/>
      <c r="I29" s="74"/>
      <c r="J29" s="74"/>
      <c r="K29" s="74"/>
      <c r="L29" s="74"/>
    </row>
    <row r="30" spans="1:12" ht="6" customHeight="1" thickBot="1">
      <c r="B30" s="72"/>
    </row>
    <row r="31" spans="1:12" ht="21.75" customHeight="1" thickBot="1">
      <c r="B31" s="847" t="s">
        <v>133</v>
      </c>
      <c r="C31" s="848"/>
      <c r="D31" s="848"/>
      <c r="E31" s="849"/>
      <c r="F31" s="75"/>
      <c r="G31" s="850" t="s">
        <v>324</v>
      </c>
      <c r="H31" s="827"/>
      <c r="I31" s="827"/>
      <c r="J31" s="76" t="s">
        <v>299</v>
      </c>
      <c r="K31" s="827" t="s">
        <v>297</v>
      </c>
      <c r="L31" s="828"/>
    </row>
    <row r="32" spans="1:12" ht="14.25" customHeight="1">
      <c r="A32" s="837" t="s">
        <v>311</v>
      </c>
      <c r="B32" s="853"/>
      <c r="C32" s="854"/>
      <c r="D32" s="854"/>
      <c r="E32" s="855"/>
      <c r="F32" s="44"/>
      <c r="G32" s="871"/>
      <c r="H32" s="825"/>
      <c r="I32" s="825"/>
      <c r="J32" s="825"/>
      <c r="K32" s="825"/>
      <c r="L32" s="826"/>
    </row>
    <row r="33" spans="1:12" ht="16.5" customHeight="1">
      <c r="A33" s="838"/>
      <c r="B33" s="856"/>
      <c r="C33" s="857"/>
      <c r="D33" s="857"/>
      <c r="E33" s="858"/>
      <c r="F33" s="44"/>
      <c r="G33" s="836"/>
      <c r="H33" s="821"/>
      <c r="I33" s="821"/>
      <c r="J33" s="821"/>
      <c r="K33" s="821"/>
      <c r="L33" s="822"/>
    </row>
    <row r="34" spans="1:12">
      <c r="A34" s="838"/>
      <c r="B34" s="844" t="str">
        <f>IF(Recommendations!I43="","",Recommendations!I43)</f>
        <v/>
      </c>
      <c r="C34" s="845"/>
      <c r="D34" s="845"/>
      <c r="E34" s="846"/>
      <c r="F34" s="44"/>
      <c r="G34" s="836"/>
      <c r="H34" s="821"/>
      <c r="I34" s="821"/>
      <c r="J34" s="821"/>
      <c r="K34" s="821"/>
      <c r="L34" s="822"/>
    </row>
    <row r="35" spans="1:12">
      <c r="A35" s="838"/>
      <c r="B35" s="844"/>
      <c r="C35" s="845"/>
      <c r="D35" s="845"/>
      <c r="E35" s="846"/>
      <c r="F35" s="44"/>
      <c r="G35" s="836"/>
      <c r="H35" s="821"/>
      <c r="I35" s="821"/>
      <c r="J35" s="821"/>
      <c r="K35" s="821"/>
      <c r="L35" s="822"/>
    </row>
    <row r="36" spans="1:12">
      <c r="A36" s="838"/>
      <c r="B36" s="844" t="str">
        <f>+IF(Recommendations!I53="","",Recommendations!I53)</f>
        <v/>
      </c>
      <c r="C36" s="845"/>
      <c r="D36" s="845"/>
      <c r="E36" s="846"/>
      <c r="F36" s="44"/>
      <c r="G36" s="836"/>
      <c r="H36" s="821"/>
      <c r="I36" s="821"/>
      <c r="J36" s="821"/>
      <c r="K36" s="821"/>
      <c r="L36" s="822"/>
    </row>
    <row r="37" spans="1:12">
      <c r="A37" s="838"/>
      <c r="B37" s="844"/>
      <c r="C37" s="845"/>
      <c r="D37" s="845"/>
      <c r="E37" s="846"/>
      <c r="F37" s="44"/>
      <c r="G37" s="836"/>
      <c r="H37" s="821"/>
      <c r="I37" s="821"/>
      <c r="J37" s="821"/>
      <c r="K37" s="821"/>
      <c r="L37" s="822"/>
    </row>
    <row r="38" spans="1:12">
      <c r="A38" s="838"/>
      <c r="B38" s="844"/>
      <c r="C38" s="845"/>
      <c r="D38" s="845"/>
      <c r="E38" s="846"/>
      <c r="F38" s="44"/>
      <c r="G38" s="836"/>
      <c r="H38" s="821"/>
      <c r="I38" s="821"/>
      <c r="J38" s="821"/>
      <c r="K38" s="821"/>
      <c r="L38" s="822"/>
    </row>
    <row r="39" spans="1:12">
      <c r="A39" s="838"/>
      <c r="B39" s="844"/>
      <c r="C39" s="845"/>
      <c r="D39" s="845"/>
      <c r="E39" s="846"/>
      <c r="F39" s="44"/>
      <c r="G39" s="836"/>
      <c r="H39" s="821"/>
      <c r="I39" s="821"/>
      <c r="J39" s="821"/>
      <c r="K39" s="821"/>
      <c r="L39" s="822"/>
    </row>
    <row r="40" spans="1:12">
      <c r="A40" s="838"/>
      <c r="B40" s="844"/>
      <c r="C40" s="845"/>
      <c r="D40" s="845"/>
      <c r="E40" s="846"/>
      <c r="F40" s="44"/>
      <c r="G40" s="836"/>
      <c r="H40" s="821"/>
      <c r="I40" s="821"/>
      <c r="J40" s="821"/>
      <c r="K40" s="821"/>
      <c r="L40" s="822"/>
    </row>
    <row r="41" spans="1:12">
      <c r="A41" s="838"/>
      <c r="B41" s="844"/>
      <c r="C41" s="845"/>
      <c r="D41" s="845"/>
      <c r="E41" s="846"/>
      <c r="F41" s="44"/>
      <c r="G41" s="836"/>
      <c r="H41" s="821"/>
      <c r="I41" s="821"/>
      <c r="J41" s="821"/>
      <c r="K41" s="821"/>
      <c r="L41" s="822"/>
    </row>
    <row r="42" spans="1:12">
      <c r="A42" s="838"/>
      <c r="B42" s="844"/>
      <c r="C42" s="845"/>
      <c r="D42" s="845"/>
      <c r="E42" s="846"/>
      <c r="F42" s="44"/>
      <c r="G42" s="836"/>
      <c r="H42" s="821"/>
      <c r="I42" s="821"/>
      <c r="J42" s="821"/>
      <c r="K42" s="821"/>
      <c r="L42" s="822"/>
    </row>
    <row r="43" spans="1:12" ht="15.75" thickBot="1">
      <c r="A43" s="839"/>
      <c r="B43" s="859"/>
      <c r="C43" s="860"/>
      <c r="D43" s="860"/>
      <c r="E43" s="861"/>
      <c r="F43" s="44"/>
      <c r="G43" s="862"/>
      <c r="H43" s="823"/>
      <c r="I43" s="823"/>
      <c r="J43" s="823"/>
      <c r="K43" s="823"/>
      <c r="L43" s="824"/>
    </row>
  </sheetData>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40:E41"/>
    <mergeCell ref="J38:J39"/>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Foi de lucru</vt:lpstr>
      </vt:variant>
      <vt:variant>
        <vt:i4>10</vt:i4>
      </vt:variant>
      <vt:variant>
        <vt:lpstr>Zone denumite</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PrintA</vt:lpstr>
      <vt:lpstr>PrintDataF</vt:lpstr>
      <vt:lpstr>PrintDataM</vt:lpstr>
      <vt:lpstr>PrintF</vt:lpstr>
      <vt:lpstr>PrintGD</vt:lpstr>
      <vt:lpstr>Actions!PrintM</vt:lpstr>
      <vt:lpstr>PrintM</vt:lpstr>
      <vt:lpstr>PrintP</vt:lpstr>
      <vt:lpstr>PrintR</vt:lpstr>
      <vt:lpstr>Rating</vt:lpstr>
      <vt:lpstr>Round</vt:lpstr>
      <vt:lpstr>Actions!Zona_de_imprimat</vt:lpstr>
      <vt:lpstr>Finance!Zona_de_imprimat</vt:lpstr>
      <vt:lpstr>Management!Zona_de_imprimat</vt:lpstr>
      <vt:lpstr>Programmatic!Zona_de_imprimat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Sabina</cp:lastModifiedBy>
  <cp:lastPrinted>2015-06-05T09:04:48Z</cp:lastPrinted>
  <dcterms:created xsi:type="dcterms:W3CDTF">2008-11-20T16:06:13Z</dcterms:created>
  <dcterms:modified xsi:type="dcterms:W3CDTF">2015-06-05T09:05:05Z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