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workbookProtection lockStructure="1"/>
  <bookViews>
    <workbookView xWindow="0" yWindow="60" windowWidth="19320" windowHeight="9945" tabRatio="721" activeTab="6"/>
  </bookViews>
  <sheets>
    <sheet name="Meniu" sheetId="1" r:id="rId1"/>
    <sheet name="Lista Indicatorilor" sheetId="45" r:id="rId2"/>
    <sheet name="Introducerea datelor" sheetId="29" r:id="rId3"/>
    <sheet name="Detalii despre Grant" sheetId="27" r:id="rId4"/>
    <sheet name="Financiar" sheetId="30" r:id="rId5"/>
    <sheet name="Management" sheetId="35" r:id="rId6"/>
    <sheet name="Programatic" sheetId="37" r:id="rId7"/>
    <sheet name="Recomandari"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Financiar!$A$2:$K$31</definedName>
    <definedName name="_xlnm.Print_Area" localSheetId="5">Management!$A$1:$L$34</definedName>
    <definedName name="_xlnm.Print_Area" localSheetId="6">Programatic!$A$1:$Q$28</definedName>
    <definedName name="PrintA">Actions!$A$2:$L$34</definedName>
    <definedName name="PrintDataF">'Introducerea datelor'!$B$25:$J$65</definedName>
    <definedName name="PrintDataM">'Introducerea datelor'!$B$67:$H$111</definedName>
    <definedName name="PrintF">Financiar!$A$2:$K$31</definedName>
    <definedName name="PrintGD">'Detalii despre Grant'!$A$2:$J$13</definedName>
    <definedName name="PrintM" localSheetId="8">Actions!$A$2:$L$6</definedName>
    <definedName name="PrintM">Management!$A$2:$L$36</definedName>
    <definedName name="PrintP">Programatic!$A$2:$P$29</definedName>
    <definedName name="PrintR">Recomandari!$A$2:$N$40</definedName>
    <definedName name="Rating">Setup!$G$9:$G$14</definedName>
    <definedName name="Round">Setup!$D$9:$D$21</definedName>
  </definedNames>
  <calcPr calcId="145621"/>
</workbook>
</file>

<file path=xl/calcChain.xml><?xml version="1.0" encoding="utf-8"?>
<calcChain xmlns="http://schemas.openxmlformats.org/spreadsheetml/2006/main">
  <c r="C47" i="29" l="1"/>
  <c r="L33" i="29"/>
  <c r="I34" i="29" l="1"/>
  <c r="J34" i="29" s="1"/>
  <c r="K34" i="29" s="1"/>
  <c r="L34" i="29" s="1"/>
  <c r="I33" i="29"/>
  <c r="J33" i="29" s="1"/>
  <c r="G33" i="29"/>
  <c r="N33" i="29"/>
  <c r="O33" i="29"/>
  <c r="G28" i="37" l="1"/>
  <c r="B28" i="37"/>
  <c r="G27" i="37"/>
  <c r="B27" i="37"/>
  <c r="E26" i="37"/>
  <c r="G26" i="37" s="1"/>
  <c r="E25" i="37"/>
  <c r="G25" i="37" s="1"/>
  <c r="E24" i="37"/>
  <c r="E22" i="37"/>
  <c r="G22" i="37" s="1"/>
  <c r="E21" i="37"/>
  <c r="E20" i="37"/>
  <c r="L147" i="29"/>
  <c r="K147" i="29"/>
  <c r="J147" i="29"/>
  <c r="H147" i="29"/>
  <c r="M146" i="29"/>
  <c r="L146" i="29"/>
  <c r="K146" i="29"/>
  <c r="J146" i="29"/>
  <c r="I146" i="29"/>
  <c r="H146" i="29"/>
  <c r="F146" i="29"/>
  <c r="L145" i="29"/>
  <c r="K145" i="29"/>
  <c r="J145" i="29"/>
  <c r="H145" i="29"/>
  <c r="M144" i="29"/>
  <c r="L144" i="29"/>
  <c r="K144" i="29"/>
  <c r="J144" i="29"/>
  <c r="I144" i="29"/>
  <c r="H144" i="29"/>
  <c r="F144" i="29"/>
  <c r="L143" i="29"/>
  <c r="K143" i="29"/>
  <c r="J143" i="29"/>
  <c r="H143" i="29"/>
  <c r="M142" i="29"/>
  <c r="L142" i="29"/>
  <c r="K142" i="29"/>
  <c r="J142" i="29"/>
  <c r="I142" i="29"/>
  <c r="H142" i="29"/>
  <c r="F142" i="29"/>
  <c r="M136" i="29"/>
  <c r="M130" i="29"/>
  <c r="I130" i="29"/>
  <c r="I128" i="29"/>
  <c r="M126" i="29"/>
  <c r="F24" i="37" s="1"/>
  <c r="I126" i="29"/>
  <c r="M122" i="29"/>
  <c r="M147" i="29" s="1"/>
  <c r="I122" i="29"/>
  <c r="I147" i="29" s="1"/>
  <c r="M120" i="29"/>
  <c r="M145" i="29" s="1"/>
  <c r="I120" i="29"/>
  <c r="I145" i="29" s="1"/>
  <c r="M118" i="29"/>
  <c r="F20" i="37" s="1"/>
  <c r="I118" i="29"/>
  <c r="I143" i="29" s="1"/>
  <c r="M143" i="29" l="1"/>
  <c r="F21" i="37"/>
  <c r="G21" i="37" s="1"/>
  <c r="G24" i="37"/>
  <c r="E90" i="29"/>
  <c r="M35" i="29"/>
  <c r="F47" i="29"/>
  <c r="K35" i="29"/>
  <c r="D47" i="29"/>
  <c r="D41" i="42"/>
  <c r="M9" i="37"/>
  <c r="G9" i="37"/>
  <c r="D30" i="42" s="1"/>
  <c r="C9" i="37"/>
  <c r="D29" i="42" s="1"/>
  <c r="E55" i="29"/>
  <c r="E54" i="29"/>
  <c r="E53" i="29"/>
  <c r="E52" i="29"/>
  <c r="D37" i="42"/>
  <c r="B32" i="29"/>
  <c r="B31" i="29"/>
  <c r="E51" i="29"/>
  <c r="D38" i="29"/>
  <c r="C38" i="29"/>
  <c r="B22" i="45"/>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3" i="32" s="1"/>
  <c r="B4" i="1"/>
  <c r="E89" i="29"/>
  <c r="D11" i="42"/>
  <c r="J3" i="35"/>
  <c r="L3" i="35"/>
  <c r="I3" i="30"/>
  <c r="K3" i="30"/>
  <c r="D33" i="42"/>
  <c r="D34" i="42"/>
  <c r="D35" i="42"/>
  <c r="D36" i="42"/>
  <c r="D38" i="42"/>
  <c r="D39" i="42"/>
  <c r="D40" i="42"/>
  <c r="D32" i="42"/>
  <c r="D31" i="42"/>
  <c r="E109" i="29"/>
  <c r="G109" i="29" s="1"/>
  <c r="I109" i="29" s="1"/>
  <c r="E108" i="29"/>
  <c r="G108" i="29" s="1"/>
  <c r="I108" i="29" s="1"/>
  <c r="E110" i="29"/>
  <c r="G110" i="29" s="1"/>
  <c r="I110" i="29" s="1"/>
  <c r="E111" i="29"/>
  <c r="G111" i="29" s="1"/>
  <c r="I111" i="29" s="1"/>
  <c r="K30" i="35"/>
  <c r="K31" i="35"/>
  <c r="K32" i="35"/>
  <c r="K33" i="35"/>
  <c r="H29" i="30"/>
  <c r="H28" i="30"/>
  <c r="H27" i="30"/>
  <c r="D24" i="42"/>
  <c r="D23" i="42"/>
  <c r="D22" i="42"/>
  <c r="D21" i="42"/>
  <c r="D20" i="42"/>
  <c r="D19" i="42"/>
  <c r="D14" i="42"/>
  <c r="D13" i="42"/>
  <c r="D12" i="42"/>
  <c r="B25" i="45"/>
  <c r="B23" i="45"/>
  <c r="B21" i="45"/>
  <c r="B20" i="45"/>
  <c r="B19" i="45"/>
  <c r="B11" i="45"/>
  <c r="B10" i="45"/>
  <c r="B9" i="45"/>
  <c r="B8" i="45"/>
  <c r="B4" i="37"/>
  <c r="B4" i="35"/>
  <c r="B4" i="30"/>
  <c r="G73" i="29"/>
  <c r="E20" i="42" s="1"/>
  <c r="G12" i="27"/>
  <c r="H4" i="1"/>
  <c r="G72" i="29"/>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D5" i="35"/>
  <c r="E4" i="35"/>
  <c r="K5" i="35"/>
  <c r="J4" i="35"/>
  <c r="D5" i="37"/>
  <c r="P5" i="37"/>
  <c r="P4" i="37"/>
  <c r="O3" i="37"/>
  <c r="J5" i="30"/>
  <c r="D5" i="30"/>
  <c r="I4" i="30"/>
  <c r="E4" i="30"/>
  <c r="B36" i="39"/>
  <c r="B34" i="39"/>
  <c r="B34" i="35"/>
  <c r="Q50" i="29"/>
  <c r="Q29" i="29"/>
  <c r="Z24" i="37"/>
  <c r="AA24" i="37" s="1"/>
  <c r="Z23" i="37"/>
  <c r="AA23" i="37" s="1"/>
  <c r="Z22" i="37"/>
  <c r="AA22" i="37" s="1"/>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U27" i="37"/>
  <c r="T25" i="37"/>
  <c r="U25" i="37"/>
  <c r="V25" i="37"/>
  <c r="W25" i="37"/>
  <c r="X25" i="37"/>
  <c r="T28" i="37"/>
  <c r="T26" i="37"/>
  <c r="U26" i="37"/>
  <c r="V26" i="37"/>
  <c r="W26" i="37"/>
  <c r="X26" i="37"/>
  <c r="T27" i="37"/>
  <c r="V27" i="37"/>
  <c r="X27" i="37"/>
  <c r="U28" i="37"/>
  <c r="W28" i="37"/>
  <c r="T29" i="37"/>
  <c r="U29" i="37"/>
  <c r="V29" i="37"/>
  <c r="W29" i="37"/>
  <c r="X29" i="37"/>
  <c r="X28" i="37"/>
  <c r="V28" i="37"/>
  <c r="W27" i="37"/>
  <c r="Q33" i="29"/>
  <c r="H35" i="29"/>
  <c r="Q35" i="29"/>
  <c r="Q34" i="29"/>
  <c r="Q49" i="29"/>
  <c r="G35" i="29"/>
  <c r="Q30" i="29"/>
  <c r="E35" i="29"/>
  <c r="D35" i="29"/>
  <c r="C35" i="29"/>
  <c r="Q31" i="29"/>
  <c r="F35" i="29"/>
  <c r="J35" i="29"/>
  <c r="I35" i="29"/>
  <c r="N35" i="29"/>
  <c r="Q32" i="29"/>
  <c r="H8" i="30" l="1"/>
  <c r="B15" i="35"/>
  <c r="H22" i="30"/>
  <c r="B22" i="30"/>
  <c r="B2" i="1"/>
  <c r="L35" i="29"/>
  <c r="P31" i="29" s="1"/>
  <c r="B8" i="30"/>
  <c r="H7" i="35"/>
  <c r="AB23" i="37"/>
  <c r="AE23" i="37"/>
  <c r="AD23" i="37"/>
  <c r="AC23" i="37"/>
  <c r="AF23" i="37"/>
  <c r="AF22" i="37"/>
  <c r="AC22" i="37"/>
  <c r="AE22" i="37"/>
  <c r="AD22" i="37"/>
  <c r="AB22" i="37"/>
  <c r="AC24" i="37"/>
  <c r="AF24" i="37"/>
  <c r="AB24" i="37"/>
  <c r="AE24" i="37"/>
  <c r="AD24" i="37"/>
  <c r="K110" i="29"/>
  <c r="L32" i="35" s="1"/>
  <c r="J32" i="35"/>
  <c r="K108" i="29"/>
  <c r="L30" i="35" s="1"/>
  <c r="J30" i="35"/>
  <c r="K111" i="29"/>
  <c r="L33" i="35" s="1"/>
  <c r="J33" i="35"/>
  <c r="K109" i="29"/>
  <c r="L31" i="35" s="1"/>
  <c r="J31" i="35"/>
  <c r="H15" i="35"/>
  <c r="B7" i="35"/>
  <c r="H26" i="35"/>
  <c r="F20" i="42"/>
</calcChain>
</file>

<file path=xl/comments1.xml><?xml version="1.0" encoding="utf-8"?>
<comments xmlns="http://schemas.openxmlformats.org/spreadsheetml/2006/main">
  <authors>
    <author>mgleixner</author>
    <author>molszak</author>
  </authors>
  <commentList>
    <comment ref="B30" authorId="0">
      <text>
        <r>
          <rPr>
            <sz val="8"/>
            <color indexed="81"/>
            <rFont val="Tahoma"/>
            <family val="2"/>
            <charset val="204"/>
          </rPr>
          <t>To define your periods (eg. P1, P2, P3 etc or P9, P10, P11 etc) you need to unprotect the cells.</t>
        </r>
      </text>
    </comment>
    <comment ref="B72" authorId="1">
      <text>
        <r>
          <rPr>
            <b/>
            <sz val="8"/>
            <color indexed="81"/>
            <rFont val="Tahoma"/>
            <family val="2"/>
            <charset val="204"/>
          </rPr>
          <t xml:space="preserve">If data are not available, do not enter zeros; rather, leave the cells in the table blank. </t>
        </r>
      </text>
    </comment>
    <comment ref="B73" authorId="1">
      <text>
        <r>
          <rPr>
            <b/>
            <sz val="8"/>
            <color indexed="81"/>
            <rFont val="Tahoma"/>
            <family val="2"/>
            <charset val="204"/>
          </rPr>
          <t>If data are not available, do not enter zeros; rather, leave the cells in this table blank.</t>
        </r>
      </text>
    </comment>
    <comment ref="B79" authorId="0">
      <text>
        <r>
          <rPr>
            <sz val="8"/>
            <color indexed="81"/>
            <rFont val="Tahoma"/>
            <family val="2"/>
            <charset val="204"/>
          </rPr>
          <t xml:space="preserve">If data are not available, do not enter zeros; rather, leave the cells in this table blank. </t>
        </r>
      </text>
    </comment>
    <comment ref="B94" author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<sst xmlns="http://schemas.openxmlformats.org/spreadsheetml/2006/main" count="681" uniqueCount="515">
  <si>
    <t>Numerator: Number of released prison inmates on TB treatment supported through the TB treatment follow-up program during a given time period.
Denominator: Total number of released prison inmates on TB treatment during the same time period.  Because the denominator may vary the targets are set in percentage and absolute numbers will be reported with each Progress Update. All inmates participating in the treatment follow-up program will be provided with financial incentives upon completion of their treatment. When needed, the beneficiaries will be also provided with legal support/processing of legal papers/identification documents.                                                                                                                                       Actual absolute figures for numerator and deniminator will be provided with the report.</t>
  </si>
  <si>
    <t xml:space="preserve">Training program of PHC staff (doctors and nurses) will be continued to strengthen their involvement in TB control, with priority attention to TB case detection, strengthening referrals and cooperation with specialized TB service, TB case management in out-patient settings (including MDR-TB cases), community TB care and adherence support, defaulter tracing and contacts' investigation, in conditions of revised TB care delivery model.                                                                                                                                                                                                      Related activity 3.4.1 </t>
  </si>
  <si>
    <t>Training records and SR reports</t>
  </si>
  <si>
    <t>All persons who attended the course not less than 80% and signed the list of participation at training</t>
  </si>
  <si>
    <t xml:space="preserve">Training records </t>
  </si>
  <si>
    <t>Training records</t>
  </si>
  <si>
    <t>TB patient register and SR reports</t>
  </si>
  <si>
    <t>Patient is considered "reached" if he/she receives at least 25 DOT interventions during 1 month.</t>
  </si>
  <si>
    <t>Register of people reached and SR reports</t>
  </si>
  <si>
    <t>All patients who receive at least three food packages per month.</t>
  </si>
  <si>
    <t>All inmates participating in the treatment follow-up program</t>
  </si>
  <si>
    <t>SR reports</t>
  </si>
  <si>
    <t>New persons who received services during the reported period</t>
  </si>
  <si>
    <t>Program reports</t>
  </si>
  <si>
    <t>Empowerment of people with TB and Communities in Moldova</t>
  </si>
  <si>
    <t>Strengthen the health system and engage all available partners in TB control</t>
  </si>
  <si>
    <t>Integrate TB services on both sides of the prison walls</t>
  </si>
  <si>
    <t>Ensure universal access to diagnosis, treatment, care and support of drug-resistant tuberculosis</t>
  </si>
  <si>
    <t>Operational research in priority issues of TB and monitoring and evaluation</t>
  </si>
  <si>
    <t>Project management</t>
  </si>
  <si>
    <t>Number of TB patients registered under DOTS program who are receiving incentives and enablers to improve their  treatment adherence (Numarul de pacienți înregistrați în programul DOTS care au beneficiat de stimulente pentru sporirea complianței la tratament)</t>
  </si>
  <si>
    <t>Number of volunteers, members of multidisciplinary teams and NGOs representatives trained in TB community aspects(Numarul de voluntari, membri din echipele multidisciplinare, reprezentanti ai ONG-lor insruiti  în aspecte DOT și controlul tuberculozei la nivel de comunitate)</t>
  </si>
  <si>
    <t>Number of people (TB,TB/HIV patients and their families)  reached by peer support groups (Numarul de persoane (pacienți TB,TB/HIV și familiile lor) care au fost instruiti de către grupurile de la egal la egal)</t>
  </si>
  <si>
    <t>Number of peer educators, journalists at national and district level and local stakeholders trained in TB and TB/HIV issues (Numarul de educatori de la egal la egal, jurnaliști la nivel național și regional, persoane-cheie din republică instruiți in TB și TB/HIV)</t>
  </si>
  <si>
    <t>Number and percentage of MDR-TB patients registered under DOTS program who are receiving incentives and enablers for improved treatment compliance (Numarul și procentul de pacienți înregistrați în programul DOTS Plus care au primit stimulente pentru sporirea complianței la tratament)</t>
  </si>
  <si>
    <t>Number of TB service staff trained in DR-TB management (Numarul de personal din serviciu TB  instruiti in managementul TB-MDR)</t>
  </si>
  <si>
    <t xml:space="preserve">Percentage of released prison inmates on TB treatment supported through the TB treatment follow-up program (Procentul de deţinuţi înrolați  în tratamentul TB și susţinuți prin programul tratamentului TB de follow-up)  </t>
  </si>
  <si>
    <t>Number of new TB patients in ambulatory phases provided with DOT support by the community (Numărul pacienților noi cu TB aflați în faza de ambulator care au beneficiat de suportul DOT în cadrul centrelor comunitare)</t>
  </si>
  <si>
    <t xml:space="preserve">Number of PHC staff trained in TB case management, community TB care issues and methods of informational work with different groups of population  (Numărul de lucrători medicali instruiți în managementul de caz, probleme de îngrijire comunitară, lucru informaţional cu diferite grupuri de populaţie)  </t>
  </si>
  <si>
    <t>The default rate among New TB Cases in Community Centers (Rata abandonurilor cazurilor noi de TB în cadrul centrelor comunitare)</t>
  </si>
  <si>
    <t>Assessed (Evaluați)</t>
  </si>
  <si>
    <t>Receiving Funding (Au recepționat surse)</t>
  </si>
  <si>
    <t>Number of TB patients registered under DOTS program who are receiving incentives and enablers to improve their  treatment adherence 
(Numărul pacienților noi înregistrați în programul DOTS, care au beneficiat de suport motivațional pentru a spori aderența la tratament )</t>
  </si>
  <si>
    <t>Number and percentage of MDR-TB patients registered under DOTS program who are receiving incentives and enablers for improved treatment compliance 
(Numărul de  pacienți cu MDRTB înregistrați în tratamentul DOTS Plus care au beneficiat de suport motivațional pentru a spori aderența la tratament)</t>
  </si>
  <si>
    <t>Strengthen community involvement and foster partnerships for effective TB control</t>
  </si>
  <si>
    <t>Ensure successful TB case management through patient support and strengthening health system capacities</t>
  </si>
  <si>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</si>
  <si>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 Cumulative</t>
  </si>
  <si>
    <t>Programmatic</t>
  </si>
  <si>
    <t>Comments:</t>
  </si>
  <si>
    <t xml:space="preserve">Comments: </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</si>
  <si>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</si>
  <si>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</si>
  <si>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</si>
  <si>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</si>
  <si>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</si>
  <si>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</si>
  <si>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</si>
  <si>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</si>
  <si>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</si>
  <si>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</si>
  <si>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</si>
  <si>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</si>
  <si>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</si>
  <si>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</si>
  <si>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</si>
  <si>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</si>
  <si>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</si>
  <si>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</si>
  <si>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</si>
  <si>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</si>
  <si>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</si>
  <si>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</si>
  <si>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</si>
  <si>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</si>
  <si>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</si>
  <si>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</si>
  <si>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</si>
  <si>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</si>
  <si>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</si>
  <si>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</si>
  <si>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</si>
  <si>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</si>
  <si>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</si>
  <si>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</si>
  <si>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</si>
  <si>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</si>
  <si>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</si>
  <si>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</si>
  <si>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</si>
  <si>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</si>
  <si>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</si>
  <si>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</si>
  <si>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</si>
  <si>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</si>
  <si>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</si>
  <si>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</si>
  <si>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</si>
  <si>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</si>
  <si>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</si>
  <si>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</si>
  <si>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</si>
  <si>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</si>
  <si>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Management Indicators</t>
  </si>
  <si>
    <t>NVP</t>
  </si>
  <si>
    <t>3TC</t>
  </si>
  <si>
    <t>D4T</t>
  </si>
  <si>
    <t>AZT</t>
  </si>
  <si>
    <t>DDI</t>
  </si>
  <si>
    <t>EFV</t>
  </si>
  <si>
    <t>AS/MQ</t>
  </si>
  <si>
    <t>AS/LF</t>
  </si>
  <si>
    <t>AS/AQ</t>
  </si>
  <si>
    <t>Products</t>
  </si>
  <si>
    <t>Peru</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</si>
  <si>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</si>
  <si>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</si>
  <si>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</si>
  <si>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</si>
  <si>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</si>
  <si>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</si>
  <si>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</si>
  <si>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</si>
  <si>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</si>
  <si>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</si>
  <si>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</si>
  <si>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</si>
  <si>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</si>
  <si>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</si>
  <si>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</si>
  <si>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</si>
  <si>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</si>
  <si>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</si>
  <si>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</si>
  <si>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</si>
  <si>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</si>
  <si>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</si>
  <si>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</si>
  <si>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</si>
  <si>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</si>
  <si>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</si>
  <si>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</si>
  <si>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</si>
  <si>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</si>
  <si>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</si>
  <si>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</si>
  <si>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</si>
  <si>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</si>
  <si>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</si>
  <si>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</si>
  <si>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</si>
  <si>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</si>
  <si>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</si>
  <si>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</si>
  <si>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</si>
  <si>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</si>
  <si>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</si>
  <si>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</si>
  <si>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</si>
  <si>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</si>
  <si>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</si>
  <si>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</si>
  <si>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</si>
  <si>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</si>
  <si>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</si>
  <si>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</si>
  <si>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</si>
  <si>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</si>
  <si>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</si>
  <si>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</si>
  <si>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</si>
  <si>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</si>
  <si>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</si>
  <si>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</si>
  <si>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</si>
  <si>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</si>
  <si>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</si>
  <si>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</si>
  <si>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</si>
  <si>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</si>
  <si>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</si>
  <si>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</si>
  <si>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</si>
  <si>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</si>
  <si>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</si>
  <si>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</si>
  <si>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</si>
  <si>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</si>
  <si>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</si>
  <si>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</si>
  <si>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</si>
  <si>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</si>
  <si>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</si>
  <si>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</si>
  <si>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</si>
  <si>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</si>
  <si>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</si>
  <si>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</si>
  <si>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</si>
  <si>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</si>
  <si>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</si>
  <si>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</si>
  <si>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</si>
  <si>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</si>
  <si>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</si>
  <si>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</si>
  <si>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</si>
  <si>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</si>
  <si>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</si>
  <si>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</si>
  <si>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</si>
  <si>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</si>
  <si>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</si>
  <si>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</si>
  <si>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</si>
  <si>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</si>
  <si>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</si>
  <si>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</si>
  <si>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</si>
  <si>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</si>
  <si>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</si>
  <si>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</si>
  <si>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</si>
  <si>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</si>
  <si>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</si>
  <si>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</si>
  <si>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</si>
  <si>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</si>
  <si>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</si>
  <si>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</si>
  <si>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</si>
  <si>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</si>
  <si>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</si>
  <si>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</si>
  <si>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</si>
  <si>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</si>
  <si>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</si>
  <si>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</si>
  <si>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</si>
  <si>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</si>
  <si>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</si>
  <si>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</si>
  <si>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</si>
  <si>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</si>
  <si>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</si>
  <si>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</si>
  <si>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</si>
  <si>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</si>
  <si>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</si>
  <si>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</si>
  <si>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</si>
  <si>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</si>
  <si>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</si>
  <si>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</si>
  <si>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</si>
  <si>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</si>
  <si>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</si>
  <si>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</si>
  <si>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</si>
  <si>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</si>
  <si>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</si>
  <si>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</si>
  <si>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</si>
  <si>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</si>
  <si>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</si>
  <si>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</si>
  <si>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</si>
  <si>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</si>
  <si>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</si>
  <si>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</si>
  <si>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</si>
  <si>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</si>
  <si>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</si>
  <si>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</si>
  <si>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</si>
  <si>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</si>
  <si>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</si>
  <si>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</si>
  <si>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</si>
  <si>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</si>
  <si>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</si>
  <si>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</si>
  <si>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</si>
  <si>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</si>
  <si>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</si>
  <si>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</si>
  <si>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</si>
  <si>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</si>
  <si>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</si>
  <si>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</si>
  <si>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</si>
  <si>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</si>
  <si>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</si>
  <si>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from:</t>
  </si>
  <si>
    <t>Principal Recipient:</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</si>
  <si>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</si>
  <si>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</si>
  <si>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</si>
  <si>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</si>
  <si>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</si>
  <si>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</si>
  <si>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</si>
  <si>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</si>
  <si>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</si>
  <si>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</si>
  <si>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</si>
  <si>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</si>
  <si>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</si>
  <si>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</si>
  <si>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</si>
  <si>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</si>
  <si>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</si>
  <si>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Fund Portfolio Manager:</t>
  </si>
  <si>
    <t>Person Responsible</t>
  </si>
  <si>
    <t>LFA</t>
  </si>
  <si>
    <t xml:space="preserve">Date </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</si>
  <si>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</si>
  <si>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</si>
  <si>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</si>
  <si>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</si>
  <si>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</si>
  <si>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</si>
  <si>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Key Recommendations from Oversight Group(s)</t>
  </si>
  <si>
    <t>Current  Reporting  Period</t>
  </si>
  <si>
    <t>Previous  Reporting  Period</t>
  </si>
  <si>
    <t xml:space="preserve">Last fund disbursement: Calendar days </t>
  </si>
  <si>
    <t>E-PAP</t>
  </si>
  <si>
    <t>Al/Lum</t>
  </si>
  <si>
    <t>TB nutri'l supplements</t>
  </si>
  <si>
    <t>Recommendations</t>
  </si>
  <si>
    <t>P1 - trend</t>
  </si>
  <si>
    <t>P2 - trend</t>
  </si>
  <si>
    <t>P3 - trend</t>
  </si>
  <si>
    <t>Set-up = List of validation for Grant Detail page</t>
  </si>
  <si>
    <t>Action Taken</t>
  </si>
  <si>
    <t>Phase:</t>
  </si>
  <si>
    <t>Round:</t>
  </si>
  <si>
    <t>Code</t>
  </si>
  <si>
    <t>Grant No.</t>
  </si>
  <si>
    <t>Total Funding</t>
  </si>
  <si>
    <t>Difference between current stock and safety stock</t>
  </si>
  <si>
    <t>Months of safety stock</t>
  </si>
  <si>
    <t>0% - 59%</t>
  </si>
  <si>
    <t>60% - 89%</t>
  </si>
  <si>
    <t>&gt; 90%</t>
  </si>
  <si>
    <t>Actions to Implement / Previous Period</t>
  </si>
  <si>
    <t>Stock level expressed in months of treatment for all current patients</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</si>
  <si>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</si>
  <si>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</si>
  <si>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</si>
  <si>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</si>
  <si>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</si>
  <si>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</si>
  <si>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</si>
  <si>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</si>
  <si>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</si>
  <si>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</si>
  <si>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</si>
  <si>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</si>
  <si>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</si>
  <si>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</si>
  <si>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</si>
  <si>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</si>
  <si>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</si>
  <si>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</si>
  <si>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 xml:space="preserve">     Enter performance data in every yellow cell.</t>
  </si>
  <si>
    <t>Decisions and Actions</t>
  </si>
  <si>
    <t>Please Select</t>
  </si>
  <si>
    <t>TOP 3</t>
  </si>
  <si>
    <t>SSR to SR</t>
  </si>
  <si>
    <t>SRs to PR</t>
  </si>
  <si>
    <t>Programmatic Indicators</t>
  </si>
  <si>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</si>
  <si>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</si>
  <si>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</si>
  <si>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 xml:space="preserve">Financial Information: </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</si>
  <si>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</si>
  <si>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</si>
  <si>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</si>
  <si>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</si>
  <si>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Comment: P1</t>
  </si>
  <si>
    <t>Comment: P2</t>
  </si>
  <si>
    <t>Comment: P3</t>
  </si>
  <si>
    <t>Target // Ținta</t>
  </si>
  <si>
    <t>Achieved // Realizat</t>
  </si>
  <si>
    <t>Code / codul</t>
  </si>
  <si>
    <r>
      <t xml:space="preserve">Programmatic Indicators (from Performance Framework) </t>
    </r>
    <r>
      <rPr>
        <b/>
        <sz val="18"/>
        <color indexed="62"/>
        <rFont val="Calibri"/>
        <family val="2"/>
        <charset val="204"/>
      </rPr>
      <t>// Indicatori programatici</t>
    </r>
  </si>
  <si>
    <t xml:space="preserve"> </t>
  </si>
  <si>
    <t>Către perioada de raportare</t>
  </si>
  <si>
    <t>Perioada de raportare curentă</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</si>
  <si>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</si>
  <si>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</si>
  <si>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</si>
  <si>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</si>
  <si>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</si>
  <si>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</si>
  <si>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(6 = 5 / 4)
Stocul exprimat în luni de treatament pentru toți pacienții curenți</t>
  </si>
  <si>
    <t xml:space="preserve">(7)
Nivelul stocului de siguranță
(exprimat în luni și prestabilit de țară) </t>
  </si>
  <si>
    <t xml:space="preserve">(8 = 6 - 7)
Diferența între stocul curent și stocul de siguranță </t>
  </si>
  <si>
    <t>Indicatori de Program  (Performance Framework )</t>
  </si>
  <si>
    <t xml:space="preserve">Direct rezulta din activitatea FG? </t>
  </si>
  <si>
    <t>Tabelul este în mod automat reînnoit. Nu necesită introducerea datelor și/sau informației.</t>
  </si>
  <si>
    <t>Direct rezulta din activitatea FG?</t>
  </si>
  <si>
    <t>Suma totală:</t>
  </si>
  <si>
    <t>Faza:</t>
  </si>
  <si>
    <t>PAS Center</t>
  </si>
  <si>
    <t>P13</t>
  </si>
  <si>
    <r>
      <t xml:space="preserve">Cumulative budget: </t>
    </r>
    <r>
      <rPr>
        <sz val="11"/>
        <color indexed="8"/>
        <rFont val="Arial"/>
        <family val="2"/>
        <charset val="204"/>
      </rPr>
      <t>Sum of the grant budget from period one (quarter, trimester, or semester) of the current phase, up to and including the dashboard reporting period.</t>
    </r>
    <r>
      <rPr>
        <b/>
        <sz val="11"/>
        <color indexed="8"/>
        <rFont val="Arial"/>
        <family val="2"/>
      </rPr>
      <t xml:space="preserve">
Cumulative Disbursments by GF: </t>
    </r>
    <r>
      <rPr>
        <sz val="11"/>
        <color indexed="8"/>
        <rFont val="Arial"/>
        <family val="2"/>
        <charset val="204"/>
      </rPr>
      <t>Sum of all the funds transferred by the GF to either the PR or paid directly to suppliers (e.g. drugs, equipment, bed nets), up to and including the dasboard reporting period.</t>
    </r>
  </si>
  <si>
    <t>January 01, 2010</t>
  </si>
  <si>
    <t>Tatiana Vinichenko</t>
  </si>
  <si>
    <t>PMU</t>
  </si>
  <si>
    <t>P17</t>
  </si>
  <si>
    <t>n/a</t>
  </si>
  <si>
    <t>Grant information (Informație despre Grant)</t>
  </si>
  <si>
    <t>Information reporting period (Informația despre perioada raportată)</t>
  </si>
  <si>
    <t xml:space="preserve">Enter the data based on the colour-coded cells (Introduceți datele bazîndu-vă de celulele codificate prin culoare) </t>
  </si>
  <si>
    <t>Information on indicators (Informația despre indicatori)</t>
  </si>
  <si>
    <t>Currency of the grant (Valuta Grantului)</t>
  </si>
  <si>
    <t xml:space="preserve">   </t>
  </si>
  <si>
    <t xml:space="preserve">  Enter finance data in every orange cell like this.</t>
  </si>
  <si>
    <t>F1:  Budget and disbursements by Global Fund (Bugetul și debursările de către Fondul Global)</t>
  </si>
  <si>
    <t>Reporting period (Perioada Raportată)</t>
  </si>
  <si>
    <t>Cumulative budget (Buget Cumulativ)</t>
  </si>
  <si>
    <t>Cumulative disbursements (Debursări cumulative)</t>
  </si>
  <si>
    <t>F2:  Budget and actual expenditures by Grant Objective (Bugetul și cheltuielile actuale după Obiectivele Grantului)</t>
  </si>
  <si>
    <t>Grant Objective (Obiectivele Grantului)</t>
  </si>
  <si>
    <t>F3:Disbursements and expenditures (Debursări și cheltuieli)</t>
  </si>
  <si>
    <t>Disbursed by Global Fund (Debursat de către Fondul Global)</t>
  </si>
  <si>
    <t>PR expenditure and disbursement (Cheltuielile și debursările RP )</t>
  </si>
  <si>
    <t>Disbursed to SRs (Debursări către SR)</t>
  </si>
  <si>
    <t>SR expenditures (Cheltuielile SR)</t>
  </si>
  <si>
    <t xml:space="preserve">F4:  Latest PR reporting and disbursement cycle (Ultima perioadă de raportare și debursare a RP) </t>
  </si>
  <si>
    <t>Last fund disbursement: Number of calendar days  (Ultima debursare a surselor: Număr de zile calendaristice)</t>
  </si>
  <si>
    <t>Days taken to submit final PU/DR to LFA (Zile necesare pentru remiterea PU/DR final către ALF)</t>
  </si>
  <si>
    <t>Days taken for disbursement to reach PR (Zile necesare pentru debursare către RP)</t>
  </si>
  <si>
    <t>Days taken for disbursement to reach SRs  (Zile necesare pentru debursare către SR)</t>
  </si>
  <si>
    <t>Expected (days)Preconizat (zile)</t>
  </si>
  <si>
    <t>Actual (days) Actual (zile)</t>
  </si>
  <si>
    <t>Management Information: (Informația pe Management)</t>
  </si>
  <si>
    <t>Enter management data in every blue cell.</t>
  </si>
  <si>
    <t xml:space="preserve">    (Întroduceți datele pentru management în celulele albastre)</t>
  </si>
  <si>
    <t xml:space="preserve">M1:  Status of Conditions Precedent (CPs) and Time Bound Actions (TBAs) (Statutul Condițiilor Precedente și a Acțiunilor Prestabilite în Timp) </t>
  </si>
  <si>
    <t>Conditions precedent (CPs) (Condiții Precedente (CP))</t>
  </si>
  <si>
    <t>Time Bound Actions (TBAs) (Acțiuni Prestabilite în Timp (TBA))</t>
  </si>
  <si>
    <t>Fulfilled (Finisate)</t>
  </si>
  <si>
    <t>Not fulfilled, but within deadline (Ne finisate, dar realizarea  în conformitate cu planul)</t>
  </si>
  <si>
    <t>Not fulfilled, and past the deadline (Ne finisate, și au depășit planul de realizare)</t>
  </si>
  <si>
    <t xml:space="preserve">M2:  Status of key PR management positions (Statutul pozițiilor cheie a RP) </t>
  </si>
  <si>
    <t>Planned (Planificate)</t>
  </si>
  <si>
    <t>Filled (Completate)</t>
  </si>
  <si>
    <t>Vacant (Vacante)</t>
  </si>
  <si>
    <t xml:space="preserve">M3:  Contractual arrangements (SRs)  (Aranjamente contractuale (SR)) </t>
  </si>
  <si>
    <t>Identified (Identificați)</t>
  </si>
  <si>
    <t>Approved (Aprobați)</t>
  </si>
  <si>
    <t>Signed (Contracte semnate)</t>
  </si>
  <si>
    <t>M4: Number of complete reports received on time (Numărul rapoartelor complete recepționate la timp)</t>
  </si>
  <si>
    <t>#  Expected (Planificat)</t>
  </si>
  <si>
    <t># Received (Recepționat)</t>
  </si>
  <si>
    <t>Pending (În așteptare)</t>
  </si>
  <si>
    <t>M5: Budget and Procurement of health products, health equipment, medicines and pharmaceuticals (Bugetul și Procurarea produselor medicale, echipamentului medical, medicamentelor și produselor farmaceutice )</t>
  </si>
  <si>
    <t>Budget Approved* (Buget Aprobat*)</t>
  </si>
  <si>
    <t>Obligations (Obligațiuni)</t>
  </si>
  <si>
    <t>Expenditures (Cheltuieli)</t>
  </si>
  <si>
    <t>Budget Approved cumulative* (Buget Aprobat cumulativ*)</t>
  </si>
  <si>
    <t>Obligations cumulative (Obligațiuni cumulative)</t>
  </si>
  <si>
    <t>Expenditures cumulative (Cheltuieli cumulative)</t>
  </si>
  <si>
    <t>* Includes only EFR category 4 and 5  (Health products and health equipment &amp; Medicines and Pharmaceuticals) (* Include numai EFR categoriile 4 și 5  (Produse medicale și Echipamente medicale &amp; Medicamente și Produse farmaceutice))</t>
  </si>
  <si>
    <t>M6: Difference between current and safety stock (Diferență între stocul curent și stocul de siguranță)</t>
  </si>
  <si>
    <t>Component (Componenta)</t>
  </si>
  <si>
    <t>Programmatic Information (Informația Programatică):</t>
  </si>
  <si>
    <t xml:space="preserve">Country (Țara): </t>
  </si>
  <si>
    <t>Grant No.(Nr. Grantului):</t>
  </si>
  <si>
    <t>Principal Recipient (Recipientul Principal):</t>
  </si>
  <si>
    <t>Start Date (dd/Mmm/yy)(Data Demarării (zz/ll/aa):</t>
  </si>
  <si>
    <t>Latest Rating (Ultimul Rating):</t>
  </si>
  <si>
    <t>Title of the Grant (Numele Grantului):</t>
  </si>
  <si>
    <t>Component(Componenta):</t>
  </si>
  <si>
    <t>Round (Runda):</t>
  </si>
  <si>
    <t>Local Fund Agent(Agentul Local):</t>
  </si>
  <si>
    <t>Date of entry  of information (Data de introducere a informației):</t>
  </si>
  <si>
    <t>Management Information(Informația pe Management):</t>
  </si>
  <si>
    <t xml:space="preserve">Financial Information(Informația Financiară): </t>
  </si>
  <si>
    <t>To(Pînă la):</t>
  </si>
  <si>
    <t>From(De la):</t>
  </si>
  <si>
    <t>Report Period(Perioada de Raportare):</t>
  </si>
  <si>
    <t>Prepared by(Pregătit de către):</t>
  </si>
  <si>
    <t>Data Source (Sursa datelor)</t>
  </si>
  <si>
    <t xml:space="preserve">Measurement </t>
  </si>
  <si>
    <t xml:space="preserve"> Definiție (din planul M&amp;E,pentru perioada 2)</t>
  </si>
  <si>
    <t>MOL-T-PAS</t>
  </si>
  <si>
    <t>The default rate among New TB Cases in Community Centers</t>
  </si>
  <si>
    <t>Number of volunteers, members of multidisciplinary teams and NGOs representatives trained in TB community aspects</t>
  </si>
  <si>
    <t>Number  of new TB patients in ambulatory phases provided with DOT support by the community</t>
  </si>
  <si>
    <t xml:space="preserve">Number of people (TB,TB/HIV patients and their families)  reached by peer support groups </t>
  </si>
  <si>
    <t xml:space="preserve">Number of peer educators, journalists at national and district level and local stakeholders trained in TB and TB/HIV issues </t>
  </si>
  <si>
    <t>Number of TB service staff trained in DR-TB management</t>
  </si>
  <si>
    <t>Number and percentage of MDR-TB patients registered under DOTS program who are receiving incentives and enablers for improved treatment compliance</t>
  </si>
  <si>
    <t>Number of TB patients registered under DOTS program who are receiving incentives and enablers to improve their  treatment adherence</t>
  </si>
  <si>
    <t xml:space="preserve">Percentage of released prison inmates on TB treatment supported through the TB treatment follow-up program   </t>
  </si>
  <si>
    <t xml:space="preserve">Number of PHC staff trained in TB case management, community TB care issues and methods of informational work with different groups of population     </t>
  </si>
  <si>
    <t>Numerator: Number of default cases among new smear-positive pulmonary TB patients registered for tratment in a given year in community TB centers.                                                   Denominator: Total number of new cases registered for treatment in the same specified period in community TB centers. Actual absolute figures for numerator and deniminator will be provided with the report.</t>
  </si>
  <si>
    <t xml:space="preserve">Targets refer to the number of persons/contacts trained, assuming that the same persons might attend more than one training.  
Volunteers from the NGO network,  representatives of the NGOs and of the multidisciplinary teams of the community centres, including local public authorities, will be trained in DOT and TB community aspects.Composite indicator, related activities 2.2.4; 2.3.2; 2.3.3 </t>
  </si>
  <si>
    <t xml:space="preserve">Targets refer to number of patients with TB,TB/HIV coinfection, drug users and their families, etc. reached by peer educators. The aim of this activity is to improve the adherence to TB treatment, prevent the defaults,  inform the beneficiaries about the referral system in the country and  to advocate for TB control problems among vulnerable population. 
The peer educators are the former TB patients, PLWHA, medical personnel and others, who have willingness and capacity to work in the area of TB.Related activity: 2.4.2     </t>
  </si>
  <si>
    <t xml:space="preserve">Peer educators will be trained to carry out informational work on TB;  journalists at national and district level will be trained in TB communications; and the local stakeholders (representatives of the civil society and NGOs, Local Public Administrations in rayons, personnel of the Centre of Preventive Medicine,  hospitals' administrators,  representatives of the PHC institutions and teaches from schools and colleges) will be trained in TB and TB/HIV issues. Composite indicator, related activities 2.5.1; 2.6.4 &amp; 2.6.7.   </t>
  </si>
  <si>
    <t>Indicator refers to trainings of TB service staff from in- and out-patient treatment delivery sites, covering both civilian and penitentiary sectors.Related activiti: 3,3,2</t>
  </si>
  <si>
    <t>Each patient will receive at least four food packages per month. Related activity: 3,2,4
Numerator:Number of patients with MDR TB  in ambulatory phase received incentives and enablers for improved treatment compliance 
Denominator Total Number of patients with MDR TB  in ambulatory phase under treatment</t>
  </si>
  <si>
    <t>Support to treatment adherence (food and hygienic parcels) for TB patients. Patients will receive at least four food packages per month. Related activity: 3,1,1
Numerator: Number of TB patients  in ambulatory phase received incentives and enablers for improved treatment compliance 
Denominator Total Number of TB patients  in ambulatory phase under treatment</t>
  </si>
  <si>
    <t>The PR always makes the disbursements to SRs in the shortest period when the disbursement request is received and the report is presented.  
Perioada de debursare către SR este cit mai  operativ posibil de la   data depunerii cererii de debursare şi prezentare a raportului financiar.</t>
  </si>
  <si>
    <t xml:space="preserve">One Condition Precedent (CP), prior to grant agreement signing, was fulfilled by PAS Center, received NO from GF.The  other two CP, prior to extension of the grant agreement: review of the NTP in written form by 15th august 2013 and  present of the strategic plan for out-patient care to improve compliance  and reduce  treatment default by 15th august 2013, were completed. The  final report English version was published and shared by the WHO  in 2013. The MoH approved the plan for out- patient care to imrpove  compliance and reduce treatment default on 27/09/2013 ( Order  #1051).  
Centrul PAS a implementat cerinta inaintată de Fondul Global vizavi de conditii precedente( CP), inainte de semnarea acordului de grant, avînd NO de la FG. Celelalte doua conditii precedente  pentru extinderea acordului de grant și anume:  raportul de evaluare a Programului National de Control al Tuberculozei ( PNCT) si planul strategic pentru imbunatatirea aderentei la tratament si micsorarea abandonului la tratamentul in conditii de  ambulatoriu au fost indeplinite. Raportul, versiunea Engleză,  a fost publicat și distributi  instituțiilor relevante de către OMS  în 2013.  Planul strategic menționat a fost aprobat de cître Ministerul Sănătății  la 27/09/2013 , ordinul # 1051. </t>
  </si>
  <si>
    <t>All key positions of the management department are filled in by the PR.  
Toate functiile sunt completate de RP.</t>
  </si>
  <si>
    <t xml:space="preserve">Soros Moldova Foundation was not assessed due to its proved experience in grants' implementation.  
Fundația Soros-Moldova nu a fost evaluată ținînd cont de semnificativa experiență în implementarea  granturilor.  </t>
  </si>
  <si>
    <t>Phase One</t>
  </si>
  <si>
    <t xml:space="preserve">Cumulative disbursements is more than cumulative budget, due to the fact that disbursement includes the budget for 2014 and  value for the first quarter of 2015 ( 01.01.2015-31.03.2015), as  buffer stock . As per June 30, 2014 the total disbursement value by the GF to the PR was 6.777.482,00 Euro versus the planned budget of  5.935.861,00. The disbursement rate is 114%.  
Suma debursarilor este mai mare decât suma bugetată, deoarece suma bugetată include perioada de până la 30 iunie 2014, iar in debursari este inclus bugetul pentru întreg  anul  2014 și suma pentru trimestrul I, 2015, în calitate de  buffer. Astfel la 30 iunie 2014, suma totală debursată de FG catre RP a fost de  6.777.482,00 Euro versus bugetul de 5.935.861,00 Euro. Rata debursarii cumulative este de 114%. </t>
  </si>
  <si>
    <t>The variance between the disbursement and expenditures of the PR for the current period is due to:
1. Disbursement includes the budget for 2014 and buffer period for 2015 (Q1);
2. Commitments from the semester 1, 2014 - EUR 164,928.00.
The expenditures of the SRs are closed to the disbursement value. The difference is explaiend by the commitments of the semester 1, 2014.
Variatia dintre suma disbursata si suma cheltuita este formata din motiv ca:
1.  In debursari este inclus si bugetul pentru 2014 și perioada de buffer - trim. 1, 2015;
2. Sumele angajate din semestrul 1, 2014 - EUR 164,928.00.
Diferența dintre sumele debursate de către RP și cheltuielile  subrecipienților sunt mici. Diferenta este explicata prin sumele angate pentru activitatile  din semestrul  1, 2014.</t>
  </si>
  <si>
    <t xml:space="preserve">Almost all payments were done according to the planned budget and in line with the project activities. For the objective 1 "Strengthen community involvement and foster parnerships for effective  TB control", the  cumulative expenditure is higher due to  approval by TGF of additional budget in value of 74,000.00 Euro, to increase the number of grants for 2013 and 2014, based on the reallocated savings from 2012 and 2013.  The  difference of value for the Project management is due to  the interest income on bank account used for the office loan (as per TGF approval). As for the remaining objectives, due to commitments  the cumulative expenditures is less then cumulative budget.                                                                                                                                                                                                                                                                         
Toate cheltuielile au fost efectuate conform bugetului și, cu scopul de a atinge obiectivele proiectului. Pentru obiectivul 1 "Strengthen community involvement and foster parnerships for effective  TB control " cheltuielile cumulative sunt mai mari datorită aprobării realocării  sumei de 74,000.00 Euro pentru linia de grant  din 2013 și 2014, conform aprobării FG, fiind considerate economiile anului 2012 și 2013.  Diferența de valori pentru Managementul de Proiect este condiționată de  venitul din dobândă, cumulată  în cont, pentru acoperirea împrumutului, conform aprobării FG. La celelalte obiective, datorită sumelor angajate, cheltuielele cumulative sunt mai mici decit bugetul planificat. 
</t>
  </si>
  <si>
    <t>For the reported period, January-June 2014, 8 SSRs were involved in TB related activities. Basically, the majority of NGO are implementing  one grant,  with exception of two NGOs  which applied to Soros Foundation - Moldova and were granted with more than one grant,  as follow: NGO "AFI" - 2 grants,  and NGO "National Association of TB patients SMIT" - 3 grants.                                                                                                                                                                                                                                                              
In perioada de raportare, ianuarie-iunie 2014, 8 sub-subrecipienți au realizat activități conexe programului de control al TB.  Majoritatea ONG-urilor  realizează a câte un grant, excepție fiind 2 ONG care au aplicat către Fundația Soros - Moldova, și au fost aprobate pentru implementarea a mai mult de un grant cum ar fi:  ONG AFI - 2 granturi și ONG SMIT - 3 granturi.</t>
  </si>
  <si>
    <t xml:space="preserve">During the firs half of 2014, 283 MDR-TB patients were received incentives for improved treatment compliance . The indicator is  achieved.                                                                                                                                                                                                                                                   
În prima jumatate anului 2014, 283 de pacienţi MDR-TB au primit stimulente pentru îmbunătățirea respectării tratamentului.  Indicatorul este atins. </t>
  </si>
  <si>
    <t xml:space="preserve">A total of 85 persons were trained, from them: 28 people from multidisciplinary teams of the community center; 25 people from NGOs in DOT and TB community aspects and 32 volunteers trained from the NGOs network in TB community aspects. The indicator is overachieved in proportion of 106%.                                                                                                                                                                                                                    
85 de persoane au fost instruite pe parcusul semestrului 1, 2014, dintre care: 28 de persoane din echipele multidisciplinare din centrul comunitar; 25 persoane din ONG-uri care activează în aspecte comunitare, DOT şi TB şi 32 voluntari din reţeaua de ONG-uri. Indicatorul este supraindeplinit în proporţie de 106%.  </t>
  </si>
  <si>
    <t xml:space="preserve">457 of new TB patients provided with DOT by the community (community centers and NGOs) received at least 25 DOT interventions during 1 month (visit to DOT center by the patient or visit to the patient by DOT supporters for drug intake).  The indicator is overachieved in proportion of 138%. Reason for variance: AO AFI included and registered all the new TB patients provided in lists by Community Centers.                           
457 pacienţi noi cu TB au fost acoperiți cu servicii de comunitate (centre comunitare şi ONG-uri) ei au primit cel puţin 25 intervenţii  DOT pe parcursul la o luna (vizite la centrul de DOT de către pacient sau vizite la pacient de suporterii DOT pentru consumul de medicamente). Indicatorul este realizat în proporţie de 138%.  Motivul pentru variaţii: AO AFI au înclus şi înregistrat toţi pacienţii noi de TB prevăzuți în listele centrelor comunitare). </t>
  </si>
  <si>
    <t>A total of 150 persons were trained, from them: 55 of local stakeholders attending workshops on TB and TB/HIV and 75 of peer educators trained to carry out informational work on TB and 20 journalists at national and district level trained;  The indicator is achieved. Reason for variance: The  number of journalists to attend the training course  were increased based on the request within the establised budget. 
150 persoane au fost instruite, din ei: 55 reprezentanți ai autorităților locale au participat la atelier de lucru în TB și TB/HIV  şi 75 educători de la egal la egal instruiți să efectueze lucrul informațional pe TB şi 20 jurnalişti;  Indicatorul este atins. Motivul variației este numărul de jurnaliști, aprobat să fie majorat, în limitele bugetului existent.</t>
  </si>
  <si>
    <t xml:space="preserve">A total of 24 TB service staff trained in DR-TB management. The indicator is achieved.  
24 persoane din serviciu TB au fost instruite în managementul TB-MDR. Indicatorul este atins.    </t>
  </si>
  <si>
    <t>During S7, a total of 52 medical staff were trained. The indicator is achieved.  
Pe parcursul S7, au fost instruiţi 52 lucrători medicali.  Indicatorul este atins.</t>
  </si>
  <si>
    <t>During the first semester  of the 2014, 199 people (TB/HIV patients and their families) were reached by peer support groups. The indicator is achieved. 
În  primul semestru al 2014, 199 de persoane (TB/HIV pacienţii şi familiile lor) au beneficiat de suport de la egal la egal. Indicatorul este atins</t>
  </si>
  <si>
    <t xml:space="preserve">During the first half of  2014, 16 eligible prison inmates on TB treatment were released. All of them were supported through the TB follow up program. 
In prima jumatate a 2014, au fost eliberați 16 deţinuţi aflați în tratamentul TB.  Toți aceștia au fost susţinuți prin programul tratamentului TB de follow-up. </t>
  </si>
  <si>
    <t>During  the first half of the 2014, 991 TB patients registered under DOTS program received incentives for improved treatment compliance.                                      
The indicator is achieved at 89.%. Reason: Currently, in the country there are two sources of funding   incentives’ support: CNAM and GF. The value  of incentives offered through the CNAM  is more consistent. Since the criteria  described in the MoH regulation on providing incentives from the CNAM funds  is not expressive,  the SR AFI informed territorial TB coordinators from the TB health facilities to provide the list of sensitive TB patients that were not covered by the CNAM.    Majority of TB coordinators register patients in the list for provision  incentives  with higher value, event the total sun approved by the CNAM does not predict to cover all needs. Also the TB doctors are focused on absorption the budget provided by the CNAM.  After a long period of communication between PR, SR and public authorities on  the issues related to the provision of incentives there were drafted and presented by the NTP  the  model of providing incentives by  combining provision from two sources as follow: to start  with CNAM funds during first 2-3 months and continue support with GF funds.  The presented  estimation to the RP was with unclear multiplication factors  in  the estimation formula. No explanations were presented to  unclear multiplication factors  to  several  PR   requests to the MoH and NTP,  up to date. Nevertheless the PR presented the estimation  of the NTP/ MoH  to the GF which also raised the same questions to the estimation formula.  It expected to have final clarifications from the  NTP of  the estimation on the new drafted model for provision incentives programm from both sources. Also  it is expected to have a decision of the NTP  and CNAM on the possibility to revise  the MoH order on providing incentives from different sources.                                                                                                                                                                                          
In primul semestru al 2014, 991 pacienți cu TB înregistrați în programul DOTS au primit  suport motivational pentru îmbunătățirea aderentei la tratament. Indicatorul este atins in proportie de 89,%. Motivul variației:  În prezent, în ţară există două surse de finanţare a  suportului motivational: CNAM şi FG.  Valorea pachetului oferit  din sursele CNAM este mai  consistentă. Din motiv că criteriile descrise în regulamentul MS cu privire la oferirea suportului motivational nu  sunt exprese,   SR AFI a informat coordonatori TB teritoriali din institutiile  medico- sanitare    de a prezenta  lista de pacienţii cu TB sensibilă care nu au fost acoperiţi de CNAM  pentru a oferi suport motivaţional  din sursele FG.   Majoritatea Coordonatorilor TB  inscriu pacientii in listele pentru suport motivaţional de la CNAM, cu  o valoare mai mare .. Deasemenea TB Coordonatorii incearca sa absorbe sumele acordate de CNAM. Dupa o perioada esenţială  de comunicare intre RP, SR si autorităţile publice despre problemele  mecanismului de oferire a suportului motivaţional, NTP a elaborat şi a prezentat un model de oferire a suportului care prevede: acordarea suportului  iniţial din sursele CNAM ( 2-3 luni) şi ulterior  de al GF, pe durata tratamentului.  Estimarea prezentatăp  conţine factori în formulă de multiplicare neclari. Clarificări vizavi de incertitudinile din formula de  estimare  abordate de RP nu au fost prezentate pînp la data curentă. Necatînd la acest fapt estimarea a fost prezentat la FG.  La rindul său FG a ridicat aceleaşi intrebări, nefiind posibil fără ele examinarea documentului şi aprobarea noului model de suport.  Se asteaptă ca NTP să ofere clarificări vizavi de estimarea  pentru noul model al suportului motivaţional din ambele surse de finanţare.   Deasemenea se asteaptă sa fie luată decizia finală de NTP şi CNAM privind posibilitatea de a modifica Ordinul MS pentru acordarea de stimulente din diferite surse.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</si>
</sst>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00_);_(* \(#,##0.00\);_(* &quot;-&quot;??_);_(@_)"/>
    <numFmt numFmtId="165" formatCode="&quot;Q&quot;#,##0_);[Red]\(&quot;Q&quot;#,##0\)"/>
    <numFmt numFmtId="166" formatCode="_(* #,##0_);_(* \(#,##0\);_(* &quot;-&quot;??_);_(@_)"/>
    <numFmt numFmtId="167" formatCode=";;;"/>
    <numFmt numFmtId="168" formatCode="0.0"/>
    <numFmt numFmtId="169" formatCode=";;;&quot;Financial Variance in %&quot;"/>
    <numFmt numFmtId="170" formatCode="_([$€]* #,##0.00_);_([$€]* \(#,##0.00\);_([$€]* &quot;-&quot;??_);_(@_)"/>
    <numFmt numFmtId="171" formatCode="[$-409]d/mmm/yyyy;@"/>
    <numFmt numFmtId="172" formatCode="[$$-409]#,##0_);\([$$-409]#,##0\)"/>
    <numFmt numFmtId="173" formatCode="00000"/>
  </numFmts>
  <fonts count="140">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7"/>
      <color indexed="43"/>
      <name val="Verdana"/>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sz val="11"/>
      <color indexed="8"/>
      <name val="Calibri"/>
      <family val="2"/>
    </font>
    <font>
      <b/>
      <sz val="14"/>
      <color indexed="14"/>
      <name val="Calibri"/>
      <family val="2"/>
      <charset val="204"/>
    </font>
    <font>
      <b/>
      <sz val="10"/>
      <color indexed="53"/>
      <name val="Calibri"/>
      <family val="2"/>
    </font>
    <font>
      <sz val="11"/>
      <color indexed="8"/>
      <name val="Arial Black"/>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22"/>
      <color indexed="9"/>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51"/>
      <name val="Calibri"/>
      <family val="2"/>
      <charset val="204"/>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8"/>
      <color indexed="81"/>
      <name val="Tahoma"/>
      <family val="2"/>
      <charset val="204"/>
    </font>
    <font>
      <b/>
      <sz val="20"/>
      <color indexed="8"/>
      <name val="Calibri"/>
      <family val="2"/>
    </font>
    <font>
      <sz val="20"/>
      <color indexed="8"/>
      <name val="Calibri"/>
      <family val="2"/>
    </font>
    <font>
      <sz val="8"/>
      <color indexed="8"/>
      <name val="Calibri"/>
      <family val="2"/>
      <charset val="204"/>
    </font>
    <font>
      <b/>
      <sz val="18"/>
      <color indexed="62"/>
      <name val="Calibri"/>
      <family val="2"/>
      <charset val="204"/>
    </font>
    <font>
      <sz val="11"/>
      <color indexed="56"/>
      <name val="Arial"/>
      <family val="2"/>
    </font>
    <font>
      <b/>
      <sz val="11"/>
      <color indexed="56"/>
      <name val="Arial"/>
      <family val="2"/>
    </font>
    <font>
      <sz val="11"/>
      <color indexed="56"/>
      <name val="Arial"/>
      <family val="2"/>
      <charset val="204"/>
    </font>
    <font>
      <b/>
      <sz val="11"/>
      <color indexed="56"/>
      <name val="Calibri"/>
      <family val="2"/>
      <charset val="204"/>
    </font>
    <font>
      <b/>
      <sz val="12"/>
      <color indexed="56"/>
      <name val="Calibri"/>
      <family val="2"/>
      <charset val="204"/>
    </font>
    <font>
      <b/>
      <sz val="11"/>
      <color indexed="56"/>
      <name val="Arial"/>
      <family val="2"/>
      <charset val="204"/>
    </font>
    <font>
      <sz val="11"/>
      <color indexed="8"/>
      <name val="Arial"/>
      <family val="2"/>
      <charset val="204"/>
    </font>
    <font>
      <sz val="8"/>
      <color indexed="62"/>
      <name val="Calibri"/>
      <family val="2"/>
      <charset val="204"/>
    </font>
    <font>
      <b/>
      <sz val="12"/>
      <color indexed="44"/>
      <name val="Calibri"/>
      <family val="2"/>
      <charset val="204"/>
    </font>
    <font>
      <sz val="11"/>
      <name val="Calibri"/>
      <family val="2"/>
    </font>
    <font>
      <sz val="11"/>
      <color theme="1"/>
      <name val="Calibri"/>
      <family val="2"/>
      <scheme val="minor"/>
    </font>
    <font>
      <sz val="10"/>
      <color theme="1"/>
      <name val="Arial"/>
      <family val="2"/>
      <charset val="204"/>
    </font>
    <font>
      <sz val="10"/>
      <color rgb="FF002060"/>
      <name val="Arial"/>
      <family val="2"/>
      <charset val="204"/>
    </font>
    <font>
      <sz val="8"/>
      <color theme="3" tint="-0.249977111117893"/>
      <name val="Calibri"/>
      <family val="2"/>
    </font>
    <font>
      <sz val="8"/>
      <color theme="1"/>
      <name val="Calibri"/>
      <family val="2"/>
      <charset val="204"/>
    </font>
  </fonts>
  <fills count="38">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45"/>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43"/>
        <bgColor indexed="64"/>
      </patternFill>
    </fill>
    <fill>
      <patternFill patternType="solid">
        <fgColor indexed="61"/>
        <bgColor indexed="64"/>
      </patternFill>
    </fill>
    <fill>
      <patternFill patternType="gray0625">
        <fgColor indexed="52"/>
      </patternFill>
    </fill>
    <fill>
      <patternFill patternType="solid">
        <fgColor indexed="43"/>
        <bgColor indexed="52"/>
      </patternFill>
    </fill>
    <fill>
      <patternFill patternType="gray0625">
        <fgColor indexed="52"/>
        <bgColor indexed="43"/>
      </patternFill>
    </fill>
    <fill>
      <patternFill patternType="solid">
        <fgColor indexed="18"/>
        <bgColor indexed="64"/>
      </patternFill>
    </fill>
    <fill>
      <patternFill patternType="solid">
        <fgColor indexed="62"/>
        <bgColor indexed="64"/>
      </patternFill>
    </fill>
    <fill>
      <patternFill patternType="solid">
        <fgColor indexed="57"/>
        <bgColor indexed="64"/>
      </patternFill>
    </fill>
    <fill>
      <patternFill patternType="gray0625">
        <fgColor indexed="51"/>
        <bgColor indexed="43"/>
      </patternFill>
    </fill>
    <fill>
      <patternFill patternType="solid">
        <fgColor indexed="14"/>
        <bgColor indexed="64"/>
      </patternFill>
    </fill>
    <fill>
      <patternFill patternType="solid">
        <fgColor indexed="43"/>
        <bgColor indexed="51"/>
      </patternFill>
    </fill>
    <fill>
      <patternFill patternType="solid">
        <fgColor indexed="13"/>
        <bgColor indexed="64"/>
      </patternFill>
    </fill>
    <fill>
      <patternFill patternType="solid">
        <fgColor theme="0"/>
        <bgColor indexed="64"/>
      </patternFill>
    </fill>
  </fills>
  <borders count="2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right/>
      <top/>
      <bottom style="medium">
        <color indexed="12"/>
      </bottom>
      <diagonal/>
    </border>
    <border>
      <left style="medium">
        <color indexed="48"/>
      </left>
      <right style="thin">
        <color indexed="64"/>
      </right>
      <top style="thin">
        <color indexed="64"/>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diagonal/>
    </border>
    <border>
      <left style="thin">
        <color indexed="64"/>
      </left>
      <right style="medium">
        <color indexed="60"/>
      </right>
      <top style="thin">
        <color indexed="64"/>
      </top>
      <bottom style="thin">
        <color indexed="64"/>
      </bottom>
      <diagonal/>
    </border>
    <border>
      <left style="thin">
        <color indexed="64"/>
      </left>
      <right style="thin">
        <color indexed="64"/>
      </right>
      <top style="thin">
        <color indexed="64"/>
      </top>
      <bottom style="medium">
        <color indexed="60"/>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right/>
      <top style="medium">
        <color indexed="51"/>
      </top>
      <bottom/>
      <diagonal/>
    </border>
    <border>
      <left/>
      <right style="thin">
        <color indexed="64"/>
      </right>
      <top style="medium">
        <color indexed="51"/>
      </top>
      <bottom style="thin">
        <color indexed="64"/>
      </bottom>
      <diagonal/>
    </border>
    <border>
      <left style="thin">
        <color indexed="64"/>
      </left>
      <right/>
      <top/>
      <bottom/>
      <diagonal/>
    </border>
    <border>
      <left/>
      <right style="thin">
        <color indexed="64"/>
      </right>
      <top/>
      <bottom/>
      <diagonal/>
    </border>
    <border>
      <left style="medium">
        <color indexed="16"/>
      </left>
      <right style="thin">
        <color indexed="64"/>
      </right>
      <top style="thin">
        <color indexed="64"/>
      </top>
      <bottom style="medium">
        <color indexed="16"/>
      </bottom>
      <diagonal/>
    </border>
    <border>
      <left style="medium">
        <color indexed="60"/>
      </left>
      <right style="thin">
        <color indexed="60"/>
      </right>
      <top style="thin">
        <color indexed="60"/>
      </top>
      <bottom style="thin">
        <color indexed="60"/>
      </bottom>
      <diagonal/>
    </border>
    <border>
      <left style="thin">
        <color indexed="64"/>
      </left>
      <right style="medium">
        <color indexed="16"/>
      </right>
      <top style="thin">
        <color indexed="64"/>
      </top>
      <bottom style="thin">
        <color indexed="64"/>
      </bottom>
      <diagonal/>
    </border>
    <border>
      <left style="thin">
        <color indexed="64"/>
      </left>
      <right style="medium">
        <color indexed="16"/>
      </right>
      <top style="thin">
        <color indexed="64"/>
      </top>
      <bottom style="medium">
        <color indexed="16"/>
      </bottom>
      <diagonal/>
    </border>
    <border>
      <left style="medium">
        <color indexed="51"/>
      </left>
      <right style="medium">
        <color indexed="51"/>
      </right>
      <top style="medium">
        <color indexed="51"/>
      </top>
      <bottom/>
      <diagonal/>
    </border>
    <border>
      <left/>
      <right style="thin">
        <color indexed="64"/>
      </right>
      <top style="medium">
        <color indexed="51"/>
      </top>
      <bottom/>
      <diagonal/>
    </border>
    <border>
      <left style="thin">
        <color indexed="64"/>
      </left>
      <right style="thin">
        <color indexed="64"/>
      </right>
      <top style="medium">
        <color indexed="51"/>
      </top>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51"/>
      </right>
      <top style="hair">
        <color indexed="64"/>
      </top>
      <bottom style="hair">
        <color indexed="64"/>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right style="medium">
        <color indexed="62"/>
      </right>
      <top style="hair">
        <color indexed="23"/>
      </top>
      <bottom style="hair">
        <color indexed="23"/>
      </bottom>
      <diagonal/>
    </border>
    <border>
      <left/>
      <right style="medium">
        <color indexed="52"/>
      </right>
      <top/>
      <bottom style="medium">
        <color indexed="52"/>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style="medium">
        <color indexed="60"/>
      </left>
      <right/>
      <top style="hair">
        <color indexed="64"/>
      </top>
      <bottom style="hair">
        <color indexed="64"/>
      </bottom>
      <diagonal/>
    </border>
    <border>
      <left/>
      <right style="medium">
        <color indexed="60"/>
      </right>
      <top style="hair">
        <color indexed="64"/>
      </top>
      <bottom style="hair">
        <color indexed="64"/>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right/>
      <top/>
      <bottom style="medium">
        <color indexed="52"/>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hair">
        <color indexed="64"/>
      </right>
      <top/>
      <bottom style="hair">
        <color indexed="64"/>
      </bottom>
      <diagonal/>
    </border>
    <border>
      <left style="hair">
        <color indexed="57"/>
      </left>
      <right style="medium">
        <color indexed="57"/>
      </right>
      <top style="medium">
        <color indexed="57"/>
      </top>
      <bottom style="medium">
        <color indexed="57"/>
      </bottom>
      <diagonal/>
    </border>
    <border>
      <left style="medium">
        <color indexed="57"/>
      </left>
      <right style="hair">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6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8" borderId="0" applyNumberFormat="0" applyBorder="0" applyAlignment="0" applyProtection="0"/>
    <xf numFmtId="0" fontId="15" fillId="6" borderId="0" applyNumberFormat="0" applyBorder="0" applyAlignment="0" applyProtection="0"/>
    <xf numFmtId="0" fontId="15" fillId="10" borderId="0" applyNumberFormat="0" applyBorder="0" applyAlignment="0" applyProtection="0"/>
    <xf numFmtId="0" fontId="15" fillId="3" borderId="0" applyNumberFormat="0" applyBorder="0" applyAlignment="0" applyProtection="0"/>
    <xf numFmtId="0" fontId="15" fillId="10"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0" borderId="0" applyNumberFormat="0" applyBorder="0" applyAlignment="0" applyProtection="0"/>
    <xf numFmtId="0" fontId="15" fillId="15" borderId="0" applyNumberFormat="0" applyBorder="0" applyAlignment="0" applyProtection="0"/>
    <xf numFmtId="0" fontId="5" fillId="16" borderId="0" applyNumberFormat="0" applyBorder="0" applyAlignment="0" applyProtection="0"/>
    <xf numFmtId="0" fontId="9" fillId="2" borderId="1" applyNumberFormat="0" applyAlignment="0" applyProtection="0"/>
    <xf numFmtId="0" fontId="11" fillId="17" borderId="2" applyNumberFormat="0" applyAlignment="0" applyProtection="0"/>
    <xf numFmtId="170" fontId="2" fillId="0" borderId="0" applyFont="0" applyFill="0" applyBorder="0" applyAlignment="0" applyProtection="0"/>
    <xf numFmtId="0" fontId="13" fillId="0" borderId="0" applyNumberFormat="0" applyFill="0" applyBorder="0" applyAlignment="0" applyProtection="0"/>
    <xf numFmtId="0" fontId="4" fillId="18" borderId="0" applyNumberFormat="0" applyBorder="0" applyAlignment="0" applyProtection="0"/>
    <xf numFmtId="0" fontId="70" fillId="0" borderId="3" applyNumberFormat="0" applyFill="0" applyAlignment="0" applyProtection="0"/>
    <xf numFmtId="0" fontId="71" fillId="0" borderId="4" applyNumberFormat="0" applyFill="0" applyAlignment="0" applyProtection="0"/>
    <xf numFmtId="0" fontId="41" fillId="0" borderId="5"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6" applyNumberFormat="0" applyFill="0" applyAlignment="0" applyProtection="0"/>
    <xf numFmtId="164" fontId="2" fillId="0" borderId="0" applyFill="0" applyBorder="0" applyAlignment="0" applyProtection="0"/>
    <xf numFmtId="164" fontId="1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1" fillId="0" borderId="0"/>
    <xf numFmtId="164" fontId="1" fillId="0" borderId="0"/>
    <xf numFmtId="164" fontId="135" fillId="0" borderId="0"/>
    <xf numFmtId="164" fontId="135" fillId="0" borderId="0"/>
    <xf numFmtId="164" fontId="135" fillId="0" borderId="0"/>
    <xf numFmtId="164" fontId="135" fillId="0" borderId="0"/>
    <xf numFmtId="0" fontId="64" fillId="0" borderId="0"/>
    <xf numFmtId="0" fontId="2" fillId="4" borderId="7" applyNumberFormat="0" applyFont="0" applyAlignment="0" applyProtection="0"/>
    <xf numFmtId="0" fontId="8" fillId="2" borderId="8" applyNumberFormat="0" applyAlignment="0" applyProtection="0"/>
    <xf numFmtId="0" fontId="42" fillId="0" borderId="0" applyNumberFormat="0" applyFill="0" applyBorder="0" applyAlignment="0" applyProtection="0"/>
    <xf numFmtId="164" fontId="135" fillId="0" borderId="9" applyNumberFormat="0" applyFill="0" applyAlignment="0" applyProtection="0"/>
    <xf numFmtId="164" fontId="1" fillId="0" borderId="9" applyNumberFormat="0" applyFill="0" applyAlignment="0" applyProtection="0"/>
    <xf numFmtId="164" fontId="1" fillId="0" borderId="9" applyNumberFormat="0" applyFill="0" applyAlignment="0" applyProtection="0"/>
    <xf numFmtId="164" fontId="135" fillId="0" borderId="9" applyNumberFormat="0" applyFill="0" applyAlignment="0" applyProtection="0"/>
    <xf numFmtId="0" fontId="72" fillId="0" borderId="0" applyNumberFormat="0" applyFill="0" applyBorder="0" applyAlignment="0" applyProtection="0"/>
    <xf numFmtId="9" fontId="3" fillId="0" borderId="0" applyFont="0" applyFill="0" applyBorder="0" applyAlignment="0" applyProtection="0"/>
    <xf numFmtId="164" fontId="3" fillId="0" borderId="0" applyFont="0" applyFill="0" applyBorder="0" applyAlignment="0" applyProtection="0"/>
  </cellStyleXfs>
  <cellXfs count="869">
    <xf numFmtId="0" fontId="0" fillId="0" borderId="0" xfId="0"/>
    <xf numFmtId="164" fontId="16" fillId="0" borderId="0" xfId="38" applyFont="1" applyFill="1" applyAlignment="1">
      <alignment vertical="center"/>
    </xf>
    <xf numFmtId="0" fontId="0" fillId="0" borderId="0" xfId="0" applyBorder="1" applyProtection="1"/>
    <xf numFmtId="0" fontId="0" fillId="0" borderId="0" xfId="0" applyProtection="1"/>
    <xf numFmtId="164" fontId="22" fillId="0" borderId="0" xfId="38" applyFont="1" applyFill="1" applyAlignment="1" applyProtection="1">
      <alignment vertical="center"/>
    </xf>
    <xf numFmtId="0" fontId="21" fillId="0" borderId="0" xfId="0" applyFont="1" applyProtection="1"/>
    <xf numFmtId="164" fontId="19" fillId="0" borderId="0" xfId="49" applyFont="1" applyFill="1" applyAlignment="1" applyProtection="1"/>
    <xf numFmtId="164" fontId="19" fillId="0" borderId="0" xfId="49" applyFont="1" applyFill="1" applyAlignment="1" applyProtection="1">
      <alignment horizontal="center"/>
    </xf>
    <xf numFmtId="164" fontId="19" fillId="0" borderId="0" xfId="49" applyFont="1" applyFill="1" applyAlignment="1" applyProtection="1">
      <alignment horizontal="right"/>
    </xf>
    <xf numFmtId="164" fontId="19" fillId="0" borderId="0" xfId="49" applyFont="1" applyFill="1" applyBorder="1" applyAlignment="1" applyProtection="1">
      <alignment horizontal="center"/>
    </xf>
    <xf numFmtId="164" fontId="135" fillId="0" borderId="0" xfId="48" applyProtection="1"/>
    <xf numFmtId="164" fontId="15" fillId="0" borderId="0" xfId="48" applyFont="1" applyProtection="1"/>
    <xf numFmtId="0" fontId="18" fillId="0" borderId="0" xfId="48" applyNumberFormat="1" applyFont="1" applyBorder="1" applyProtection="1"/>
    <xf numFmtId="164" fontId="135" fillId="0" borderId="0" xfId="50" applyProtection="1"/>
    <xf numFmtId="164" fontId="135" fillId="0" borderId="0" xfId="50" applyFill="1" applyBorder="1" applyAlignment="1" applyProtection="1">
      <alignment horizontal="left"/>
    </xf>
    <xf numFmtId="0" fontId="0" fillId="0" borderId="0" xfId="0" applyFill="1" applyBorder="1" applyProtection="1"/>
    <xf numFmtId="164" fontId="135" fillId="0" borderId="0" xfId="50" applyFill="1" applyBorder="1" applyProtection="1"/>
    <xf numFmtId="0" fontId="15" fillId="0" borderId="0" xfId="0" applyFont="1" applyProtection="1"/>
    <xf numFmtId="164" fontId="15" fillId="0" borderId="0" xfId="50" applyFont="1" applyProtection="1"/>
    <xf numFmtId="0" fontId="0" fillId="0" borderId="0" xfId="0" applyBorder="1"/>
    <xf numFmtId="0" fontId="0" fillId="0" borderId="0" xfId="0" applyFill="1" applyBorder="1"/>
    <xf numFmtId="15" fontId="29" fillId="0" borderId="0" xfId="0" applyNumberFormat="1" applyFont="1" applyFill="1" applyBorder="1" applyAlignment="1" applyProtection="1">
      <alignment horizontal="center" vertical="center" wrapText="1"/>
      <protection locked="0"/>
    </xf>
    <xf numFmtId="164" fontId="28" fillId="0" borderId="0" xfId="0" applyNumberFormat="1" applyFont="1"/>
    <xf numFmtId="164" fontId="28" fillId="0" borderId="0" xfId="0" applyNumberFormat="1" applyFont="1" applyAlignment="1">
      <alignment horizontal="right"/>
    </xf>
    <xf numFmtId="166" fontId="28" fillId="0" borderId="0" xfId="62" applyNumberFormat="1" applyFont="1" applyAlignment="1">
      <alignment horizontal="left"/>
    </xf>
    <xf numFmtId="164" fontId="16" fillId="0" borderId="0" xfId="47"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5" fillId="0" borderId="0" xfId="0" applyFont="1"/>
    <xf numFmtId="0" fontId="43" fillId="0" borderId="0" xfId="0" applyNumberFormat="1" applyFont="1" applyBorder="1"/>
    <xf numFmtId="0" fontId="0" fillId="0" borderId="0" xfId="0" applyFill="1"/>
    <xf numFmtId="10" fontId="6" fillId="0" borderId="0" xfId="61" applyNumberFormat="1" applyFont="1" applyFill="1" applyBorder="1" applyAlignment="1">
      <alignment horizontal="center"/>
    </xf>
    <xf numFmtId="10" fontId="6" fillId="0" borderId="0" xfId="61" applyNumberFormat="1" applyFont="1" applyFill="1" applyBorder="1" applyAlignment="1" applyProtection="1">
      <alignment horizontal="center"/>
      <protection locked="0"/>
    </xf>
    <xf numFmtId="164" fontId="28" fillId="0" borderId="0" xfId="0" applyNumberFormat="1" applyFont="1" applyFill="1" applyBorder="1" applyAlignment="1"/>
    <xf numFmtId="164" fontId="135" fillId="0" borderId="0" xfId="59" applyFill="1" applyBorder="1" applyAlignment="1" applyProtection="1">
      <alignment vertical="center"/>
      <protection locked="0"/>
    </xf>
    <xf numFmtId="165" fontId="32" fillId="0" borderId="0" xfId="0" applyNumberFormat="1" applyFont="1" applyFill="1" applyBorder="1" applyAlignment="1">
      <alignment horizontal="center"/>
    </xf>
    <xf numFmtId="164" fontId="39" fillId="0" borderId="0" xfId="59"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5" fillId="0" borderId="0" xfId="56"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164" fontId="66" fillId="0" borderId="0" xfId="48" applyFont="1" applyProtection="1"/>
    <xf numFmtId="164" fontId="66" fillId="0" borderId="0" xfId="50" applyFont="1" applyProtection="1"/>
    <xf numFmtId="0" fontId="66" fillId="0" borderId="10" xfId="0" applyFont="1" applyFill="1" applyBorder="1" applyAlignment="1" applyProtection="1">
      <alignment horizontal="center"/>
    </xf>
    <xf numFmtId="0" fontId="66" fillId="0" borderId="10" xfId="0" applyFont="1" applyFill="1" applyBorder="1" applyProtection="1"/>
    <xf numFmtId="164" fontId="66" fillId="0" borderId="10" xfId="50" applyFont="1" applyBorder="1" applyProtection="1"/>
    <xf numFmtId="0" fontId="67" fillId="0" borderId="10" xfId="0" applyFont="1" applyBorder="1" applyAlignment="1" applyProtection="1">
      <alignment horizontal="left" indent="1"/>
    </xf>
    <xf numFmtId="0" fontId="68" fillId="0" borderId="10" xfId="0" applyFont="1" applyBorder="1"/>
    <xf numFmtId="0" fontId="69" fillId="19" borderId="10" xfId="0" applyFont="1" applyFill="1" applyBorder="1" applyAlignment="1" applyProtection="1">
      <alignment horizontal="center"/>
    </xf>
    <xf numFmtId="0" fontId="69" fillId="19" borderId="10" xfId="0" applyFont="1" applyFill="1" applyBorder="1" applyAlignment="1">
      <alignment horizontal="center"/>
    </xf>
    <xf numFmtId="3" fontId="15" fillId="20" borderId="11" xfId="0" applyNumberFormat="1" applyFont="1" applyFill="1" applyBorder="1" applyAlignment="1">
      <alignment horizontal="right"/>
    </xf>
    <xf numFmtId="3" fontId="15" fillId="20" borderId="11" xfId="62" applyNumberFormat="1" applyFont="1" applyFill="1" applyBorder="1"/>
    <xf numFmtId="9" fontId="15" fillId="20" borderId="11" xfId="61" applyFont="1" applyFill="1" applyBorder="1"/>
    <xf numFmtId="9" fontId="15" fillId="20" borderId="11" xfId="61" applyNumberFormat="1" applyFont="1" applyFill="1" applyBorder="1"/>
    <xf numFmtId="0" fontId="15" fillId="20" borderId="11" xfId="0" applyFont="1" applyFill="1" applyBorder="1"/>
    <xf numFmtId="9" fontId="15" fillId="20" borderId="11" xfId="61" applyFont="1" applyFill="1" applyBorder="1" applyAlignment="1">
      <alignment horizontal="center"/>
    </xf>
    <xf numFmtId="0" fontId="15" fillId="0" borderId="0" xfId="0" applyFont="1"/>
    <xf numFmtId="0" fontId="33" fillId="0" borderId="0" xfId="0" applyFont="1" applyAlignment="1">
      <alignment horizontal="center"/>
    </xf>
    <xf numFmtId="164" fontId="59" fillId="0" borderId="0" xfId="47" applyFont="1" applyFill="1" applyAlignment="1">
      <alignment vertical="center"/>
    </xf>
    <xf numFmtId="0" fontId="14" fillId="0" borderId="0" xfId="0" applyFont="1"/>
    <xf numFmtId="0" fontId="45" fillId="0" borderId="0" xfId="0" applyFont="1" applyFill="1"/>
    <xf numFmtId="0" fontId="75" fillId="19" borderId="12" xfId="0" applyFont="1" applyFill="1" applyBorder="1" applyAlignment="1">
      <alignment vertical="center"/>
    </xf>
    <xf numFmtId="0" fontId="73" fillId="0" borderId="0" xfId="52" applyNumberFormat="1" applyFont="1" applyFill="1" applyBorder="1" applyAlignment="1">
      <alignment horizontal="center" vertical="center" wrapText="1"/>
    </xf>
    <xf numFmtId="0" fontId="73" fillId="21" borderId="13" xfId="52"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78" fillId="20" borderId="0" xfId="0" applyNumberFormat="1" applyFont="1" applyFill="1" applyBorder="1" applyAlignment="1">
      <alignment horizontal="center"/>
    </xf>
    <xf numFmtId="0" fontId="78" fillId="0" borderId="0" xfId="0" applyFont="1" applyFill="1" applyBorder="1" applyAlignment="1" applyProtection="1">
      <alignment horizontal="left"/>
    </xf>
    <xf numFmtId="0" fontId="79" fillId="0" borderId="0" xfId="0" applyFont="1"/>
    <xf numFmtId="164" fontId="39" fillId="0" borderId="0" xfId="59"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164" fontId="31" fillId="0" borderId="14" xfId="59" applyFont="1" applyBorder="1" applyAlignment="1" applyProtection="1"/>
    <xf numFmtId="164" fontId="135" fillId="0" borderId="14" xfId="59" applyFill="1" applyBorder="1" applyAlignment="1" applyProtection="1">
      <alignment vertical="center"/>
    </xf>
    <xf numFmtId="164" fontId="31" fillId="0" borderId="0" xfId="59" applyFont="1" applyBorder="1" applyAlignment="1" applyProtection="1"/>
    <xf numFmtId="164" fontId="135" fillId="0" borderId="0" xfId="59"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6" fontId="15" fillId="0" borderId="0" xfId="0" applyNumberFormat="1" applyFont="1" applyFill="1" applyBorder="1" applyAlignment="1" applyProtection="1"/>
    <xf numFmtId="10" fontId="6" fillId="0" borderId="0" xfId="61" applyNumberFormat="1" applyFont="1" applyFill="1" applyBorder="1" applyAlignment="1" applyProtection="1">
      <alignment horizontal="center"/>
    </xf>
    <xf numFmtId="0" fontId="6" fillId="0" borderId="0" xfId="0" applyFont="1" applyFill="1" applyBorder="1" applyAlignment="1" applyProtection="1"/>
    <xf numFmtId="15" fontId="26" fillId="0" borderId="18" xfId="0" applyNumberFormat="1" applyFont="1" applyFill="1" applyBorder="1" applyAlignment="1" applyProtection="1"/>
    <xf numFmtId="164" fontId="38" fillId="0" borderId="19" xfId="59" applyFont="1" applyBorder="1" applyAlignment="1" applyProtection="1"/>
    <xf numFmtId="164" fontId="39" fillId="0" borderId="19" xfId="59" applyFont="1" applyFill="1" applyBorder="1" applyAlignment="1" applyProtection="1">
      <alignment vertical="center"/>
    </xf>
    <xf numFmtId="164" fontId="39" fillId="0" borderId="0" xfId="59" applyFont="1" applyFill="1" applyBorder="1" applyAlignment="1" applyProtection="1">
      <alignment vertical="center"/>
    </xf>
    <xf numFmtId="164" fontId="38" fillId="0" borderId="0" xfId="59" applyFont="1" applyBorder="1" applyAlignment="1" applyProtection="1"/>
    <xf numFmtId="164" fontId="40" fillId="0" borderId="0" xfId="59" applyFont="1" applyFill="1" applyBorder="1" applyAlignment="1" applyProtection="1">
      <alignment vertical="center"/>
    </xf>
    <xf numFmtId="0" fontId="14" fillId="0" borderId="0" xfId="0" applyFont="1" applyBorder="1" applyAlignment="1" applyProtection="1">
      <alignment horizontal="center"/>
    </xf>
    <xf numFmtId="0" fontId="14" fillId="0" borderId="20" xfId="0" applyFont="1" applyBorder="1" applyAlignment="1" applyProtection="1">
      <alignment horizontal="center"/>
    </xf>
    <xf numFmtId="0" fontId="14" fillId="0" borderId="22" xfId="0" applyFont="1" applyBorder="1" applyAlignment="1" applyProtection="1">
      <alignment horizontal="center"/>
    </xf>
    <xf numFmtId="0" fontId="0" fillId="0" borderId="24" xfId="0" applyBorder="1" applyProtection="1"/>
    <xf numFmtId="0" fontId="0" fillId="0" borderId="22" xfId="0" applyBorder="1" applyAlignment="1" applyProtection="1">
      <alignment horizontal="center"/>
    </xf>
    <xf numFmtId="164" fontId="0" fillId="0" borderId="0" xfId="0" applyNumberFormat="1" applyFill="1" applyBorder="1" applyProtection="1"/>
    <xf numFmtId="164" fontId="65" fillId="0" borderId="25" xfId="59" applyFont="1" applyFill="1" applyBorder="1" applyAlignment="1" applyProtection="1"/>
    <xf numFmtId="164" fontId="39" fillId="0" borderId="25" xfId="59" applyFont="1" applyFill="1" applyBorder="1" applyAlignment="1" applyProtection="1">
      <alignment vertical="center"/>
    </xf>
    <xf numFmtId="164" fontId="28" fillId="0" borderId="0" xfId="0" applyNumberFormat="1" applyFont="1" applyAlignment="1" applyProtection="1">
      <alignment horizontal="right"/>
    </xf>
    <xf numFmtId="166" fontId="28" fillId="0" borderId="0" xfId="62"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164" fontId="28" fillId="0" borderId="0" xfId="0" applyNumberFormat="1" applyFont="1" applyProtection="1"/>
    <xf numFmtId="164" fontId="28" fillId="0" borderId="0" xfId="0" applyNumberFormat="1" applyFont="1" applyBorder="1" applyProtection="1"/>
    <xf numFmtId="164" fontId="28" fillId="0" borderId="0" xfId="0" applyNumberFormat="1" applyFont="1" applyBorder="1" applyAlignment="1" applyProtection="1">
      <alignment horizontal="right"/>
    </xf>
    <xf numFmtId="166" fontId="28" fillId="0" borderId="0" xfId="62"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10" xfId="0" applyFont="1" applyBorder="1" applyAlignment="1" applyProtection="1">
      <alignment horizontal="center" vertic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4" fillId="0" borderId="0" xfId="0" applyFont="1" applyBorder="1" applyAlignment="1" applyProtection="1">
      <alignment horizontal="left" vertical="center"/>
    </xf>
    <xf numFmtId="0" fontId="44" fillId="0" borderId="0" xfId="0" applyFont="1" applyBorder="1" applyAlignment="1" applyProtection="1">
      <alignment horizontal="left"/>
    </xf>
    <xf numFmtId="167" fontId="44" fillId="0" borderId="0" xfId="0" applyNumberFormat="1" applyFont="1" applyBorder="1" applyAlignment="1" applyProtection="1">
      <alignment horizontal="left"/>
    </xf>
    <xf numFmtId="0" fontId="45" fillId="0" borderId="0" xfId="0" applyFont="1" applyProtection="1"/>
    <xf numFmtId="0" fontId="46" fillId="0" borderId="0" xfId="0" applyFont="1" applyFill="1" applyBorder="1" applyProtection="1"/>
    <xf numFmtId="0" fontId="47" fillId="0" borderId="0" xfId="0" applyFont="1" applyFill="1" applyBorder="1" applyProtection="1"/>
    <xf numFmtId="0" fontId="49" fillId="0" borderId="0" xfId="0" applyFont="1" applyFill="1" applyBorder="1" applyAlignment="1" applyProtection="1">
      <alignment horizontal="right"/>
    </xf>
    <xf numFmtId="0" fontId="50"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1" fillId="20" borderId="0" xfId="0" applyFont="1" applyFill="1" applyBorder="1" applyAlignment="1" applyProtection="1">
      <alignment horizontal="left" vertical="center"/>
    </xf>
    <xf numFmtId="3" fontId="56" fillId="0" borderId="0" xfId="0" applyNumberFormat="1" applyFont="1" applyFill="1" applyBorder="1" applyAlignment="1" applyProtection="1">
      <alignment horizontal="right" vertical="center"/>
    </xf>
    <xf numFmtId="0" fontId="57" fillId="20" borderId="0" xfId="0" applyFont="1" applyFill="1" applyBorder="1" applyAlignment="1" applyProtection="1">
      <alignment horizontal="left" vertical="center"/>
    </xf>
    <xf numFmtId="169" fontId="51" fillId="20" borderId="0" xfId="0" applyNumberFormat="1" applyFont="1" applyFill="1" applyBorder="1" applyAlignment="1" applyProtection="1">
      <alignment vertical="center"/>
    </xf>
    <xf numFmtId="0" fontId="52" fillId="20" borderId="0" xfId="0" applyNumberFormat="1" applyFont="1" applyFill="1" applyBorder="1" applyAlignment="1" applyProtection="1">
      <alignment horizontal="right"/>
    </xf>
    <xf numFmtId="0" fontId="61" fillId="20" borderId="0" xfId="0" applyFont="1" applyFill="1" applyBorder="1" applyAlignment="1" applyProtection="1">
      <alignment horizontal="center" vertical="center"/>
    </xf>
    <xf numFmtId="0" fontId="53" fillId="20" borderId="0" xfId="0" applyFont="1" applyFill="1" applyBorder="1" applyAlignment="1" applyProtection="1">
      <alignment horizontal="center" vertical="center"/>
    </xf>
    <xf numFmtId="168" fontId="51" fillId="20" borderId="0" xfId="61" applyNumberFormat="1" applyFont="1" applyFill="1" applyBorder="1" applyAlignment="1" applyProtection="1">
      <alignment horizontal="right"/>
    </xf>
    <xf numFmtId="9" fontId="54" fillId="20" borderId="0" xfId="0" applyNumberFormat="1" applyFont="1" applyFill="1" applyBorder="1" applyProtection="1"/>
    <xf numFmtId="0" fontId="55" fillId="20" borderId="0" xfId="0" applyFont="1" applyFill="1" applyBorder="1" applyAlignment="1" applyProtection="1">
      <alignment horizontal="center" vertical="center"/>
    </xf>
    <xf numFmtId="9" fontId="54" fillId="20" borderId="0" xfId="0" applyNumberFormat="1" applyFont="1" applyFill="1" applyBorder="1" applyAlignment="1" applyProtection="1">
      <alignment horizontal="left"/>
    </xf>
    <xf numFmtId="0" fontId="62"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48" fillId="0" borderId="0" xfId="0" applyFont="1" applyFill="1" applyBorder="1" applyAlignment="1" applyProtection="1">
      <alignment horizontal="right" vertical="center" indent="1"/>
    </xf>
    <xf numFmtId="0" fontId="52" fillId="0" borderId="26" xfId="0" applyNumberFormat="1" applyFont="1" applyFill="1" applyBorder="1" applyAlignment="1" applyProtection="1">
      <alignment horizontal="right"/>
    </xf>
    <xf numFmtId="0" fontId="52" fillId="0" borderId="27" xfId="0" applyNumberFormat="1" applyFont="1" applyFill="1" applyBorder="1" applyAlignment="1" applyProtection="1">
      <alignment horizontal="right"/>
    </xf>
    <xf numFmtId="0" fontId="52" fillId="0" borderId="28" xfId="0" applyNumberFormat="1" applyFont="1" applyFill="1" applyBorder="1" applyAlignment="1" applyProtection="1">
      <alignment horizontal="right"/>
    </xf>
    <xf numFmtId="0" fontId="60" fillId="0" borderId="0" xfId="0" applyFont="1" applyFill="1" applyBorder="1" applyAlignment="1" applyProtection="1">
      <alignment horizontal="center"/>
    </xf>
    <xf numFmtId="0" fontId="52" fillId="0" borderId="0" xfId="0" applyNumberFormat="1" applyFont="1" applyFill="1" applyBorder="1" applyAlignment="1" applyProtection="1">
      <alignment horizontal="right"/>
    </xf>
    <xf numFmtId="0" fontId="61" fillId="0" borderId="0" xfId="0" applyFont="1" applyFill="1" applyBorder="1" applyAlignment="1" applyProtection="1">
      <alignment horizontal="center" vertical="center"/>
    </xf>
    <xf numFmtId="9" fontId="63" fillId="0" borderId="0" xfId="0" applyNumberFormat="1" applyFont="1" applyFill="1" applyBorder="1" applyAlignment="1" applyProtection="1"/>
    <xf numFmtId="9" fontId="63" fillId="0" borderId="0" xfId="0" applyNumberFormat="1" applyFont="1" applyFill="1" applyBorder="1" applyAlignment="1" applyProtection="1">
      <alignment horizontal="center"/>
    </xf>
    <xf numFmtId="0" fontId="52" fillId="0" borderId="29" xfId="0" applyNumberFormat="1" applyFont="1" applyFill="1" applyBorder="1" applyAlignment="1" applyProtection="1">
      <alignment horizontal="right"/>
    </xf>
    <xf numFmtId="9" fontId="54" fillId="0" borderId="0" xfId="0" applyNumberFormat="1" applyFont="1" applyFill="1" applyBorder="1" applyProtection="1"/>
    <xf numFmtId="0" fontId="52" fillId="0" borderId="30" xfId="0" applyNumberFormat="1" applyFont="1" applyFill="1" applyBorder="1" applyAlignment="1" applyProtection="1">
      <alignment horizontal="right"/>
    </xf>
    <xf numFmtId="0" fontId="52" fillId="0" borderId="31" xfId="0" applyNumberFormat="1" applyFont="1" applyFill="1" applyBorder="1" applyAlignment="1" applyProtection="1">
      <alignment horizontal="right"/>
    </xf>
    <xf numFmtId="0" fontId="34" fillId="0" borderId="32" xfId="0" applyNumberFormat="1" applyFont="1" applyFill="1" applyBorder="1" applyAlignment="1" applyProtection="1">
      <alignment vertical="center"/>
    </xf>
    <xf numFmtId="0" fontId="34" fillId="0" borderId="33" xfId="0" applyNumberFormat="1" applyFont="1" applyFill="1" applyBorder="1" applyAlignment="1" applyProtection="1">
      <alignment vertical="center"/>
    </xf>
    <xf numFmtId="0" fontId="34" fillId="0" borderId="34" xfId="0" applyNumberFormat="1" applyFont="1" applyFill="1" applyBorder="1" applyAlignment="1" applyProtection="1">
      <alignment vertical="center"/>
    </xf>
    <xf numFmtId="0" fontId="66" fillId="0" borderId="0" xfId="0" applyFont="1" applyFill="1" applyBorder="1" applyAlignment="1" applyProtection="1"/>
    <xf numFmtId="164"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164" fontId="0" fillId="0" borderId="0" xfId="0" applyNumberFormat="1" applyAlignment="1" applyProtection="1">
      <alignment horizontal="right"/>
    </xf>
    <xf numFmtId="3" fontId="0" fillId="0" borderId="0" xfId="0" applyNumberFormat="1" applyProtection="1"/>
    <xf numFmtId="0" fontId="0" fillId="0" borderId="0" xfId="0" applyBorder="1" applyAlignment="1">
      <alignment horizontal="center"/>
    </xf>
    <xf numFmtId="0" fontId="15" fillId="20" borderId="0" xfId="0" applyFont="1" applyFill="1"/>
    <xf numFmtId="166" fontId="15" fillId="20" borderId="0" xfId="0" applyNumberFormat="1" applyFont="1" applyFill="1"/>
    <xf numFmtId="3" fontId="15" fillId="20" borderId="0" xfId="0" applyNumberFormat="1" applyFont="1" applyFill="1" applyProtection="1"/>
    <xf numFmtId="165"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35" xfId="0" applyFont="1" applyFill="1" applyBorder="1" applyAlignment="1" applyProtection="1">
      <alignment horizontal="center" wrapText="1"/>
    </xf>
    <xf numFmtId="0" fontId="28" fillId="0" borderId="36" xfId="0" applyFont="1" applyFill="1" applyBorder="1" applyAlignment="1" applyProtection="1">
      <alignment horizontal="center" wrapText="1"/>
    </xf>
    <xf numFmtId="0" fontId="0" fillId="0" borderId="36" xfId="0" applyBorder="1" applyProtection="1"/>
    <xf numFmtId="164" fontId="17" fillId="0" borderId="0" xfId="46" applyFont="1" applyFill="1" applyAlignment="1" applyProtection="1">
      <alignment horizontal="center" vertical="center"/>
    </xf>
    <xf numFmtId="164" fontId="16" fillId="0" borderId="0" xfId="46" applyFont="1" applyFill="1" applyAlignment="1" applyProtection="1">
      <alignment vertical="center"/>
    </xf>
    <xf numFmtId="0" fontId="80" fillId="0" borderId="0" xfId="0" applyFont="1"/>
    <xf numFmtId="164" fontId="14" fillId="0" borderId="0" xfId="0" applyNumberFormat="1" applyFont="1" applyAlignment="1" applyProtection="1">
      <alignment horizontal="center"/>
    </xf>
    <xf numFmtId="164" fontId="20" fillId="0" borderId="37" xfId="56" applyFont="1" applyBorder="1" applyAlignment="1" applyProtection="1">
      <alignment horizontal="right"/>
    </xf>
    <xf numFmtId="0" fontId="12" fillId="0" borderId="0" xfId="0" applyFont="1"/>
    <xf numFmtId="164" fontId="86" fillId="0" borderId="0" xfId="0" applyNumberFormat="1" applyFont="1"/>
    <xf numFmtId="0" fontId="86" fillId="0" borderId="0" xfId="0" applyFont="1"/>
    <xf numFmtId="164" fontId="0" fillId="0" borderId="0" xfId="0" quotePrefix="1" applyNumberFormat="1"/>
    <xf numFmtId="164" fontId="0" fillId="0" borderId="0" xfId="0" applyNumberFormat="1"/>
    <xf numFmtId="0" fontId="34" fillId="0" borderId="38" xfId="0" applyNumberFormat="1" applyFont="1" applyFill="1" applyBorder="1" applyAlignment="1" applyProtection="1">
      <alignment vertical="center"/>
    </xf>
    <xf numFmtId="164" fontId="135" fillId="0" borderId="0" xfId="51" applyFill="1" applyBorder="1" applyAlignment="1" applyProtection="1">
      <alignment horizontal="center"/>
    </xf>
    <xf numFmtId="0" fontId="34" fillId="0" borderId="0" xfId="0" quotePrefix="1" applyFont="1" applyProtection="1"/>
    <xf numFmtId="0" fontId="61" fillId="0" borderId="39" xfId="0" applyFont="1" applyBorder="1" applyAlignment="1">
      <alignment horizontal="justify" vertical="center" wrapText="1"/>
    </xf>
    <xf numFmtId="0" fontId="61" fillId="0" borderId="40" xfId="0" applyFont="1" applyBorder="1" applyAlignment="1">
      <alignment horizontal="justify" vertical="center" wrapText="1"/>
    </xf>
    <xf numFmtId="0" fontId="61" fillId="0" borderId="41" xfId="0" applyFont="1" applyBorder="1" applyAlignment="1">
      <alignment horizontal="justify" vertical="center" wrapText="1"/>
    </xf>
    <xf numFmtId="0" fontId="85" fillId="0" borderId="40" xfId="0" applyFont="1" applyBorder="1" applyAlignment="1">
      <alignment horizontal="justify" vertical="center" wrapText="1"/>
    </xf>
    <xf numFmtId="164" fontId="88" fillId="0" borderId="25" xfId="59" applyFont="1" applyFill="1" applyBorder="1" applyAlignment="1" applyProtection="1"/>
    <xf numFmtId="164" fontId="9" fillId="0" borderId="25" xfId="59" applyFont="1" applyFill="1" applyBorder="1" applyAlignment="1" applyProtection="1">
      <alignment vertical="center"/>
    </xf>
    <xf numFmtId="0" fontId="84" fillId="0" borderId="39" xfId="0" applyFont="1" applyBorder="1" applyAlignment="1">
      <alignment vertical="center" wrapText="1"/>
    </xf>
    <xf numFmtId="0" fontId="84" fillId="0" borderId="40" xfId="0" applyFont="1" applyBorder="1" applyAlignment="1">
      <alignment vertical="center" wrapText="1"/>
    </xf>
    <xf numFmtId="0" fontId="1" fillId="0" borderId="0" xfId="0" applyFont="1"/>
    <xf numFmtId="0" fontId="90" fillId="0" borderId="0" xfId="0" applyFont="1"/>
    <xf numFmtId="164" fontId="92" fillId="0" borderId="25" xfId="59" applyFont="1" applyFill="1" applyBorder="1" applyAlignment="1" applyProtection="1">
      <alignment vertical="center"/>
    </xf>
    <xf numFmtId="0" fontId="91" fillId="0" borderId="0" xfId="0" applyFont="1" applyFill="1"/>
    <xf numFmtId="15" fontId="36" fillId="0" borderId="0" xfId="0" applyNumberFormat="1" applyFont="1" applyAlignment="1" applyProtection="1">
      <alignment horizontal="center"/>
    </xf>
    <xf numFmtId="1" fontId="21" fillId="22" borderId="10" xfId="0" applyNumberFormat="1" applyFont="1" applyFill="1" applyBorder="1" applyAlignment="1" applyProtection="1">
      <alignment horizontal="center"/>
      <protection locked="0"/>
    </xf>
    <xf numFmtId="1" fontId="21" fillId="22" borderId="43" xfId="0" applyNumberFormat="1" applyFont="1" applyFill="1" applyBorder="1" applyAlignment="1" applyProtection="1">
      <alignment horizontal="center"/>
      <protection locked="0"/>
    </xf>
    <xf numFmtId="164" fontId="20" fillId="0" borderId="0" xfId="49" applyFont="1" applyFill="1" applyAlignment="1" applyProtection="1">
      <alignment horizontal="right" vertical="center"/>
    </xf>
    <xf numFmtId="0" fontId="97" fillId="0" borderId="0" xfId="0" applyFont="1" applyFill="1" applyBorder="1" applyAlignment="1" applyProtection="1">
      <alignment horizontal="right"/>
    </xf>
    <xf numFmtId="0" fontId="99" fillId="0" borderId="0" xfId="0" applyFont="1" applyFill="1" applyBorder="1" applyProtection="1"/>
    <xf numFmtId="0" fontId="97" fillId="0" borderId="0" xfId="0" applyFont="1" applyBorder="1" applyProtection="1"/>
    <xf numFmtId="3" fontId="6" fillId="0" borderId="0" xfId="0" applyNumberFormat="1" applyFont="1" applyAlignment="1" applyProtection="1">
      <alignment horizontal="right"/>
    </xf>
    <xf numFmtId="0" fontId="102" fillId="0" borderId="0" xfId="0" applyFont="1" applyFill="1" applyBorder="1" applyAlignment="1" applyProtection="1">
      <alignment horizontal="center" wrapText="1"/>
    </xf>
    <xf numFmtId="0" fontId="97" fillId="0" borderId="0" xfId="0" applyFont="1" applyFill="1" applyBorder="1" applyAlignment="1" applyProtection="1">
      <alignment horizontal="center"/>
    </xf>
    <xf numFmtId="0" fontId="0" fillId="0" borderId="0" xfId="0" quotePrefix="1" applyProtection="1"/>
    <xf numFmtId="15" fontId="32" fillId="0" borderId="44"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164" fontId="107" fillId="0" borderId="0" xfId="38" applyFont="1" applyFill="1" applyAlignment="1" applyProtection="1">
      <alignment vertical="center"/>
    </xf>
    <xf numFmtId="0" fontId="108" fillId="0" borderId="0" xfId="0" applyFont="1" applyProtection="1"/>
    <xf numFmtId="0" fontId="108" fillId="0" borderId="0" xfId="0" applyFont="1" applyBorder="1" applyProtection="1"/>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94" fillId="0" borderId="0" xfId="0" applyFont="1" applyFill="1" applyBorder="1" applyAlignment="1" applyProtection="1">
      <alignment horizontal="center" vertical="center"/>
    </xf>
    <xf numFmtId="0" fontId="6" fillId="0" borderId="45" xfId="0" applyFont="1" applyBorder="1" applyAlignment="1" applyProtection="1"/>
    <xf numFmtId="0" fontId="6" fillId="0" borderId="46" xfId="0" applyFont="1" applyBorder="1" applyAlignment="1" applyProtection="1"/>
    <xf numFmtId="0" fontId="25" fillId="0" borderId="47" xfId="0" applyFont="1" applyBorder="1" applyAlignment="1" applyProtection="1">
      <alignment vertical="distributed"/>
    </xf>
    <xf numFmtId="15" fontId="27" fillId="0" borderId="48"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3" fillId="0" borderId="0" xfId="0" applyFont="1" applyFill="1" applyBorder="1" applyAlignment="1" applyProtection="1">
      <alignment horizontal="left"/>
      <protection locked="0"/>
    </xf>
    <xf numFmtId="0" fontId="32" fillId="23" borderId="49" xfId="0" applyFont="1" applyFill="1" applyBorder="1" applyAlignment="1" applyProtection="1">
      <alignment horizontal="centerContinuous"/>
    </xf>
    <xf numFmtId="15" fontId="104" fillId="0" borderId="36" xfId="0" applyNumberFormat="1" applyFont="1" applyFill="1" applyBorder="1" applyAlignment="1" applyProtection="1">
      <alignment horizontal="center" wrapText="1"/>
    </xf>
    <xf numFmtId="15" fontId="104" fillId="0" borderId="50" xfId="0" applyNumberFormat="1" applyFont="1" applyFill="1" applyBorder="1" applyAlignment="1" applyProtection="1">
      <alignment horizontal="center" wrapText="1"/>
    </xf>
    <xf numFmtId="0" fontId="37" fillId="0" borderId="51" xfId="0" applyFont="1" applyFill="1" applyBorder="1" applyAlignment="1" applyProtection="1">
      <alignment horizontal="center"/>
    </xf>
    <xf numFmtId="0" fontId="37" fillId="0" borderId="52" xfId="0" applyFont="1" applyFill="1" applyBorder="1" applyAlignment="1" applyProtection="1">
      <alignment horizontal="center"/>
    </xf>
    <xf numFmtId="0" fontId="32" fillId="23" borderId="53"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96" fillId="0" borderId="0" xfId="0" applyFont="1" applyFill="1" applyBorder="1" applyAlignment="1" applyProtection="1">
      <alignment horizontal="center"/>
    </xf>
    <xf numFmtId="0" fontId="101"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1" xfId="0" applyNumberFormat="1" applyFill="1" applyBorder="1" applyAlignment="1" applyProtection="1">
      <alignment horizontal="center"/>
    </xf>
    <xf numFmtId="1" fontId="0" fillId="22" borderId="43" xfId="0" applyNumberFormat="1" applyFill="1" applyBorder="1" applyAlignment="1" applyProtection="1">
      <alignment horizontal="center"/>
      <protection locked="0"/>
    </xf>
    <xf numFmtId="0" fontId="0" fillId="0" borderId="54" xfId="0" applyBorder="1" applyAlignment="1" applyProtection="1">
      <alignment horizontal="center"/>
    </xf>
    <xf numFmtId="0" fontId="0" fillId="0" borderId="36" xfId="0" applyFill="1" applyBorder="1" applyAlignment="1" applyProtection="1">
      <alignment horizontal="center"/>
    </xf>
    <xf numFmtId="0" fontId="1" fillId="0" borderId="35" xfId="0" applyFont="1" applyFill="1" applyBorder="1" applyAlignment="1" applyProtection="1">
      <alignment horizontal="center" wrapText="1"/>
    </xf>
    <xf numFmtId="0" fontId="0" fillId="0" borderId="35" xfId="0" applyBorder="1" applyAlignment="1">
      <alignment horizontal="center" wrapText="1"/>
    </xf>
    <xf numFmtId="0" fontId="28" fillId="0" borderId="35" xfId="0" applyFont="1" applyBorder="1" applyAlignment="1">
      <alignment horizontal="center" wrapText="1"/>
    </xf>
    <xf numFmtId="0" fontId="73" fillId="0" borderId="55" xfId="0" applyFont="1" applyFill="1" applyBorder="1" applyAlignment="1" applyProtection="1">
      <alignment horizontal="center" vertical="center"/>
    </xf>
    <xf numFmtId="0" fontId="24" fillId="0" borderId="0" xfId="0" applyFont="1" applyProtection="1"/>
    <xf numFmtId="164" fontId="104" fillId="0" borderId="0" xfId="0" applyNumberFormat="1" applyFont="1" applyBorder="1" applyAlignment="1" applyProtection="1">
      <alignment vertical="center" wrapText="1"/>
    </xf>
    <xf numFmtId="0" fontId="104" fillId="0" borderId="0" xfId="0" applyFont="1" applyFill="1" applyBorder="1" applyAlignment="1" applyProtection="1">
      <alignment wrapText="1"/>
    </xf>
    <xf numFmtId="164" fontId="20" fillId="0" borderId="37" xfId="56" applyFont="1" applyFill="1" applyBorder="1" applyAlignment="1" applyProtection="1">
      <alignment horizontal="right"/>
    </xf>
    <xf numFmtId="0" fontId="28" fillId="0" borderId="56" xfId="0" applyFont="1" applyFill="1" applyBorder="1" applyAlignment="1" applyProtection="1">
      <alignment wrapText="1"/>
    </xf>
    <xf numFmtId="0" fontId="34" fillId="0" borderId="57" xfId="0" applyFont="1" applyFill="1" applyBorder="1" applyAlignment="1" applyProtection="1">
      <alignment horizontal="center" wrapText="1"/>
    </xf>
    <xf numFmtId="0" fontId="21" fillId="20" borderId="39" xfId="0" applyFont="1" applyFill="1" applyBorder="1" applyAlignment="1" applyProtection="1"/>
    <xf numFmtId="0" fontId="21" fillId="20" borderId="58" xfId="0" applyFont="1" applyFill="1" applyBorder="1" applyAlignment="1" applyProtection="1"/>
    <xf numFmtId="0" fontId="28" fillId="0" borderId="0" xfId="0" applyFont="1" applyFill="1" applyBorder="1" applyAlignment="1" applyProtection="1">
      <alignment wrapText="1"/>
    </xf>
    <xf numFmtId="9" fontId="106" fillId="24" borderId="10" xfId="61" applyFont="1" applyFill="1" applyBorder="1" applyAlignment="1" applyProtection="1">
      <alignment horizontal="center" vertical="center" wrapText="1"/>
    </xf>
    <xf numFmtId="164" fontId="28" fillId="0" borderId="0" xfId="0" applyNumberFormat="1" applyFont="1" applyAlignment="1" applyProtection="1"/>
    <xf numFmtId="15" fontId="28" fillId="0" borderId="0" xfId="0" applyNumberFormat="1" applyFont="1"/>
    <xf numFmtId="0" fontId="0" fillId="0" borderId="25" xfId="0" applyBorder="1" applyProtection="1"/>
    <xf numFmtId="0" fontId="0" fillId="0" borderId="25" xfId="0" applyBorder="1"/>
    <xf numFmtId="9" fontId="15" fillId="0" borderId="0" xfId="61" applyFont="1" applyProtection="1"/>
    <xf numFmtId="14" fontId="24" fillId="22" borderId="37" xfId="56" applyNumberFormat="1" applyFont="1" applyFill="1" applyBorder="1" applyAlignment="1" applyProtection="1">
      <alignment horizontal="center" vertical="center"/>
    </xf>
    <xf numFmtId="164" fontId="24" fillId="22" borderId="37" xfId="56" applyFont="1" applyFill="1" applyBorder="1" applyAlignment="1" applyProtection="1">
      <alignment horizontal="center" vertical="center"/>
    </xf>
    <xf numFmtId="15" fontId="24" fillId="22" borderId="37" xfId="56" applyNumberFormat="1" applyFont="1" applyFill="1" applyBorder="1" applyAlignment="1" applyProtection="1">
      <alignment horizontal="center" vertical="center"/>
    </xf>
    <xf numFmtId="171" fontId="24" fillId="22" borderId="37" xfId="56" applyNumberFormat="1" applyFont="1" applyFill="1" applyBorder="1" applyAlignment="1" applyProtection="1">
      <alignment horizontal="center"/>
    </xf>
    <xf numFmtId="3" fontId="24" fillId="22" borderId="37" xfId="56" applyNumberFormat="1" applyFont="1" applyFill="1" applyBorder="1" applyAlignment="1" applyProtection="1">
      <alignment horizontal="center"/>
    </xf>
    <xf numFmtId="164" fontId="24" fillId="22" borderId="37" xfId="56" applyFont="1" applyFill="1" applyBorder="1" applyAlignment="1" applyProtection="1">
      <alignment horizontal="center"/>
    </xf>
    <xf numFmtId="15" fontId="24" fillId="22" borderId="37" xfId="56" applyNumberFormat="1" applyFont="1" applyFill="1" applyBorder="1" applyAlignment="1" applyProtection="1">
      <alignment horizontal="center"/>
    </xf>
    <xf numFmtId="164" fontId="86" fillId="0" borderId="0" xfId="0" applyNumberFormat="1" applyFont="1" applyAlignment="1"/>
    <xf numFmtId="0" fontId="34" fillId="0" borderId="35" xfId="0" applyFont="1" applyFill="1" applyBorder="1" applyAlignment="1" applyProtection="1">
      <alignment horizontal="center" wrapText="1"/>
    </xf>
    <xf numFmtId="0" fontId="30" fillId="25" borderId="0" xfId="0" applyFont="1" applyFill="1" applyBorder="1" applyAlignment="1" applyProtection="1">
      <alignment horizontal="left"/>
      <protection locked="0"/>
    </xf>
    <xf numFmtId="0" fontId="34" fillId="25" borderId="0" xfId="0" applyFont="1" applyFill="1" applyBorder="1" applyAlignment="1" applyProtection="1">
      <alignment horizontal="left"/>
      <protection locked="0"/>
    </xf>
    <xf numFmtId="0" fontId="34" fillId="25" borderId="0" xfId="0" applyFont="1" applyFill="1" applyAlignment="1" applyProtection="1">
      <alignment horizontal="left"/>
      <protection locked="0"/>
    </xf>
    <xf numFmtId="49" fontId="0" fillId="0" borderId="0" xfId="0" applyNumberFormat="1" applyProtection="1"/>
    <xf numFmtId="0" fontId="0" fillId="22" borderId="43" xfId="0" applyNumberFormat="1" applyFill="1" applyBorder="1" applyAlignment="1" applyProtection="1">
      <alignment horizontal="center"/>
      <protection locked="0"/>
    </xf>
    <xf numFmtId="0" fontId="0" fillId="0" borderId="23" xfId="0" applyNumberFormat="1" applyFill="1" applyBorder="1" applyAlignment="1" applyProtection="1">
      <alignment horizontal="center"/>
    </xf>
    <xf numFmtId="3" fontId="0" fillId="22"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3" fontId="0" fillId="22" borderId="10" xfId="0" applyNumberFormat="1" applyFill="1" applyBorder="1" applyProtection="1">
      <protection locked="0"/>
    </xf>
    <xf numFmtId="3" fontId="0" fillId="22" borderId="59" xfId="0" applyNumberFormat="1" applyFill="1" applyBorder="1" applyProtection="1">
      <protection locked="0"/>
    </xf>
    <xf numFmtId="1" fontId="0" fillId="23" borderId="10" xfId="0" applyNumberFormat="1" applyFill="1" applyBorder="1" applyAlignment="1" applyProtection="1">
      <alignment horizontal="center"/>
      <protection locked="0"/>
    </xf>
    <xf numFmtId="1" fontId="0" fillId="23" borderId="60" xfId="0" applyNumberFormat="1" applyFill="1" applyBorder="1" applyAlignment="1" applyProtection="1">
      <alignment horizontal="center"/>
      <protection locked="0"/>
    </xf>
    <xf numFmtId="165" fontId="32" fillId="19" borderId="61" xfId="0" applyNumberFormat="1" applyFont="1" applyFill="1" applyBorder="1" applyAlignment="1" applyProtection="1">
      <alignment horizontal="center"/>
      <protection locked="0"/>
    </xf>
    <xf numFmtId="165" fontId="32" fillId="19" borderId="62" xfId="0" applyNumberFormat="1" applyFont="1" applyFill="1" applyBorder="1" applyAlignment="1" applyProtection="1">
      <alignment horizontal="center"/>
      <protection locked="0"/>
    </xf>
    <xf numFmtId="165" fontId="32" fillId="19" borderId="63" xfId="0" applyNumberFormat="1" applyFont="1" applyFill="1" applyBorder="1" applyAlignment="1" applyProtection="1">
      <alignment horizontal="center"/>
      <protection locked="0"/>
    </xf>
    <xf numFmtId="165" fontId="32" fillId="19" borderId="64" xfId="0" applyNumberFormat="1" applyFont="1" applyFill="1" applyBorder="1" applyAlignment="1" applyProtection="1">
      <alignment horizontal="center"/>
      <protection locked="0"/>
    </xf>
    <xf numFmtId="0" fontId="0" fillId="0" borderId="65" xfId="0" applyFill="1" applyBorder="1" applyAlignment="1" applyProtection="1">
      <alignment horizontal="center"/>
    </xf>
    <xf numFmtId="0" fontId="0" fillId="0" borderId="0" xfId="0" applyBorder="1" applyAlignment="1">
      <alignment horizontal="left" wrapText="1"/>
    </xf>
    <xf numFmtId="0" fontId="0" fillId="0" borderId="0" xfId="0" applyBorder="1" applyAlignment="1">
      <alignment horizontal="left"/>
    </xf>
    <xf numFmtId="164" fontId="1" fillId="0" borderId="37" xfId="56" applyFont="1" applyBorder="1" applyAlignment="1" applyProtection="1">
      <alignment horizontal="right"/>
    </xf>
    <xf numFmtId="164" fontId="117" fillId="0" borderId="0" xfId="50" applyFont="1" applyFill="1" applyBorder="1" applyProtection="1"/>
    <xf numFmtId="3" fontId="28" fillId="23" borderId="66"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0" xfId="0" applyNumberFormat="1" applyFont="1" applyFill="1" applyBorder="1" applyAlignment="1" applyProtection="1"/>
    <xf numFmtId="3" fontId="21" fillId="23" borderId="10" xfId="62" applyNumberFormat="1" applyFont="1" applyFill="1" applyBorder="1" applyAlignment="1" applyProtection="1">
      <protection locked="0"/>
    </xf>
    <xf numFmtId="3" fontId="21" fillId="23" borderId="10" xfId="62" applyNumberFormat="1" applyFont="1" applyFill="1" applyBorder="1" applyProtection="1">
      <protection locked="0"/>
    </xf>
    <xf numFmtId="3" fontId="6" fillId="0" borderId="68" xfId="62" applyNumberFormat="1" applyFont="1" applyFill="1" applyBorder="1" applyAlignment="1" applyProtection="1"/>
    <xf numFmtId="3" fontId="21" fillId="23" borderId="69" xfId="62" applyNumberFormat="1" applyFont="1" applyFill="1" applyBorder="1" applyAlignment="1" applyProtection="1">
      <protection locked="0"/>
    </xf>
    <xf numFmtId="3" fontId="6" fillId="0" borderId="70" xfId="62" applyNumberFormat="1" applyFont="1" applyFill="1" applyBorder="1" applyAlignment="1" applyProtection="1"/>
    <xf numFmtId="165" fontId="14" fillId="19" borderId="71" xfId="0" applyNumberFormat="1" applyFont="1" applyFill="1" applyBorder="1" applyAlignment="1" applyProtection="1">
      <alignment horizontal="center"/>
      <protection locked="0"/>
    </xf>
    <xf numFmtId="0" fontId="0" fillId="23" borderId="10" xfId="0" applyFill="1" applyBorder="1" applyProtection="1"/>
    <xf numFmtId="0" fontId="0" fillId="22" borderId="10" xfId="0" applyFill="1" applyBorder="1" applyProtection="1"/>
    <xf numFmtId="3" fontId="1" fillId="23" borderId="72" xfId="62" applyNumberFormat="1" applyFont="1" applyFill="1" applyBorder="1" applyAlignment="1" applyProtection="1">
      <protection locked="0"/>
    </xf>
    <xf numFmtId="3" fontId="1" fillId="23" borderId="72" xfId="62" applyNumberFormat="1" applyFont="1" applyFill="1" applyBorder="1" applyProtection="1">
      <protection locked="0"/>
    </xf>
    <xf numFmtId="49" fontId="25" fillId="0" borderId="73" xfId="0" applyNumberFormat="1" applyFont="1" applyFill="1" applyBorder="1" applyAlignment="1" applyProtection="1">
      <alignment vertical="center" wrapText="1"/>
    </xf>
    <xf numFmtId="0" fontId="87" fillId="0" borderId="74" xfId="0" applyNumberFormat="1" applyFont="1" applyFill="1" applyBorder="1" applyAlignment="1" applyProtection="1">
      <alignment horizontal="center" vertical="center" wrapText="1"/>
    </xf>
    <xf numFmtId="0" fontId="87" fillId="0" borderId="75" xfId="0" applyNumberFormat="1" applyFont="1" applyFill="1" applyBorder="1" applyAlignment="1" applyProtection="1">
      <alignment horizontal="center" vertical="center" wrapText="1"/>
    </xf>
    <xf numFmtId="3" fontId="1" fillId="23" borderId="76" xfId="62" applyNumberFormat="1" applyFont="1" applyFill="1" applyBorder="1" applyProtection="1">
      <protection locked="0"/>
    </xf>
    <xf numFmtId="0" fontId="0" fillId="0" borderId="77" xfId="0" applyBorder="1" applyAlignment="1" applyProtection="1"/>
    <xf numFmtId="3" fontId="0" fillId="0" borderId="78" xfId="0" applyNumberFormat="1" applyBorder="1" applyProtection="1"/>
    <xf numFmtId="3" fontId="0" fillId="0" borderId="79" xfId="0" applyNumberFormat="1" applyBorder="1" applyProtection="1"/>
    <xf numFmtId="49" fontId="0" fillId="0" borderId="10" xfId="0" applyNumberFormat="1" applyBorder="1" applyAlignment="1" applyProtection="1">
      <alignment horizontal="center"/>
      <protection locked="0"/>
    </xf>
    <xf numFmtId="49" fontId="0" fillId="22" borderId="10" xfId="0" applyNumberFormat="1" applyFill="1" applyBorder="1" applyProtection="1">
      <protection locked="0"/>
    </xf>
    <xf numFmtId="0" fontId="0" fillId="22" borderId="10" xfId="0" applyNumberFormat="1" applyFill="1" applyBorder="1" applyProtection="1">
      <protection locked="0"/>
    </xf>
    <xf numFmtId="0" fontId="0" fillId="0" borderId="10" xfId="0" applyNumberFormat="1" applyFill="1" applyBorder="1" applyProtection="1"/>
    <xf numFmtId="49" fontId="0" fillId="22" borderId="59" xfId="0" applyNumberFormat="1" applyFill="1" applyBorder="1" applyAlignment="1" applyProtection="1">
      <alignment horizontal="left"/>
      <protection locked="0"/>
    </xf>
    <xf numFmtId="0" fontId="0" fillId="22" borderId="59" xfId="0" applyNumberFormat="1" applyFill="1" applyBorder="1" applyProtection="1">
      <protection locked="0"/>
    </xf>
    <xf numFmtId="164" fontId="135" fillId="23" borderId="80" xfId="59" applyFill="1" applyBorder="1" applyAlignment="1" applyProtection="1">
      <alignment vertical="center"/>
    </xf>
    <xf numFmtId="0" fontId="0" fillId="0" borderId="19" xfId="0" applyBorder="1" applyProtection="1"/>
    <xf numFmtId="164" fontId="39" fillId="22" borderId="81" xfId="59" applyFont="1" applyFill="1" applyBorder="1" applyAlignment="1" applyProtection="1">
      <alignment horizontal="center" vertical="center"/>
    </xf>
    <xf numFmtId="164" fontId="39" fillId="0" borderId="82" xfId="59" applyFont="1" applyFill="1" applyBorder="1" applyAlignment="1" applyProtection="1">
      <alignment vertical="center"/>
    </xf>
    <xf numFmtId="0" fontId="0" fillId="0" borderId="83" xfId="0" applyNumberFormat="1" applyFill="1" applyBorder="1"/>
    <xf numFmtId="15" fontId="27" fillId="0" borderId="84"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64" fillId="0" borderId="10" xfId="0" applyNumberFormat="1" applyFont="1" applyFill="1" applyBorder="1" applyAlignment="1" applyProtection="1">
      <alignment vertical="center"/>
    </xf>
    <xf numFmtId="168" fontId="0" fillId="0" borderId="10" xfId="0" applyNumberFormat="1" applyFill="1" applyBorder="1" applyAlignment="1" applyProtection="1">
      <alignment horizontal="center"/>
    </xf>
    <xf numFmtId="168" fontId="15" fillId="26" borderId="85" xfId="0" applyNumberFormat="1" applyFont="1" applyFill="1" applyBorder="1" applyAlignment="1" applyProtection="1">
      <alignment horizontal="center"/>
    </xf>
    <xf numFmtId="168" fontId="21" fillId="26" borderId="85" xfId="0" applyNumberFormat="1" applyFont="1" applyFill="1" applyBorder="1" applyAlignment="1" applyProtection="1">
      <alignment horizontal="center"/>
    </xf>
    <xf numFmtId="49" fontId="80" fillId="0" borderId="10" xfId="0" applyNumberFormat="1" applyFont="1" applyBorder="1" applyAlignment="1" applyProtection="1">
      <alignment horizontal="center"/>
      <protection locked="0"/>
    </xf>
    <xf numFmtId="164" fontId="66" fillId="0" borderId="10" xfId="50" applyFont="1" applyBorder="1" applyAlignment="1" applyProtection="1">
      <alignment horizontal="center"/>
    </xf>
    <xf numFmtId="0" fontId="66" fillId="0" borderId="10" xfId="0" applyFont="1" applyBorder="1" applyAlignment="1" applyProtection="1">
      <alignment horizontal="center"/>
    </xf>
    <xf numFmtId="0" fontId="73" fillId="0" borderId="86" xfId="0" applyFont="1" applyFill="1" applyBorder="1" applyAlignment="1" applyProtection="1">
      <alignment horizontal="center" vertical="center" wrapText="1"/>
    </xf>
    <xf numFmtId="0" fontId="73" fillId="0" borderId="87" xfId="0" applyFont="1" applyFill="1" applyBorder="1" applyAlignment="1" applyProtection="1">
      <alignment horizontal="center"/>
    </xf>
    <xf numFmtId="0" fontId="73" fillId="0" borderId="88" xfId="0" applyFont="1" applyFill="1" applyBorder="1" applyAlignment="1" applyProtection="1">
      <alignment horizontal="center"/>
    </xf>
    <xf numFmtId="0" fontId="73" fillId="0" borderId="89" xfId="0" applyNumberFormat="1" applyFont="1" applyFill="1" applyBorder="1" applyAlignment="1" applyProtection="1">
      <alignment horizontal="center"/>
    </xf>
    <xf numFmtId="0" fontId="73" fillId="0" borderId="90" xfId="0" applyNumberFormat="1" applyFont="1" applyFill="1" applyBorder="1" applyAlignment="1" applyProtection="1">
      <alignment horizontal="center"/>
    </xf>
    <xf numFmtId="0" fontId="73" fillId="0" borderId="90" xfId="0" applyNumberFormat="1" applyFont="1" applyFill="1" applyBorder="1" applyAlignment="1" applyProtection="1">
      <alignment horizontal="center" vertical="center"/>
    </xf>
    <xf numFmtId="0" fontId="73" fillId="0" borderId="91" xfId="0" applyNumberFormat="1" applyFont="1" applyFill="1" applyBorder="1" applyAlignment="1" applyProtection="1">
      <alignment horizontal="center" vertical="center"/>
    </xf>
    <xf numFmtId="0" fontId="77" fillId="0" borderId="92" xfId="0" applyNumberFormat="1" applyFont="1" applyFill="1" applyBorder="1" applyAlignment="1" applyProtection="1">
      <alignment horizontal="center" vertical="center"/>
    </xf>
    <xf numFmtId="0" fontId="77" fillId="0" borderId="93" xfId="0" applyNumberFormat="1" applyFont="1" applyFill="1" applyBorder="1" applyAlignment="1" applyProtection="1">
      <alignment horizontal="center" vertical="center"/>
    </xf>
    <xf numFmtId="0" fontId="77" fillId="0" borderId="94" xfId="0" applyNumberFormat="1" applyFont="1" applyFill="1" applyBorder="1" applyAlignment="1" applyProtection="1">
      <alignment horizontal="center" vertical="center"/>
    </xf>
    <xf numFmtId="168" fontId="0" fillId="20" borderId="10" xfId="0" applyNumberFormat="1" applyFill="1" applyBorder="1" applyAlignment="1" applyProtection="1">
      <alignment horizontal="center"/>
    </xf>
    <xf numFmtId="168" fontId="0" fillId="0" borderId="10" xfId="0" applyNumberFormat="1" applyBorder="1" applyAlignment="1" applyProtection="1">
      <alignment horizontal="center"/>
    </xf>
    <xf numFmtId="168" fontId="0" fillId="20" borderId="59" xfId="0" applyNumberFormat="1" applyFill="1" applyBorder="1" applyAlignment="1" applyProtection="1">
      <alignment horizontal="center"/>
    </xf>
    <xf numFmtId="168" fontId="0" fillId="0" borderId="59" xfId="0" applyNumberFormat="1" applyBorder="1" applyAlignment="1" applyProtection="1">
      <alignment horizontal="center"/>
    </xf>
    <xf numFmtId="3" fontId="64" fillId="27" borderId="10" xfId="0" applyNumberFormat="1" applyFont="1" applyFill="1" applyBorder="1" applyAlignment="1" applyProtection="1">
      <alignment vertical="center"/>
    </xf>
    <xf numFmtId="0" fontId="0" fillId="0" borderId="95" xfId="0" applyBorder="1"/>
    <xf numFmtId="0" fontId="0" fillId="0" borderId="59" xfId="0" applyNumberFormat="1" applyFill="1" applyBorder="1" applyProtection="1"/>
    <xf numFmtId="168" fontId="0" fillId="0" borderId="59" xfId="0" applyNumberFormat="1" applyFill="1" applyBorder="1" applyAlignment="1" applyProtection="1">
      <alignment horizontal="center"/>
    </xf>
    <xf numFmtId="0" fontId="0" fillId="0" borderId="52" xfId="0" applyBorder="1" applyAlignment="1" applyProtection="1">
      <alignment horizontal="center" wrapText="1"/>
    </xf>
    <xf numFmtId="3" fontId="1" fillId="0" borderId="59" xfId="62" applyNumberFormat="1" applyFont="1" applyFill="1" applyBorder="1" applyAlignment="1" applyProtection="1">
      <alignment horizontal="right"/>
    </xf>
    <xf numFmtId="3" fontId="0" fillId="0" borderId="59" xfId="0" applyNumberFormat="1" applyBorder="1" applyAlignment="1" applyProtection="1">
      <alignment horizontal="right" wrapText="1"/>
    </xf>
    <xf numFmtId="0" fontId="0" fillId="20" borderId="23" xfId="0" applyNumberFormat="1" applyFill="1" applyBorder="1" applyAlignment="1" applyProtection="1">
      <alignment horizontal="center"/>
      <protection locked="0"/>
    </xf>
    <xf numFmtId="3" fontId="0" fillId="22" borderId="49" xfId="0" applyNumberFormat="1" applyFill="1" applyBorder="1" applyAlignment="1" applyProtection="1">
      <alignment horizontal="right" wrapText="1"/>
      <protection locked="0"/>
    </xf>
    <xf numFmtId="3" fontId="0" fillId="0" borderId="49" xfId="0" applyNumberFormat="1" applyBorder="1" applyAlignment="1" applyProtection="1">
      <alignment horizontal="right" wrapText="1"/>
    </xf>
    <xf numFmtId="3" fontId="0" fillId="0" borderId="53" xfId="0" applyNumberFormat="1" applyBorder="1" applyAlignment="1" applyProtection="1">
      <alignment horizontal="right" wrapText="1"/>
    </xf>
    <xf numFmtId="0" fontId="34" fillId="25" borderId="0" xfId="0" applyFont="1" applyFill="1" applyBorder="1" applyAlignment="1" applyProtection="1">
      <alignment horizontal="left" vertical="top" wrapText="1"/>
      <protection locked="0"/>
    </xf>
    <xf numFmtId="3" fontId="28" fillId="0" borderId="10" xfId="0" quotePrefix="1" applyNumberFormat="1" applyFont="1" applyBorder="1" applyAlignment="1" applyProtection="1">
      <alignment horizontal="center" vertical="center" wrapText="1"/>
    </xf>
    <xf numFmtId="3" fontId="28" fillId="0" borderId="10" xfId="0" applyNumberFormat="1" applyFont="1" applyBorder="1" applyAlignment="1" applyProtection="1">
      <alignment horizontal="center" vertical="center" wrapText="1"/>
    </xf>
    <xf numFmtId="0" fontId="73" fillId="0" borderId="96" xfId="0" applyFont="1" applyFill="1" applyBorder="1" applyAlignment="1" applyProtection="1">
      <alignment horizontal="center" vertical="center" wrapText="1"/>
    </xf>
    <xf numFmtId="164" fontId="135" fillId="23" borderId="0" xfId="59" applyFill="1" applyBorder="1" applyAlignment="1" applyProtection="1">
      <alignment vertical="center"/>
    </xf>
    <xf numFmtId="0" fontId="108" fillId="0" borderId="97" xfId="0" applyFont="1" applyBorder="1" applyAlignment="1" applyProtection="1"/>
    <xf numFmtId="0" fontId="108" fillId="0" borderId="98" xfId="0" applyFont="1" applyBorder="1" applyAlignment="1" applyProtection="1"/>
    <xf numFmtId="0" fontId="26" fillId="0" borderId="18" xfId="0" applyFont="1" applyFill="1" applyBorder="1" applyAlignment="1" applyProtection="1">
      <alignment wrapText="1"/>
    </xf>
    <xf numFmtId="0" fontId="26" fillId="0" borderId="51" xfId="0" applyFont="1" applyFill="1" applyBorder="1" applyAlignment="1" applyProtection="1">
      <alignment wrapText="1"/>
    </xf>
    <xf numFmtId="0" fontId="26" fillId="0" borderId="99" xfId="0" applyFont="1" applyFill="1" applyBorder="1" applyAlignment="1" applyProtection="1">
      <alignment wrapText="1"/>
    </xf>
    <xf numFmtId="15" fontId="26" fillId="0" borderId="10" xfId="0" applyNumberFormat="1" applyFont="1" applyFill="1" applyBorder="1" applyAlignment="1" applyProtection="1">
      <alignment horizontal="center" wrapText="1"/>
    </xf>
    <xf numFmtId="164" fontId="133" fillId="0" borderId="19" xfId="59" applyFont="1" applyFill="1" applyBorder="1" applyAlignment="1" applyProtection="1">
      <alignment vertical="center"/>
    </xf>
    <xf numFmtId="9" fontId="64" fillId="29" borderId="10" xfId="0" applyNumberFormat="1" applyFont="1" applyFill="1" applyBorder="1" applyAlignment="1" applyProtection="1">
      <alignment horizontal="right" vertical="center"/>
      <protection locked="0"/>
    </xf>
    <xf numFmtId="3" fontId="64" fillId="25" borderId="10" xfId="0" applyNumberFormat="1" applyFont="1" applyFill="1" applyBorder="1" applyAlignment="1" applyProtection="1">
      <alignment vertical="center"/>
      <protection locked="0"/>
    </xf>
    <xf numFmtId="3" fontId="64" fillId="28" borderId="10" xfId="0" applyNumberFormat="1" applyFont="1" applyFill="1" applyBorder="1" applyAlignment="1" applyProtection="1">
      <alignment vertical="center"/>
      <protection locked="0"/>
    </xf>
    <xf numFmtId="3" fontId="64" fillId="29" borderId="10" xfId="0" applyNumberFormat="1" applyFont="1" applyFill="1" applyBorder="1" applyAlignment="1" applyProtection="1">
      <alignment horizontal="right" vertical="center"/>
      <protection locked="0"/>
    </xf>
    <xf numFmtId="3" fontId="64" fillId="29" borderId="10" xfId="0" applyNumberFormat="1" applyFont="1" applyFill="1" applyBorder="1" applyAlignment="1" applyProtection="1">
      <alignment vertical="center"/>
      <protection locked="0"/>
    </xf>
    <xf numFmtId="49" fontId="26" fillId="0" borderId="100" xfId="0" applyNumberFormat="1" applyFont="1" applyFill="1" applyBorder="1" applyAlignment="1" applyProtection="1">
      <alignment vertical="center" wrapText="1"/>
      <protection locked="0"/>
    </xf>
    <xf numFmtId="0" fontId="26" fillId="0" borderId="100" xfId="0" applyFont="1" applyFill="1" applyBorder="1" applyAlignment="1" applyProtection="1">
      <alignment vertical="center" wrapText="1"/>
      <protection locked="0"/>
    </xf>
    <xf numFmtId="1" fontId="21" fillId="23" borderId="101" xfId="0" applyNumberFormat="1" applyFont="1" applyFill="1" applyBorder="1" applyAlignment="1" applyProtection="1">
      <alignment horizontal="center"/>
      <protection locked="0"/>
    </xf>
    <xf numFmtId="1" fontId="21" fillId="23" borderId="102" xfId="0" applyNumberFormat="1" applyFont="1" applyFill="1" applyBorder="1" applyAlignment="1" applyProtection="1">
      <alignment horizontal="center"/>
      <protection locked="0"/>
    </xf>
    <xf numFmtId="0" fontId="73" fillId="0" borderId="103" xfId="0" applyFont="1" applyFill="1" applyBorder="1" applyAlignment="1" applyProtection="1">
      <alignment horizontal="center" vertical="center"/>
    </xf>
    <xf numFmtId="0" fontId="73" fillId="0" borderId="104" xfId="0" applyFont="1" applyFill="1" applyBorder="1" applyAlignment="1" applyProtection="1">
      <alignment horizontal="center" vertical="center" wrapText="1"/>
    </xf>
    <xf numFmtId="15" fontId="26" fillId="0" borderId="101" xfId="0" applyNumberFormat="1" applyFont="1" applyFill="1" applyBorder="1" applyAlignment="1" applyProtection="1">
      <alignment horizontal="center" wrapText="1"/>
    </xf>
    <xf numFmtId="0" fontId="0" fillId="20" borderId="0" xfId="0" applyFill="1" applyBorder="1" applyAlignment="1" applyProtection="1">
      <alignment vertical="center" textRotation="90"/>
    </xf>
    <xf numFmtId="3" fontId="94" fillId="0" borderId="0" xfId="0" applyNumberFormat="1" applyFont="1" applyFill="1" applyBorder="1" applyAlignment="1" applyProtection="1">
      <alignment horizontal="center" vertical="center"/>
    </xf>
    <xf numFmtId="0" fontId="0" fillId="0" borderId="106" xfId="0" applyBorder="1" applyAlignment="1" applyProtection="1">
      <alignment horizontal="center" vertical="center" wrapText="1"/>
    </xf>
    <xf numFmtId="0" fontId="0" fillId="0" borderId="107" xfId="0" applyBorder="1" applyAlignment="1" applyProtection="1">
      <alignment horizontal="center" vertical="center" wrapText="1"/>
    </xf>
    <xf numFmtId="0" fontId="14" fillId="0" borderId="106" xfId="0" applyFont="1" applyBorder="1" applyAlignment="1" applyProtection="1">
      <alignment horizontal="center" vertical="center" wrapText="1"/>
    </xf>
    <xf numFmtId="0" fontId="14" fillId="0" borderId="107" xfId="0" applyFont="1" applyBorder="1" applyAlignment="1" applyProtection="1">
      <alignment horizontal="center" vertical="center" wrapText="1"/>
    </xf>
    <xf numFmtId="0" fontId="32" fillId="0" borderId="106" xfId="0" applyFont="1" applyBorder="1" applyAlignment="1" applyProtection="1">
      <alignment horizontal="center" vertical="center" wrapText="1"/>
    </xf>
    <xf numFmtId="0" fontId="32" fillId="0" borderId="107" xfId="0" applyFont="1" applyBorder="1" applyAlignment="1" applyProtection="1">
      <alignment horizontal="center" vertical="center" wrapText="1"/>
    </xf>
    <xf numFmtId="1" fontId="134" fillId="22" borderId="10" xfId="0" applyNumberFormat="1" applyFont="1" applyFill="1" applyBorder="1" applyAlignment="1" applyProtection="1">
      <alignment horizontal="center"/>
      <protection locked="0"/>
    </xf>
    <xf numFmtId="0" fontId="0" fillId="0" borderId="0" xfId="0" applyAlignment="1" applyProtection="1">
      <alignment horizontal="right"/>
    </xf>
    <xf numFmtId="164" fontId="107" fillId="0" borderId="0" xfId="38" applyFont="1" applyFill="1" applyAlignment="1" applyProtection="1">
      <alignment horizontal="right" vertical="center"/>
    </xf>
    <xf numFmtId="15" fontId="1" fillId="0" borderId="10" xfId="56" applyNumberFormat="1" applyFont="1" applyFill="1" applyBorder="1" applyAlignment="1" applyProtection="1">
      <alignment horizontal="right"/>
      <protection locked="0"/>
    </xf>
    <xf numFmtId="0" fontId="0" fillId="0" borderId="0" xfId="0" applyBorder="1" applyAlignment="1" applyProtection="1">
      <alignment horizontal="right"/>
    </xf>
    <xf numFmtId="164" fontId="3" fillId="0" borderId="0" xfId="59" applyFont="1" applyFill="1" applyBorder="1" applyAlignment="1" applyProtection="1">
      <alignment horizontal="right" vertical="center"/>
    </xf>
    <xf numFmtId="164" fontId="135" fillId="0" borderId="0" xfId="59" applyFill="1" applyBorder="1" applyAlignment="1" applyProtection="1">
      <alignment horizontal="right" vertical="center"/>
    </xf>
    <xf numFmtId="165" fontId="14" fillId="19" borderId="71" xfId="0" applyNumberFormat="1" applyFont="1" applyFill="1" applyBorder="1" applyAlignment="1" applyProtection="1">
      <alignment horizontal="right"/>
      <protection locked="0"/>
    </xf>
    <xf numFmtId="3" fontId="28" fillId="23" borderId="66" xfId="0" applyNumberFormat="1" applyFont="1" applyFill="1" applyBorder="1" applyAlignment="1" applyProtection="1">
      <alignment horizontal="right"/>
      <protection locked="0"/>
    </xf>
    <xf numFmtId="3" fontId="28" fillId="0" borderId="10" xfId="0" applyNumberFormat="1" applyFont="1" applyFill="1" applyBorder="1" applyAlignment="1" applyProtection="1">
      <alignment horizontal="right"/>
    </xf>
    <xf numFmtId="3" fontId="28" fillId="0" borderId="60" xfId="0" applyNumberFormat="1" applyFont="1" applyFill="1" applyBorder="1" applyAlignment="1" applyProtection="1">
      <alignment horizontal="right"/>
    </xf>
    <xf numFmtId="9" fontId="15" fillId="0" borderId="0" xfId="61" applyFont="1" applyAlignment="1" applyProtection="1">
      <alignment horizontal="right"/>
    </xf>
    <xf numFmtId="0" fontId="26" fillId="0" borderId="0" xfId="0" applyFont="1" applyFill="1" applyBorder="1" applyAlignment="1" applyProtection="1">
      <alignment horizontal="right"/>
    </xf>
    <xf numFmtId="0" fontId="26" fillId="0" borderId="0" xfId="0" applyFont="1" applyFill="1" applyBorder="1" applyAlignment="1">
      <alignment horizontal="right"/>
    </xf>
    <xf numFmtId="0" fontId="0" fillId="0" borderId="0" xfId="0" applyFill="1" applyBorder="1" applyAlignment="1" applyProtection="1">
      <alignment horizontal="right"/>
    </xf>
    <xf numFmtId="0" fontId="0" fillId="0" borderId="0" xfId="0" applyFill="1" applyBorder="1" applyAlignment="1">
      <alignment horizontal="right"/>
    </xf>
    <xf numFmtId="3" fontId="0" fillId="0" borderId="0" xfId="0" applyNumberFormat="1" applyAlignment="1" applyProtection="1">
      <alignment horizontal="right"/>
    </xf>
    <xf numFmtId="15" fontId="29" fillId="0" borderId="0" xfId="0" applyNumberFormat="1" applyFont="1" applyFill="1" applyBorder="1" applyAlignment="1" applyProtection="1">
      <alignment horizontal="right" vertical="center" wrapText="1"/>
    </xf>
    <xf numFmtId="166" fontId="6" fillId="0" borderId="0" xfId="62" applyNumberFormat="1" applyFont="1" applyFill="1" applyBorder="1" applyAlignment="1" applyProtection="1">
      <alignment horizontal="right"/>
      <protection locked="0"/>
    </xf>
    <xf numFmtId="0" fontId="6" fillId="0" borderId="0" xfId="0" applyFont="1" applyFill="1" applyBorder="1" applyAlignment="1" applyProtection="1">
      <alignment horizontal="right"/>
    </xf>
    <xf numFmtId="164" fontId="39" fillId="0" borderId="19" xfId="59" applyFont="1" applyFill="1" applyBorder="1" applyAlignment="1" applyProtection="1">
      <alignment horizontal="right" vertical="center"/>
    </xf>
    <xf numFmtId="164" fontId="39" fillId="0" borderId="0" xfId="59" applyFont="1" applyFill="1" applyBorder="1" applyAlignment="1" applyProtection="1">
      <alignment horizontal="right" vertical="center"/>
    </xf>
    <xf numFmtId="164" fontId="40" fillId="0" borderId="0" xfId="59" applyFont="1" applyFill="1" applyBorder="1" applyAlignment="1" applyProtection="1">
      <alignment horizontal="right" vertical="center"/>
    </xf>
    <xf numFmtId="0" fontId="0" fillId="0" borderId="0" xfId="0" applyFill="1" applyBorder="1" applyAlignment="1" applyProtection="1">
      <alignment horizontal="right" vertical="top"/>
      <protection locked="0"/>
    </xf>
    <xf numFmtId="0" fontId="0" fillId="0" borderId="0" xfId="0" applyBorder="1" applyAlignment="1">
      <alignment horizontal="right"/>
    </xf>
    <xf numFmtId="165" fontId="32" fillId="19" borderId="63" xfId="0" applyNumberFormat="1" applyFont="1" applyFill="1" applyBorder="1" applyAlignment="1" applyProtection="1">
      <alignment horizontal="right"/>
      <protection locked="0"/>
    </xf>
    <xf numFmtId="0" fontId="0" fillId="0" borderId="0" xfId="0" applyFill="1" applyBorder="1" applyAlignment="1" applyProtection="1">
      <alignment horizontal="right" wrapText="1"/>
    </xf>
    <xf numFmtId="164" fontId="95" fillId="0" borderId="0" xfId="62" applyFont="1" applyFill="1" applyBorder="1" applyAlignment="1" applyProtection="1">
      <alignment horizontal="right"/>
    </xf>
    <xf numFmtId="164" fontId="0" fillId="0" borderId="0" xfId="0" applyNumberFormat="1" applyFill="1" applyBorder="1" applyAlignment="1" applyProtection="1">
      <alignment horizontal="right"/>
    </xf>
    <xf numFmtId="0" fontId="28" fillId="0" borderId="35" xfId="0" applyFont="1" applyBorder="1" applyAlignment="1">
      <alignment horizontal="right" wrapText="1"/>
    </xf>
    <xf numFmtId="0" fontId="1" fillId="0" borderId="50" xfId="0" applyFont="1" applyFill="1" applyBorder="1" applyAlignment="1" applyProtection="1">
      <alignment horizontal="right" wrapText="1"/>
    </xf>
    <xf numFmtId="0" fontId="0" fillId="22" borderId="10" xfId="0" applyNumberFormat="1" applyFill="1" applyBorder="1" applyAlignment="1" applyProtection="1">
      <alignment horizontal="right"/>
      <protection locked="0"/>
    </xf>
    <xf numFmtId="168" fontId="0" fillId="0" borderId="49" xfId="0" applyNumberFormat="1" applyFill="1" applyBorder="1" applyAlignment="1" applyProtection="1">
      <alignment horizontal="right"/>
    </xf>
    <xf numFmtId="0" fontId="0" fillId="22" borderId="59" xfId="0" applyNumberFormat="1" applyFill="1" applyBorder="1" applyAlignment="1" applyProtection="1">
      <alignment horizontal="right"/>
      <protection locked="0"/>
    </xf>
    <xf numFmtId="168" fontId="0" fillId="0" borderId="53" xfId="0" applyNumberFormat="1" applyFill="1" applyBorder="1" applyAlignment="1" applyProtection="1">
      <alignment horizontal="right"/>
    </xf>
    <xf numFmtId="0" fontId="0" fillId="0" borderId="25" xfId="0" applyFill="1" applyBorder="1" applyAlignment="1" applyProtection="1">
      <alignment horizontal="right"/>
    </xf>
    <xf numFmtId="164" fontId="109" fillId="0" borderId="25" xfId="59" applyFont="1" applyFill="1" applyBorder="1" applyAlignment="1" applyProtection="1">
      <alignment horizontal="right" vertical="center"/>
    </xf>
    <xf numFmtId="3" fontId="64" fillId="28" borderId="10" xfId="0" applyNumberFormat="1" applyFont="1" applyFill="1" applyBorder="1" applyAlignment="1" applyProtection="1">
      <alignment horizontal="right" vertical="center"/>
      <protection locked="0"/>
    </xf>
    <xf numFmtId="1" fontId="64" fillId="28" borderId="10" xfId="0" quotePrefix="1" applyNumberFormat="1" applyFont="1" applyFill="1" applyBorder="1" applyAlignment="1" applyProtection="1">
      <alignment horizontal="right" vertical="center"/>
      <protection locked="0"/>
    </xf>
    <xf numFmtId="0" fontId="0" fillId="0" borderId="0" xfId="0" applyAlignment="1">
      <alignment horizontal="right"/>
    </xf>
    <xf numFmtId="9" fontId="28" fillId="0" borderId="10" xfId="0" applyNumberFormat="1" applyFont="1" applyBorder="1" applyAlignment="1" applyProtection="1">
      <alignment horizontal="center" vertical="center" wrapText="1"/>
    </xf>
    <xf numFmtId="0" fontId="0" fillId="37" borderId="0" xfId="0" applyFill="1" applyAlignment="1" applyProtection="1">
      <alignment horizontal="right"/>
    </xf>
    <xf numFmtId="0" fontId="108" fillId="0" borderId="97" xfId="0" applyFont="1" applyBorder="1" applyAlignment="1" applyProtection="1">
      <alignment horizontal="right"/>
    </xf>
    <xf numFmtId="0" fontId="108" fillId="0" borderId="0" xfId="0" applyFont="1" applyAlignment="1" applyProtection="1">
      <alignment horizontal="right"/>
    </xf>
    <xf numFmtId="49" fontId="0" fillId="0" borderId="39" xfId="0" applyNumberFormat="1" applyBorder="1" applyAlignment="1" applyProtection="1">
      <alignment horizontal="center"/>
      <protection locked="0"/>
    </xf>
    <xf numFmtId="49" fontId="0" fillId="0" borderId="41" xfId="0" applyNumberFormat="1" applyBorder="1" applyAlignment="1" applyProtection="1">
      <alignment horizontal="center"/>
      <protection locked="0"/>
    </xf>
    <xf numFmtId="164" fontId="59" fillId="31" borderId="0" xfId="38" applyFont="1" applyFill="1" applyAlignment="1" applyProtection="1">
      <alignment horizontal="center" vertical="center"/>
    </xf>
    <xf numFmtId="164" fontId="15" fillId="32" borderId="10" xfId="56" applyFont="1" applyFill="1" applyBorder="1" applyAlignment="1" applyProtection="1">
      <alignment horizontal="center"/>
      <protection locked="0"/>
    </xf>
    <xf numFmtId="0" fontId="0" fillId="25" borderId="39" xfId="0" applyFill="1" applyBorder="1" applyAlignment="1" applyProtection="1">
      <alignment horizontal="center"/>
    </xf>
    <xf numFmtId="0" fontId="0" fillId="25" borderId="41" xfId="0" applyFill="1" applyBorder="1" applyAlignment="1" applyProtection="1">
      <alignment horizontal="center"/>
    </xf>
    <xf numFmtId="0" fontId="108" fillId="0" borderId="0" xfId="0" applyFont="1" applyAlignment="1" applyProtection="1">
      <alignment horizontal="left"/>
    </xf>
    <xf numFmtId="164" fontId="98" fillId="0" borderId="14" xfId="59" applyFont="1" applyFill="1" applyBorder="1" applyAlignment="1" applyProtection="1">
      <alignment horizontal="center" vertical="center"/>
    </xf>
    <xf numFmtId="0" fontId="80" fillId="0" borderId="124" xfId="0" applyFont="1" applyBorder="1" applyAlignment="1" applyProtection="1">
      <alignment horizontal="right"/>
    </xf>
    <xf numFmtId="0" fontId="116" fillId="0" borderId="124" xfId="0" applyFont="1" applyBorder="1" applyAlignment="1"/>
    <xf numFmtId="0" fontId="0" fillId="0" borderId="125" xfId="0" applyFill="1" applyBorder="1" applyAlignment="1" applyProtection="1">
      <alignment horizontal="center" vertical="center"/>
      <protection locked="0"/>
    </xf>
    <xf numFmtId="0" fontId="0" fillId="0" borderId="126" xfId="0" applyFill="1" applyBorder="1" applyAlignment="1" applyProtection="1">
      <alignment horizontal="center" vertical="center"/>
      <protection locked="0"/>
    </xf>
    <xf numFmtId="0" fontId="0" fillId="0" borderId="127" xfId="0" applyFill="1" applyBorder="1" applyAlignment="1" applyProtection="1">
      <alignment horizontal="center" vertical="center"/>
      <protection locked="0"/>
    </xf>
    <xf numFmtId="49" fontId="14" fillId="0" borderId="20"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108" fillId="0" borderId="0" xfId="0" applyFont="1" applyBorder="1" applyAlignment="1" applyProtection="1">
      <alignment horizontal="right"/>
    </xf>
    <xf numFmtId="0" fontId="108" fillId="0" borderId="98" xfId="0" applyFont="1" applyBorder="1" applyAlignment="1" applyProtection="1">
      <alignment horizontal="right"/>
    </xf>
    <xf numFmtId="164" fontId="14" fillId="0" borderId="114" xfId="0" applyNumberFormat="1" applyFont="1" applyBorder="1" applyAlignment="1" applyProtection="1">
      <alignment horizontal="center"/>
    </xf>
    <xf numFmtId="0" fontId="14" fillId="0" borderId="115" xfId="0" applyFont="1" applyBorder="1" applyAlignment="1" applyProtection="1">
      <alignment horizontal="center"/>
    </xf>
    <xf numFmtId="0" fontId="14" fillId="0" borderId="116" xfId="0" applyFont="1" applyBorder="1" applyAlignment="1" applyProtection="1">
      <alignment horizontal="center"/>
    </xf>
    <xf numFmtId="0" fontId="26" fillId="0" borderId="117" xfId="0" applyFont="1" applyBorder="1" applyAlignment="1" applyProtection="1">
      <alignment horizontal="center" wrapText="1"/>
    </xf>
    <xf numFmtId="0" fontId="26" fillId="0" borderId="118" xfId="0" applyFont="1" applyBorder="1" applyAlignment="1" applyProtection="1">
      <alignment horizontal="center" wrapText="1"/>
    </xf>
    <xf numFmtId="0" fontId="26" fillId="0" borderId="119" xfId="0" applyFont="1" applyBorder="1" applyAlignment="1" applyProtection="1">
      <alignment horizontal="center" wrapText="1"/>
    </xf>
    <xf numFmtId="49" fontId="14" fillId="0" borderId="22" xfId="0" applyNumberFormat="1" applyFont="1" applyBorder="1" applyAlignment="1" applyProtection="1">
      <alignment horizontal="center"/>
    </xf>
    <xf numFmtId="49" fontId="14" fillId="0" borderId="43" xfId="0" applyNumberFormat="1" applyFont="1" applyBorder="1" applyAlignment="1" applyProtection="1">
      <alignment horizontal="center"/>
    </xf>
    <xf numFmtId="0" fontId="73" fillId="0" borderId="120" xfId="0" applyFont="1" applyFill="1" applyBorder="1" applyAlignment="1" applyProtection="1">
      <alignment horizontal="center" vertical="center"/>
    </xf>
    <xf numFmtId="0" fontId="73" fillId="0" borderId="121" xfId="0" applyFont="1" applyFill="1" applyBorder="1" applyAlignment="1" applyProtection="1">
      <alignment horizontal="center" vertical="center"/>
    </xf>
    <xf numFmtId="0" fontId="73" fillId="0" borderId="122" xfId="0" applyFont="1" applyFill="1" applyBorder="1" applyAlignment="1" applyProtection="1">
      <alignment horizontal="center" vertical="center"/>
    </xf>
    <xf numFmtId="0" fontId="0" fillId="0" borderId="123" xfId="0" applyBorder="1" applyAlignment="1" applyProtection="1">
      <alignment horizontal="center"/>
    </xf>
    <xf numFmtId="0" fontId="0" fillId="0" borderId="106" xfId="0" applyBorder="1" applyAlignment="1" applyProtection="1">
      <alignment horizontal="center"/>
    </xf>
    <xf numFmtId="49" fontId="0" fillId="0" borderId="39" xfId="0" applyNumberFormat="1" applyBorder="1" applyAlignment="1" applyProtection="1">
      <alignment horizontal="justify" wrapText="1"/>
      <protection locked="0"/>
    </xf>
    <xf numFmtId="49" fontId="0" fillId="0" borderId="40" xfId="0" applyNumberFormat="1" applyBorder="1" applyAlignment="1" applyProtection="1">
      <alignment horizontal="justify" wrapText="1"/>
      <protection locked="0"/>
    </xf>
    <xf numFmtId="49" fontId="0" fillId="0" borderId="41" xfId="0" applyNumberFormat="1" applyBorder="1" applyAlignment="1" applyProtection="1">
      <alignment horizontal="justify" wrapText="1"/>
      <protection locked="0"/>
    </xf>
    <xf numFmtId="3" fontId="0" fillId="0" borderId="39" xfId="0" applyNumberFormat="1" applyBorder="1" applyAlignment="1" applyProtection="1">
      <alignment horizontal="center"/>
      <protection locked="0"/>
    </xf>
    <xf numFmtId="3" fontId="0" fillId="0" borderId="41" xfId="0" applyNumberFormat="1" applyBorder="1" applyAlignment="1" applyProtection="1">
      <alignment horizontal="center"/>
      <protection locked="0"/>
    </xf>
    <xf numFmtId="15" fontId="1" fillId="0" borderId="10" xfId="56" applyNumberFormat="1" applyFont="1" applyFill="1" applyBorder="1" applyAlignment="1" applyProtection="1">
      <alignment horizontal="center"/>
      <protection locked="0"/>
    </xf>
    <xf numFmtId="15" fontId="135" fillId="0" borderId="10" xfId="56" applyNumberFormat="1" applyFill="1" applyBorder="1" applyAlignment="1" applyProtection="1">
      <alignment horizontal="center"/>
      <protection locked="0"/>
    </xf>
    <xf numFmtId="0" fontId="0" fillId="0" borderId="0" xfId="0" applyAlignment="1" applyProtection="1">
      <alignment wrapText="1"/>
    </xf>
    <xf numFmtId="164" fontId="59" fillId="31" borderId="0" xfId="38" applyFont="1" applyFill="1" applyAlignment="1" applyProtection="1">
      <alignment horizontal="center" vertical="center" wrapText="1"/>
    </xf>
    <xf numFmtId="14" fontId="0" fillId="0" borderId="10" xfId="0" applyNumberFormat="1" applyBorder="1" applyAlignment="1" applyProtection="1">
      <alignment horizontal="center" wrapText="1"/>
      <protection locked="0"/>
    </xf>
    <xf numFmtId="49" fontId="0" fillId="0" borderId="10" xfId="0" applyNumberFormat="1" applyBorder="1" applyAlignment="1" applyProtection="1">
      <alignment horizontal="center" wrapText="1"/>
      <protection locked="0"/>
    </xf>
    <xf numFmtId="15" fontId="1" fillId="0" borderId="10" xfId="56" applyNumberFormat="1" applyFont="1" applyFill="1" applyBorder="1" applyAlignment="1" applyProtection="1">
      <alignment horizontal="center" wrapText="1"/>
      <protection locked="0"/>
    </xf>
    <xf numFmtId="0" fontId="0" fillId="0" borderId="0" xfId="0" applyBorder="1" applyAlignment="1" applyProtection="1">
      <alignment wrapText="1"/>
    </xf>
    <xf numFmtId="0" fontId="108" fillId="0" borderId="0" xfId="0" applyFont="1" applyAlignment="1" applyProtection="1">
      <alignment horizontal="right" wrapText="1"/>
    </xf>
    <xf numFmtId="164" fontId="0" fillId="0" borderId="14" xfId="59" applyFont="1" applyFill="1" applyBorder="1" applyAlignment="1" applyProtection="1">
      <alignment vertical="center" wrapText="1"/>
    </xf>
    <xf numFmtId="164" fontId="135" fillId="0" borderId="0" xfId="59" applyFill="1" applyBorder="1" applyAlignment="1" applyProtection="1">
      <alignment vertical="center" wrapText="1"/>
    </xf>
    <xf numFmtId="0" fontId="14" fillId="0" borderId="115" xfId="0" applyFont="1" applyBorder="1" applyAlignment="1" applyProtection="1">
      <alignment horizontal="center" wrapText="1"/>
    </xf>
    <xf numFmtId="3" fontId="28" fillId="23" borderId="66" xfId="0" applyNumberFormat="1" applyFont="1" applyFill="1" applyBorder="1" applyAlignment="1" applyProtection="1">
      <alignment wrapText="1"/>
      <protection locked="0"/>
    </xf>
    <xf numFmtId="3" fontId="28" fillId="23" borderId="67" xfId="0" applyNumberFormat="1" applyFont="1" applyFill="1" applyBorder="1" applyAlignment="1" applyProtection="1">
      <alignment wrapText="1"/>
      <protection locked="0"/>
    </xf>
    <xf numFmtId="3" fontId="28" fillId="0" borderId="60" xfId="0" applyNumberFormat="1" applyFont="1" applyFill="1" applyBorder="1" applyAlignment="1" applyProtection="1">
      <alignment wrapText="1"/>
    </xf>
    <xf numFmtId="9" fontId="15" fillId="0" borderId="0" xfId="61" applyFont="1" applyAlignment="1" applyProtection="1">
      <alignment wrapText="1"/>
    </xf>
    <xf numFmtId="166" fontId="0" fillId="0" borderId="0" xfId="0" applyNumberFormat="1" applyAlignment="1" applyProtection="1">
      <alignment wrapText="1"/>
    </xf>
    <xf numFmtId="4" fontId="0" fillId="0" borderId="0" xfId="0" applyNumberFormat="1" applyAlignment="1" applyProtection="1">
      <alignment wrapText="1"/>
    </xf>
    <xf numFmtId="3" fontId="0" fillId="0" borderId="0" xfId="0" applyNumberFormat="1" applyAlignment="1" applyProtection="1">
      <alignment wrapText="1"/>
    </xf>
    <xf numFmtId="164" fontId="39" fillId="0" borderId="19" xfId="59" applyFont="1" applyFill="1" applyBorder="1" applyAlignment="1" applyProtection="1">
      <alignment vertical="center" wrapText="1"/>
    </xf>
    <xf numFmtId="164" fontId="39" fillId="0" borderId="0" xfId="59" applyFont="1" applyFill="1" applyBorder="1" applyAlignment="1" applyProtection="1">
      <alignment vertical="center" wrapText="1"/>
    </xf>
    <xf numFmtId="0" fontId="14" fillId="0" borderId="0" xfId="0" applyFont="1" applyBorder="1" applyAlignment="1" applyProtection="1">
      <alignment horizontal="center" wrapText="1"/>
    </xf>
    <xf numFmtId="1" fontId="21" fillId="20" borderId="21" xfId="0" applyNumberFormat="1" applyFont="1" applyFill="1" applyBorder="1" applyAlignment="1" applyProtection="1">
      <alignment horizontal="center" wrapText="1"/>
    </xf>
    <xf numFmtId="1" fontId="21" fillId="20" borderId="23" xfId="0" applyNumberFormat="1" applyFont="1" applyFill="1" applyBorder="1" applyAlignment="1" applyProtection="1">
      <alignment horizontal="center" wrapText="1"/>
    </xf>
    <xf numFmtId="0" fontId="0" fillId="0" borderId="0" xfId="0" applyFill="1" applyBorder="1" applyAlignment="1" applyProtection="1">
      <alignment wrapText="1"/>
    </xf>
    <xf numFmtId="15" fontId="96" fillId="0" borderId="0" xfId="0" applyNumberFormat="1" applyFont="1" applyFill="1" applyBorder="1" applyAlignment="1" applyProtection="1">
      <alignment horizontal="left" wrapText="1"/>
    </xf>
    <xf numFmtId="0" fontId="0" fillId="22" borderId="23" xfId="0" applyNumberFormat="1" applyFill="1" applyBorder="1" applyAlignment="1" applyProtection="1">
      <alignment horizontal="center" wrapText="1"/>
      <protection locked="0"/>
    </xf>
    <xf numFmtId="165" fontId="32" fillId="19" borderId="63" xfId="0" applyNumberFormat="1" applyFont="1" applyFill="1" applyBorder="1" applyAlignment="1" applyProtection="1">
      <alignment horizontal="center" wrapText="1"/>
      <protection locked="0"/>
    </xf>
    <xf numFmtId="3" fontId="0" fillId="0" borderId="10" xfId="0" applyNumberFormat="1" applyFill="1" applyBorder="1" applyAlignment="1" applyProtection="1">
      <alignment wrapText="1"/>
    </xf>
    <xf numFmtId="3" fontId="0" fillId="0" borderId="59" xfId="0" applyNumberFormat="1" applyFill="1" applyBorder="1" applyAlignment="1" applyProtection="1">
      <alignment wrapText="1"/>
    </xf>
    <xf numFmtId="164" fontId="39" fillId="0" borderId="25" xfId="59" applyFont="1" applyFill="1" applyBorder="1" applyAlignment="1" applyProtection="1">
      <alignment vertical="center" wrapText="1"/>
    </xf>
    <xf numFmtId="0" fontId="2" fillId="0" borderId="42" xfId="0" applyFont="1" applyFill="1" applyBorder="1" applyAlignment="1" applyProtection="1">
      <alignment horizontal="center" wrapText="1"/>
    </xf>
    <xf numFmtId="0" fontId="2" fillId="0" borderId="105" xfId="0" applyFont="1" applyFill="1" applyBorder="1" applyAlignment="1" applyProtection="1">
      <alignment horizontal="center" wrapText="1"/>
    </xf>
    <xf numFmtId="0" fontId="0" fillId="0" borderId="0" xfId="0" applyAlignment="1">
      <alignment wrapText="1"/>
    </xf>
    <xf numFmtId="9" fontId="64" fillId="28" borderId="10" xfId="0" applyNumberFormat="1" applyFont="1" applyFill="1" applyBorder="1" applyAlignment="1" applyProtection="1">
      <alignment horizontal="right" vertical="center"/>
      <protection locked="0"/>
    </xf>
    <xf numFmtId="3" fontId="2" fillId="29" borderId="10" xfId="0" applyNumberFormat="1" applyFont="1" applyFill="1" applyBorder="1" applyAlignment="1" applyProtection="1">
      <alignment horizontal="right" vertical="center"/>
      <protection locked="0"/>
    </xf>
    <xf numFmtId="3" fontId="136" fillId="28" borderId="10" xfId="0" applyNumberFormat="1" applyFont="1" applyFill="1" applyBorder="1" applyAlignment="1" applyProtection="1">
      <alignment horizontal="right" vertical="center"/>
      <protection locked="0"/>
    </xf>
    <xf numFmtId="3" fontId="2" fillId="28" borderId="10" xfId="0" applyNumberFormat="1" applyFont="1" applyFill="1" applyBorder="1" applyAlignment="1" applyProtection="1">
      <alignment horizontal="right" vertical="center"/>
      <protection locked="0"/>
    </xf>
    <xf numFmtId="3" fontId="136" fillId="29" borderId="10" xfId="0" applyNumberFormat="1" applyFont="1" applyFill="1" applyBorder="1" applyAlignment="1" applyProtection="1">
      <alignment horizontal="right" vertical="center"/>
      <protection locked="0"/>
    </xf>
    <xf numFmtId="3" fontId="136" fillId="29" borderId="10" xfId="0" applyNumberFormat="1" applyFont="1" applyFill="1" applyBorder="1" applyAlignment="1" applyProtection="1">
      <alignment vertical="center"/>
      <protection locked="0"/>
    </xf>
    <xf numFmtId="3" fontId="136" fillId="28" borderId="10" xfId="0" applyNumberFormat="1" applyFont="1" applyFill="1" applyBorder="1" applyAlignment="1" applyProtection="1">
      <alignment vertical="center"/>
      <protection locked="0"/>
    </xf>
    <xf numFmtId="0" fontId="64" fillId="0" borderId="10" xfId="0" applyFont="1" applyFill="1" applyBorder="1" applyAlignment="1" applyProtection="1">
      <alignment horizontal="center" vertical="center" wrapText="1"/>
    </xf>
    <xf numFmtId="0" fontId="64" fillId="27" borderId="10" xfId="0" applyFont="1" applyFill="1" applyBorder="1" applyAlignment="1" applyProtection="1">
      <alignment horizontal="center" vertical="center" wrapText="1"/>
    </xf>
    <xf numFmtId="0" fontId="26" fillId="0" borderId="0" xfId="0" applyFont="1" applyFill="1" applyBorder="1" applyAlignment="1">
      <alignment horizontal="left"/>
    </xf>
    <xf numFmtId="0" fontId="0" fillId="0" borderId="0" xfId="0" applyFill="1" applyBorder="1" applyAlignment="1">
      <alignment horizontal="left"/>
    </xf>
    <xf numFmtId="3" fontId="0" fillId="0" borderId="0" xfId="0" applyNumberFormat="1" applyFill="1" applyBorder="1" applyAlignment="1">
      <alignment horizontal="left"/>
    </xf>
    <xf numFmtId="0" fontId="137" fillId="0" borderId="10" xfId="0" applyFont="1" applyFill="1" applyBorder="1" applyAlignment="1" applyProtection="1">
      <alignment horizontal="center" vertical="center" wrapText="1"/>
    </xf>
    <xf numFmtId="164" fontId="17" fillId="30" borderId="0" xfId="38" applyFont="1" applyFill="1" applyBorder="1" applyAlignment="1">
      <alignment horizontal="center" vertical="center"/>
    </xf>
    <xf numFmtId="164" fontId="33" fillId="0" borderId="0" xfId="0" applyNumberFormat="1" applyFont="1" applyAlignment="1">
      <alignment horizontal="center"/>
    </xf>
    <xf numFmtId="0" fontId="0" fillId="0" borderId="0" xfId="0" applyAlignment="1"/>
    <xf numFmtId="0" fontId="121" fillId="0" borderId="0" xfId="0" applyFont="1" applyAlignment="1">
      <alignment horizontal="center"/>
    </xf>
    <xf numFmtId="0" fontId="122" fillId="0" borderId="0" xfId="0" applyFont="1" applyAlignment="1">
      <alignment horizontal="center"/>
    </xf>
    <xf numFmtId="0" fontId="127" fillId="0" borderId="39" xfId="0" applyFont="1" applyBorder="1" applyAlignment="1" applyProtection="1">
      <alignment horizontal="left" vertical="center" wrapText="1"/>
      <protection locked="0"/>
    </xf>
    <xf numFmtId="0" fontId="127" fillId="0" borderId="40" xfId="0" applyFont="1" applyBorder="1" applyAlignment="1" applyProtection="1">
      <alignment horizontal="left" vertical="center" wrapText="1"/>
      <protection locked="0"/>
    </xf>
    <xf numFmtId="0" fontId="127" fillId="0" borderId="41" xfId="0" applyFont="1" applyBorder="1" applyAlignment="1" applyProtection="1">
      <alignment horizontal="left" vertical="center" wrapText="1"/>
      <protection locked="0"/>
    </xf>
    <xf numFmtId="0" fontId="125" fillId="0" borderId="39" xfId="0" applyFont="1" applyBorder="1" applyAlignment="1" applyProtection="1">
      <alignment horizontal="left" vertical="center" wrapText="1"/>
      <protection locked="0"/>
    </xf>
    <xf numFmtId="0" fontId="125" fillId="0" borderId="40" xfId="0" applyFont="1" applyBorder="1" applyAlignment="1" applyProtection="1">
      <alignment horizontal="left" vertical="center" wrapText="1"/>
      <protection locked="0"/>
    </xf>
    <xf numFmtId="0" fontId="125" fillId="0" borderId="41" xfId="0" applyFont="1" applyBorder="1" applyAlignment="1" applyProtection="1">
      <alignment horizontal="left" vertical="center" wrapText="1"/>
      <protection locked="0"/>
    </xf>
    <xf numFmtId="0" fontId="0" fillId="0" borderId="113" xfId="0" applyBorder="1" applyAlignment="1">
      <alignment horizontal="center"/>
    </xf>
    <xf numFmtId="0" fontId="61" fillId="0" borderId="39" xfId="0" applyFont="1" applyBorder="1" applyAlignment="1">
      <alignment horizontal="left" vertical="center" wrapText="1"/>
    </xf>
    <xf numFmtId="0" fontId="61" fillId="0" borderId="40" xfId="0" applyFont="1" applyBorder="1" applyAlignment="1">
      <alignment horizontal="left" vertical="center" wrapText="1"/>
    </xf>
    <xf numFmtId="0" fontId="61" fillId="0" borderId="41" xfId="0" applyFont="1" applyBorder="1" applyAlignment="1">
      <alignment horizontal="left" vertical="center" wrapText="1"/>
    </xf>
    <xf numFmtId="164" fontId="85" fillId="0" borderId="39" xfId="0" applyNumberFormat="1" applyFont="1" applyBorder="1" applyAlignment="1">
      <alignment horizontal="left" vertical="center" wrapText="1"/>
    </xf>
    <xf numFmtId="0" fontId="85" fillId="0" borderId="40" xfId="0" applyFont="1" applyBorder="1" applyAlignment="1">
      <alignment horizontal="left" vertical="center" wrapText="1"/>
    </xf>
    <xf numFmtId="0" fontId="85" fillId="0" borderId="41" xfId="0" applyFont="1" applyBorder="1" applyAlignment="1">
      <alignment horizontal="left" vertical="center" wrapText="1"/>
    </xf>
    <xf numFmtId="0" fontId="0" fillId="0" borderId="0" xfId="0" applyBorder="1" applyAlignment="1">
      <alignment horizontal="center"/>
    </xf>
    <xf numFmtId="0" fontId="0" fillId="0" borderId="113" xfId="0" applyBorder="1" applyAlignment="1">
      <alignment horizontal="center" wrapText="1"/>
    </xf>
    <xf numFmtId="0" fontId="0" fillId="0" borderId="0" xfId="0" applyBorder="1" applyAlignment="1">
      <alignment horizontal="center" wrapText="1"/>
    </xf>
    <xf numFmtId="0" fontId="83" fillId="22" borderId="39" xfId="0" applyFont="1" applyFill="1" applyBorder="1" applyAlignment="1">
      <alignment horizontal="center"/>
    </xf>
    <xf numFmtId="0" fontId="83" fillId="22" borderId="40" xfId="0" applyFont="1" applyFill="1" applyBorder="1" applyAlignment="1">
      <alignment horizontal="center"/>
    </xf>
    <xf numFmtId="0" fontId="83" fillId="22" borderId="41" xfId="0" applyFont="1" applyFill="1" applyBorder="1" applyAlignment="1">
      <alignment horizontal="center"/>
    </xf>
    <xf numFmtId="0" fontId="85" fillId="0" borderId="39" xfId="0" applyFont="1" applyBorder="1" applyAlignment="1">
      <alignment horizontal="justify" vertical="center" wrapText="1"/>
    </xf>
    <xf numFmtId="0" fontId="85" fillId="0" borderId="40" xfId="0" applyFont="1" applyBorder="1" applyAlignment="1">
      <alignment horizontal="justify" vertical="center" wrapText="1"/>
    </xf>
    <xf numFmtId="0" fontId="85" fillId="0" borderId="41" xfId="0" applyFont="1" applyBorder="1" applyAlignment="1">
      <alignment horizontal="justify" vertical="center" wrapText="1"/>
    </xf>
    <xf numFmtId="0" fontId="89" fillId="25" borderId="39" xfId="0" applyFont="1" applyFill="1" applyBorder="1" applyAlignment="1">
      <alignment horizontal="center"/>
    </xf>
    <xf numFmtId="0" fontId="89" fillId="25" borderId="40" xfId="0" applyFont="1" applyFill="1" applyBorder="1" applyAlignment="1">
      <alignment horizontal="center"/>
    </xf>
    <xf numFmtId="0" fontId="89" fillId="25" borderId="41" xfId="0" applyFont="1" applyFill="1" applyBorder="1" applyAlignment="1">
      <alignment horizontal="center"/>
    </xf>
    <xf numFmtId="164" fontId="17" fillId="31" borderId="0" xfId="46" applyFont="1" applyFill="1" applyAlignment="1" applyProtection="1">
      <alignment horizontal="center" vertical="center"/>
    </xf>
    <xf numFmtId="0" fontId="82" fillId="0" borderId="0" xfId="0" applyFont="1" applyAlignment="1">
      <alignment horizontal="center"/>
    </xf>
    <xf numFmtId="0" fontId="83" fillId="23" borderId="39" xfId="0" applyFont="1" applyFill="1" applyBorder="1" applyAlignment="1">
      <alignment horizontal="center"/>
    </xf>
    <xf numFmtId="0" fontId="83" fillId="23" borderId="40" xfId="0" applyFont="1" applyFill="1" applyBorder="1" applyAlignment="1">
      <alignment horizontal="center"/>
    </xf>
    <xf numFmtId="0" fontId="83" fillId="23" borderId="41" xfId="0" applyFont="1" applyFill="1" applyBorder="1" applyAlignment="1">
      <alignment horizontal="center"/>
    </xf>
    <xf numFmtId="164" fontId="85" fillId="0" borderId="39" xfId="0" applyNumberFormat="1" applyFont="1" applyBorder="1" applyAlignment="1">
      <alignment horizontal="justify" vertical="center" wrapText="1"/>
    </xf>
    <xf numFmtId="0" fontId="85" fillId="0" borderId="40" xfId="0" applyFont="1" applyBorder="1" applyAlignment="1">
      <alignment horizontal="left" vertical="center"/>
    </xf>
    <xf numFmtId="0" fontId="85" fillId="0" borderId="41" xfId="0" applyFont="1" applyBorder="1" applyAlignment="1">
      <alignment horizontal="left" vertical="center"/>
    </xf>
    <xf numFmtId="0" fontId="130" fillId="0" borderId="39" xfId="0" applyFont="1" applyFill="1" applyBorder="1" applyAlignment="1" applyProtection="1">
      <alignment horizontal="left" vertical="center" wrapText="1"/>
      <protection locked="0"/>
    </xf>
    <xf numFmtId="0" fontId="130" fillId="0" borderId="40" xfId="0" applyFont="1" applyFill="1" applyBorder="1" applyAlignment="1" applyProtection="1">
      <alignment horizontal="left" vertical="center" wrapText="1"/>
      <protection locked="0"/>
    </xf>
    <xf numFmtId="0" fontId="130" fillId="0" borderId="41" xfId="0" applyFont="1" applyFill="1" applyBorder="1" applyAlignment="1" applyProtection="1">
      <alignment horizontal="left" vertical="center" wrapText="1"/>
      <protection locked="0"/>
    </xf>
    <xf numFmtId="0" fontId="85" fillId="0" borderId="40" xfId="0" applyFont="1" applyBorder="1" applyAlignment="1">
      <alignment horizontal="justify" vertical="center"/>
    </xf>
    <xf numFmtId="0" fontId="85" fillId="0" borderId="41" xfId="0" applyFont="1" applyBorder="1" applyAlignment="1">
      <alignment horizontal="justify" vertical="center"/>
    </xf>
    <xf numFmtId="0" fontId="61" fillId="0" borderId="39" xfId="0" applyFont="1" applyBorder="1" applyAlignment="1">
      <alignment horizontal="justify" vertical="center" wrapText="1"/>
    </xf>
    <xf numFmtId="0" fontId="61" fillId="0" borderId="40" xfId="0" applyFont="1" applyBorder="1" applyAlignment="1">
      <alignment horizontal="justify" vertical="center" wrapText="1"/>
    </xf>
    <xf numFmtId="0" fontId="61" fillId="0" borderId="41" xfId="0" applyFont="1" applyBorder="1" applyAlignment="1">
      <alignment horizontal="justify" vertical="center" wrapText="1"/>
    </xf>
    <xf numFmtId="9" fontId="85" fillId="0" borderId="39" xfId="61" applyFont="1" applyBorder="1" applyAlignment="1">
      <alignment horizontal="justify" vertical="center" wrapText="1"/>
    </xf>
    <xf numFmtId="9" fontId="85" fillId="0" borderId="40" xfId="61" applyFont="1" applyBorder="1" applyAlignment="1">
      <alignment horizontal="justify" vertical="center" wrapText="1"/>
    </xf>
    <xf numFmtId="9" fontId="85" fillId="0" borderId="41" xfId="61" applyFont="1" applyBorder="1" applyAlignment="1">
      <alignment horizontal="justify" vertical="center" wrapText="1"/>
    </xf>
    <xf numFmtId="0" fontId="24" fillId="0" borderId="39" xfId="0" applyFont="1" applyBorder="1" applyAlignment="1">
      <alignment horizontal="center" vertical="center" wrapText="1"/>
    </xf>
    <xf numFmtId="0" fontId="24" fillId="0" borderId="40" xfId="0" applyFont="1" applyBorder="1" applyAlignment="1">
      <alignment horizontal="center" vertical="center" wrapText="1"/>
    </xf>
    <xf numFmtId="0" fontId="24" fillId="0" borderId="41" xfId="0" applyFont="1" applyBorder="1" applyAlignment="1">
      <alignment horizontal="center" vertical="center" wrapText="1"/>
    </xf>
    <xf numFmtId="0" fontId="89" fillId="25" borderId="39" xfId="0" applyFont="1" applyFill="1" applyBorder="1" applyAlignment="1">
      <alignment horizontal="center" wrapText="1"/>
    </xf>
    <xf numFmtId="0" fontId="89" fillId="25" borderId="40" xfId="0" applyFont="1" applyFill="1" applyBorder="1" applyAlignment="1">
      <alignment horizontal="center" wrapText="1"/>
    </xf>
    <xf numFmtId="0" fontId="89" fillId="25" borderId="41" xfId="0" applyFont="1" applyFill="1" applyBorder="1" applyAlignment="1">
      <alignment horizontal="center" wrapText="1"/>
    </xf>
    <xf numFmtId="0" fontId="85" fillId="0" borderId="111" xfId="0" applyFont="1" applyBorder="1" applyAlignment="1">
      <alignment horizontal="justify" vertical="top" wrapText="1"/>
    </xf>
    <xf numFmtId="0" fontId="85" fillId="0" borderId="108" xfId="0" applyFont="1" applyBorder="1" applyAlignment="1">
      <alignment horizontal="justify" vertical="top" wrapText="1"/>
    </xf>
    <xf numFmtId="0" fontId="85" fillId="0" borderId="109" xfId="0" applyFont="1" applyBorder="1" applyAlignment="1">
      <alignment horizontal="justify" vertical="top" wrapText="1"/>
    </xf>
    <xf numFmtId="0" fontId="61" fillId="0" borderId="112" xfId="0" applyFont="1" applyBorder="1" applyAlignment="1">
      <alignment horizontal="justify" vertical="top" wrapText="1"/>
    </xf>
    <xf numFmtId="0" fontId="61" fillId="0" borderId="113" xfId="0" applyFont="1" applyBorder="1" applyAlignment="1">
      <alignment horizontal="justify" vertical="top" wrapText="1"/>
    </xf>
    <xf numFmtId="0" fontId="61" fillId="0" borderId="110" xfId="0" applyFont="1" applyBorder="1" applyAlignment="1">
      <alignment horizontal="justify" vertical="top" wrapText="1"/>
    </xf>
    <xf numFmtId="0" fontId="130" fillId="0" borderId="39" xfId="0" applyFont="1" applyBorder="1" applyAlignment="1" applyProtection="1">
      <alignment vertical="center" wrapText="1"/>
      <protection locked="0"/>
    </xf>
    <xf numFmtId="0" fontId="126" fillId="0" borderId="40" xfId="0" applyFont="1" applyBorder="1" applyAlignment="1" applyProtection="1">
      <alignment vertical="center" wrapText="1"/>
      <protection locked="0"/>
    </xf>
    <xf numFmtId="0" fontId="126" fillId="0" borderId="41" xfId="0" applyFont="1" applyBorder="1" applyAlignment="1" applyProtection="1">
      <alignment vertical="center" wrapText="1"/>
      <protection locked="0"/>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128" fillId="25" borderId="39" xfId="0" applyFont="1" applyFill="1" applyBorder="1" applyAlignment="1">
      <alignment horizontal="center" vertical="center" wrapText="1"/>
    </xf>
    <xf numFmtId="0" fontId="128" fillId="25" borderId="40" xfId="0" applyFont="1" applyFill="1" applyBorder="1" applyAlignment="1">
      <alignment horizontal="center" vertical="center"/>
    </xf>
    <xf numFmtId="0" fontId="128" fillId="25" borderId="41" xfId="0" applyFont="1" applyFill="1" applyBorder="1" applyAlignment="1">
      <alignment horizontal="center" vertical="center"/>
    </xf>
    <xf numFmtId="0" fontId="130" fillId="0" borderId="39" xfId="0" applyFont="1" applyFill="1" applyBorder="1" applyAlignment="1" applyProtection="1">
      <alignment vertical="center" wrapText="1"/>
      <protection locked="0"/>
    </xf>
    <xf numFmtId="0" fontId="126" fillId="0" borderId="40" xfId="0" applyFont="1" applyFill="1" applyBorder="1" applyAlignment="1" applyProtection="1">
      <alignment vertical="center" wrapText="1"/>
      <protection locked="0"/>
    </xf>
    <xf numFmtId="0" fontId="126" fillId="0" borderId="41" xfId="0" applyFont="1" applyFill="1" applyBorder="1" applyAlignment="1" applyProtection="1">
      <alignment vertical="center" wrapText="1"/>
      <protection locked="0"/>
    </xf>
    <xf numFmtId="0" fontId="127" fillId="0" borderId="39" xfId="0" applyFont="1" applyBorder="1" applyAlignment="1" applyProtection="1">
      <alignment horizontal="justify" vertical="center" wrapText="1"/>
      <protection locked="0"/>
    </xf>
    <xf numFmtId="0" fontId="126" fillId="0" borderId="40" xfId="0" applyFont="1" applyBorder="1" applyAlignment="1" applyProtection="1">
      <alignment horizontal="justify" vertical="center" wrapText="1"/>
      <protection locked="0"/>
    </xf>
    <xf numFmtId="0" fontId="126" fillId="0" borderId="41" xfId="0" applyFont="1" applyBorder="1" applyAlignment="1" applyProtection="1">
      <alignment horizontal="justify" vertical="center" wrapText="1"/>
      <protection locked="0"/>
    </xf>
    <xf numFmtId="164" fontId="85" fillId="0" borderId="112" xfId="0" applyNumberFormat="1" applyFont="1" applyBorder="1" applyAlignment="1">
      <alignment horizontal="left" vertical="center" wrapText="1"/>
    </xf>
    <xf numFmtId="0" fontId="85" fillId="0" borderId="113" xfId="0" applyFont="1" applyBorder="1" applyAlignment="1">
      <alignment horizontal="left" vertical="center" wrapText="1"/>
    </xf>
    <xf numFmtId="0" fontId="85" fillId="0" borderId="110" xfId="0" applyFont="1" applyBorder="1" applyAlignment="1">
      <alignment horizontal="left" vertical="center" wrapText="1"/>
    </xf>
    <xf numFmtId="0" fontId="85" fillId="0" borderId="111" xfId="0" applyFont="1" applyBorder="1" applyAlignment="1">
      <alignment horizontal="left" vertical="center" wrapText="1"/>
    </xf>
    <xf numFmtId="0" fontId="85" fillId="0" borderId="108" xfId="0" applyFont="1" applyBorder="1" applyAlignment="1">
      <alignment horizontal="left" vertical="center" wrapText="1"/>
    </xf>
    <xf numFmtId="0" fontId="85" fillId="0" borderId="109" xfId="0" applyFont="1" applyBorder="1" applyAlignment="1">
      <alignment horizontal="left" vertical="center" wrapText="1"/>
    </xf>
    <xf numFmtId="0" fontId="129" fillId="25" borderId="39" xfId="0" applyFont="1" applyFill="1" applyBorder="1" applyAlignment="1">
      <alignment horizontal="center" vertical="center"/>
    </xf>
    <xf numFmtId="0" fontId="129" fillId="25" borderId="40" xfId="0" applyFont="1" applyFill="1" applyBorder="1" applyAlignment="1">
      <alignment horizontal="center" vertical="center"/>
    </xf>
    <xf numFmtId="0" fontId="129" fillId="25" borderId="41" xfId="0" applyFont="1" applyFill="1" applyBorder="1" applyAlignment="1">
      <alignment horizontal="center" vertical="center"/>
    </xf>
    <xf numFmtId="0" fontId="126" fillId="0" borderId="40" xfId="0" applyFont="1" applyBorder="1" applyAlignment="1" applyProtection="1">
      <alignment horizontal="left" vertical="center" wrapText="1"/>
      <protection locked="0"/>
    </xf>
    <xf numFmtId="0" fontId="126" fillId="0" borderId="41" xfId="0" applyFont="1" applyBorder="1" applyAlignment="1" applyProtection="1">
      <alignment horizontal="left" vertical="center" wrapText="1"/>
      <protection locked="0"/>
    </xf>
    <xf numFmtId="0" fontId="126" fillId="20" borderId="39" xfId="0" applyFont="1" applyFill="1" applyBorder="1" applyAlignment="1">
      <alignment vertical="center" wrapText="1"/>
    </xf>
    <xf numFmtId="0" fontId="126" fillId="20" borderId="40" xfId="0" applyFont="1" applyFill="1" applyBorder="1" applyAlignment="1">
      <alignment vertical="center" wrapText="1"/>
    </xf>
    <xf numFmtId="0" fontId="126" fillId="20" borderId="41" xfId="0" applyFont="1" applyFill="1" applyBorder="1" applyAlignment="1">
      <alignment vertical="center" wrapText="1"/>
    </xf>
    <xf numFmtId="0" fontId="125" fillId="0" borderId="39" xfId="0" applyFont="1" applyBorder="1" applyAlignment="1" applyProtection="1">
      <alignment horizontal="justify" vertical="center" wrapText="1"/>
      <protection locked="0"/>
    </xf>
    <xf numFmtId="0" fontId="115" fillId="0" borderId="111" xfId="0" applyFont="1" applyBorder="1" applyAlignment="1">
      <alignment horizontal="justify" vertical="center" wrapText="1"/>
    </xf>
    <xf numFmtId="0" fontId="115" fillId="0" borderId="108" xfId="0" applyFont="1" applyBorder="1" applyAlignment="1">
      <alignment horizontal="justify" vertical="center" wrapText="1"/>
    </xf>
    <xf numFmtId="0" fontId="115" fillId="0" borderId="109" xfId="0" applyFont="1" applyBorder="1" applyAlignment="1">
      <alignment horizontal="justify" vertical="center" wrapText="1"/>
    </xf>
    <xf numFmtId="0" fontId="125" fillId="20" borderId="39" xfId="0" applyFont="1" applyFill="1" applyBorder="1" applyAlignment="1">
      <alignment horizontal="left" vertical="center" wrapText="1"/>
    </xf>
    <xf numFmtId="0" fontId="125" fillId="20" borderId="40" xfId="0" applyFont="1" applyFill="1" applyBorder="1" applyAlignment="1">
      <alignment horizontal="left" vertical="center" wrapText="1"/>
    </xf>
    <xf numFmtId="0" fontId="125" fillId="20" borderId="41" xfId="0" applyFont="1" applyFill="1" applyBorder="1" applyAlignment="1">
      <alignment horizontal="left" vertical="center" wrapText="1"/>
    </xf>
    <xf numFmtId="0" fontId="127" fillId="0" borderId="39" xfId="0" applyNumberFormat="1" applyFont="1" applyBorder="1" applyAlignment="1" applyProtection="1">
      <alignment horizontal="left" vertical="center" wrapText="1"/>
      <protection locked="0"/>
    </xf>
    <xf numFmtId="0" fontId="125" fillId="0" borderId="40" xfId="0" applyNumberFormat="1" applyFont="1" applyBorder="1" applyAlignment="1" applyProtection="1">
      <alignment horizontal="left" vertical="center" wrapText="1"/>
      <protection locked="0"/>
    </xf>
    <xf numFmtId="0" fontId="125" fillId="0" borderId="41" xfId="0" applyNumberFormat="1" applyFont="1" applyBorder="1" applyAlignment="1" applyProtection="1">
      <alignment horizontal="left" vertical="center" wrapText="1"/>
      <protection locked="0"/>
    </xf>
    <xf numFmtId="0" fontId="115" fillId="0" borderId="39" xfId="0" applyFont="1" applyBorder="1" applyAlignment="1">
      <alignment horizontal="justify" vertical="center" wrapText="1"/>
    </xf>
    <xf numFmtId="0" fontId="115" fillId="0" borderId="40" xfId="0" applyFont="1" applyBorder="1" applyAlignment="1">
      <alignment horizontal="justify" vertical="center" wrapText="1"/>
    </xf>
    <xf numFmtId="0" fontId="115" fillId="0" borderId="41" xfId="0" applyFont="1" applyBorder="1" applyAlignment="1">
      <alignment horizontal="justify" vertical="center" wrapText="1"/>
    </xf>
    <xf numFmtId="0" fontId="115" fillId="0" borderId="39" xfId="0" applyFont="1" applyBorder="1" applyAlignment="1">
      <alignment horizontal="left" vertical="center" wrapText="1"/>
    </xf>
    <xf numFmtId="0" fontId="112" fillId="0" borderId="40" xfId="0" applyFont="1" applyBorder="1" applyAlignment="1">
      <alignment horizontal="left" vertical="center" wrapText="1"/>
    </xf>
    <xf numFmtId="0" fontId="112" fillId="0" borderId="41" xfId="0" applyFont="1" applyBorder="1" applyAlignment="1">
      <alignment horizontal="left" vertical="center" wrapText="1"/>
    </xf>
    <xf numFmtId="0" fontId="61" fillId="0" borderId="112" xfId="0" applyFont="1" applyBorder="1" applyAlignment="1">
      <alignment horizontal="left" vertical="center" wrapText="1"/>
    </xf>
    <xf numFmtId="0" fontId="61" fillId="0" borderId="113" xfId="0" applyFont="1" applyBorder="1" applyAlignment="1">
      <alignment horizontal="left" vertical="center" wrapText="1"/>
    </xf>
    <xf numFmtId="0" fontId="61" fillId="0" borderId="110" xfId="0" applyFont="1" applyBorder="1" applyAlignment="1">
      <alignment horizontal="left" vertical="center" wrapText="1"/>
    </xf>
    <xf numFmtId="0" fontId="61" fillId="0" borderId="111" xfId="0" applyFont="1" applyBorder="1" applyAlignment="1">
      <alignment horizontal="left" vertical="center" wrapText="1"/>
    </xf>
    <xf numFmtId="0" fontId="61" fillId="0" borderId="108" xfId="0" applyFont="1" applyBorder="1" applyAlignment="1">
      <alignment horizontal="left" vertical="center" wrapText="1"/>
    </xf>
    <xf numFmtId="0" fontId="61" fillId="0" borderId="109" xfId="0" applyFont="1" applyBorder="1" applyAlignment="1">
      <alignment horizontal="left" vertical="center" wrapText="1"/>
    </xf>
    <xf numFmtId="0" fontId="0" fillId="19" borderId="0" xfId="0" applyFill="1" applyBorder="1" applyAlignment="1" applyProtection="1">
      <alignment horizontal="center" vertical="center" textRotation="90"/>
    </xf>
    <xf numFmtId="9" fontId="33" fillId="0" borderId="128" xfId="61" applyFont="1" applyFill="1" applyBorder="1" applyAlignment="1" applyProtection="1">
      <alignment horizontal="center" vertical="center"/>
    </xf>
    <xf numFmtId="9" fontId="33" fillId="0" borderId="129" xfId="61" applyFont="1" applyFill="1" applyBorder="1" applyAlignment="1" applyProtection="1">
      <alignment horizontal="center" vertical="center"/>
    </xf>
    <xf numFmtId="9" fontId="33" fillId="0" borderId="130" xfId="61" applyFont="1" applyFill="1" applyBorder="1" applyAlignment="1" applyProtection="1">
      <alignment horizontal="center" vertical="center"/>
    </xf>
    <xf numFmtId="49" fontId="1" fillId="0" borderId="39" xfId="0" applyNumberFormat="1" applyFont="1" applyBorder="1" applyAlignment="1" applyProtection="1">
      <alignment horizontal="center" wrapText="1"/>
      <protection locked="0"/>
    </xf>
    <xf numFmtId="49" fontId="1" fillId="0" borderId="40" xfId="0" applyNumberFormat="1" applyFont="1" applyBorder="1" applyAlignment="1" applyProtection="1">
      <alignment horizontal="center" wrapText="1"/>
      <protection locked="0"/>
    </xf>
    <xf numFmtId="49" fontId="1" fillId="0" borderId="41" xfId="0" applyNumberFormat="1" applyFont="1" applyBorder="1" applyAlignment="1" applyProtection="1">
      <alignment horizontal="center" wrapText="1"/>
      <protection locked="0"/>
    </xf>
    <xf numFmtId="49" fontId="0" fillId="0" borderId="39" xfId="0" applyNumberFormat="1" applyBorder="1" applyAlignment="1" applyProtection="1">
      <alignment horizontal="center" wrapText="1"/>
      <protection locked="0"/>
    </xf>
    <xf numFmtId="49" fontId="0" fillId="0" borderId="40" xfId="0" applyNumberFormat="1" applyBorder="1" applyAlignment="1" applyProtection="1">
      <alignment horizontal="center" wrapText="1"/>
      <protection locked="0"/>
    </xf>
    <xf numFmtId="49" fontId="0" fillId="0" borderId="41" xfId="0" applyNumberFormat="1" applyBorder="1" applyAlignment="1" applyProtection="1">
      <alignment horizontal="center" wrapText="1"/>
      <protection locked="0"/>
    </xf>
    <xf numFmtId="49" fontId="0" fillId="0" borderId="39" xfId="0" applyNumberFormat="1" applyBorder="1" applyAlignment="1" applyProtection="1">
      <alignment horizontal="left" wrapText="1"/>
      <protection locked="0"/>
    </xf>
    <xf numFmtId="49" fontId="0" fillId="0" borderId="40" xfId="0" applyNumberFormat="1" applyBorder="1" applyAlignment="1" applyProtection="1">
      <alignment horizontal="left" wrapText="1"/>
      <protection locked="0"/>
    </xf>
    <xf numFmtId="49" fontId="0" fillId="0" borderId="41" xfId="0" applyNumberFormat="1" applyBorder="1" applyAlignment="1" applyProtection="1">
      <alignment horizontal="left" wrapText="1"/>
      <protection locked="0"/>
    </xf>
    <xf numFmtId="11" fontId="64" fillId="33" borderId="10" xfId="0" applyNumberFormat="1" applyFont="1" applyFill="1" applyBorder="1" applyAlignment="1" applyProtection="1">
      <alignment horizontal="left" vertical="center" wrapText="1"/>
      <protection locked="0"/>
    </xf>
    <xf numFmtId="0" fontId="137" fillId="29" borderId="10" xfId="0" applyNumberFormat="1" applyFont="1" applyFill="1" applyBorder="1" applyAlignment="1" applyProtection="1">
      <alignment horizontal="center" vertical="center" wrapText="1"/>
      <protection locked="0"/>
    </xf>
    <xf numFmtId="11" fontId="64" fillId="28" borderId="10" xfId="0" applyNumberFormat="1" applyFont="1" applyFill="1" applyBorder="1" applyAlignment="1" applyProtection="1">
      <alignment horizontal="left" vertical="center" wrapText="1"/>
      <protection locked="0"/>
    </xf>
    <xf numFmtId="168" fontId="137" fillId="25" borderId="10" xfId="0" applyNumberFormat="1" applyFont="1" applyFill="1" applyBorder="1" applyAlignment="1" applyProtection="1">
      <alignment horizontal="center" vertical="center" wrapText="1"/>
      <protection locked="0"/>
    </xf>
    <xf numFmtId="49" fontId="137" fillId="25" borderId="10" xfId="0" applyNumberFormat="1" applyFont="1" applyFill="1" applyBorder="1" applyAlignment="1" applyProtection="1">
      <alignment horizontal="center" vertical="center" wrapText="1"/>
      <protection locked="0"/>
    </xf>
    <xf numFmtId="11" fontId="64" fillId="29" borderId="10" xfId="0" applyNumberFormat="1" applyFont="1" applyFill="1" applyBorder="1" applyAlignment="1" applyProtection="1">
      <alignment horizontal="left" vertical="center" wrapText="1"/>
      <protection locked="0"/>
    </xf>
    <xf numFmtId="0" fontId="0" fillId="34" borderId="131" xfId="0" applyFill="1" applyBorder="1" applyAlignment="1" applyProtection="1">
      <alignment horizontal="center"/>
    </xf>
    <xf numFmtId="0" fontId="0" fillId="0" borderId="132" xfId="0" applyBorder="1" applyAlignment="1">
      <alignment horizontal="center"/>
    </xf>
    <xf numFmtId="0" fontId="0" fillId="0" borderId="133" xfId="0" applyBorder="1" applyAlignment="1">
      <alignment horizontal="center"/>
    </xf>
    <xf numFmtId="49" fontId="137" fillId="29" borderId="10" xfId="0" applyNumberFormat="1" applyFont="1" applyFill="1" applyBorder="1" applyAlignment="1" applyProtection="1">
      <alignment horizontal="center" vertical="center" wrapText="1"/>
      <protection locked="0"/>
    </xf>
    <xf numFmtId="11" fontId="64" fillId="35" borderId="10" xfId="0" applyNumberFormat="1" applyFont="1" applyFill="1" applyBorder="1" applyAlignment="1" applyProtection="1">
      <alignment horizontal="left" vertical="center" wrapText="1"/>
      <protection locked="0"/>
    </xf>
    <xf numFmtId="49" fontId="64" fillId="35" borderId="10" xfId="0" applyNumberFormat="1" applyFont="1" applyFill="1" applyBorder="1" applyAlignment="1" applyProtection="1">
      <alignment horizontal="left" vertical="center" wrapText="1"/>
      <protection locked="0"/>
    </xf>
    <xf numFmtId="0" fontId="137" fillId="25" borderId="10" xfId="0" applyNumberFormat="1" applyFont="1" applyFill="1" applyBorder="1" applyAlignment="1" applyProtection="1">
      <alignment horizontal="center" vertical="center" wrapText="1"/>
      <protection locked="0"/>
    </xf>
    <xf numFmtId="49" fontId="64" fillId="29" borderId="10" xfId="0" applyNumberFormat="1" applyFont="1" applyFill="1" applyBorder="1" applyAlignment="1" applyProtection="1">
      <alignment horizontal="left" vertical="center" wrapText="1"/>
      <protection locked="0"/>
    </xf>
    <xf numFmtId="173" fontId="64" fillId="35" borderId="10" xfId="0" applyNumberFormat="1" applyFont="1" applyFill="1" applyBorder="1" applyAlignment="1" applyProtection="1">
      <alignment horizontal="left" vertical="center" wrapText="1"/>
      <protection locked="0"/>
    </xf>
    <xf numFmtId="11" fontId="64" fillId="0" borderId="10" xfId="0" applyNumberFormat="1" applyFont="1" applyFill="1" applyBorder="1" applyAlignment="1" applyProtection="1">
      <alignment horizontal="left" vertical="center" wrapText="1"/>
    </xf>
    <xf numFmtId="168" fontId="64" fillId="0" borderId="10" xfId="0" applyNumberFormat="1" applyFont="1" applyFill="1" applyBorder="1" applyAlignment="1" applyProtection="1">
      <alignment horizontal="center" vertical="center" wrapText="1"/>
    </xf>
    <xf numFmtId="0" fontId="64" fillId="0" borderId="10" xfId="0" applyFont="1" applyFill="1" applyBorder="1" applyAlignment="1" applyProtection="1">
      <alignment horizontal="center" vertical="center" wrapText="1"/>
    </xf>
    <xf numFmtId="11" fontId="64" fillId="27" borderId="10" xfId="0" applyNumberFormat="1" applyFont="1" applyFill="1" applyBorder="1" applyAlignment="1" applyProtection="1">
      <alignment horizontal="left" vertical="center" wrapText="1"/>
    </xf>
    <xf numFmtId="168" fontId="64" fillId="27" borderId="10" xfId="0" applyNumberFormat="1" applyFont="1" applyFill="1" applyBorder="1" applyAlignment="1" applyProtection="1">
      <alignment horizontal="center" vertical="center" wrapText="1"/>
    </xf>
    <xf numFmtId="0" fontId="64" fillId="27" borderId="10" xfId="0" applyFont="1" applyFill="1" applyBorder="1" applyAlignment="1" applyProtection="1">
      <alignment horizontal="center" vertical="center" wrapText="1"/>
    </xf>
    <xf numFmtId="173" fontId="64" fillId="0" borderId="10" xfId="0" applyNumberFormat="1" applyFont="1" applyFill="1" applyBorder="1" applyAlignment="1" applyProtection="1">
      <alignment horizontal="left" vertical="center" wrapText="1"/>
    </xf>
    <xf numFmtId="164" fontId="24" fillId="22" borderId="37" xfId="56" applyFont="1" applyFill="1" applyBorder="1" applyAlignment="1" applyProtection="1">
      <alignment horizontal="center"/>
    </xf>
    <xf numFmtId="164" fontId="1" fillId="0" borderId="37" xfId="56" applyFont="1" applyFill="1" applyBorder="1" applyAlignment="1" applyProtection="1">
      <alignment horizontal="right"/>
    </xf>
    <xf numFmtId="164" fontId="110" fillId="30" borderId="37" xfId="56" applyFont="1" applyFill="1" applyBorder="1" applyAlignment="1" applyProtection="1">
      <alignment horizontal="center"/>
    </xf>
    <xf numFmtId="15" fontId="24" fillId="22" borderId="37" xfId="56" applyNumberFormat="1" applyFont="1" applyFill="1" applyBorder="1" applyAlignment="1" applyProtection="1">
      <alignment horizontal="center"/>
    </xf>
    <xf numFmtId="0" fontId="0" fillId="0" borderId="37" xfId="0" applyBorder="1" applyAlignment="1"/>
    <xf numFmtId="164" fontId="100" fillId="31" borderId="0" xfId="38" applyFont="1" applyFill="1" applyAlignment="1" applyProtection="1">
      <alignment horizontal="center" vertical="center"/>
    </xf>
    <xf numFmtId="164" fontId="33" fillId="22" borderId="0" xfId="49" applyFont="1" applyFill="1" applyAlignment="1" applyProtection="1">
      <alignment horizontal="center" vertical="center" wrapText="1"/>
    </xf>
    <xf numFmtId="172" fontId="24" fillId="22" borderId="37" xfId="56" applyNumberFormat="1" applyFont="1" applyFill="1" applyBorder="1" applyAlignment="1" applyProtection="1">
      <alignment horizontal="center" vertical="center"/>
    </xf>
    <xf numFmtId="164" fontId="1" fillId="0" borderId="37" xfId="56" applyFont="1" applyBorder="1" applyAlignment="1" applyProtection="1">
      <alignment horizontal="right"/>
    </xf>
    <xf numFmtId="164" fontId="20" fillId="0" borderId="0" xfId="49" applyFont="1" applyFill="1" applyAlignment="1" applyProtection="1">
      <alignment horizontal="right" vertical="center"/>
    </xf>
    <xf numFmtId="164" fontId="24" fillId="22" borderId="0" xfId="49" applyFont="1" applyFill="1" applyAlignment="1" applyProtection="1">
      <alignment horizontal="center" vertical="center" wrapText="1"/>
    </xf>
    <xf numFmtId="0" fontId="105" fillId="0" borderId="0" xfId="0" applyFont="1" applyAlignment="1" applyProtection="1">
      <alignment horizontal="center"/>
    </xf>
    <xf numFmtId="0" fontId="111" fillId="0" borderId="134" xfId="0" applyFont="1" applyFill="1" applyBorder="1" applyAlignment="1" applyProtection="1">
      <alignment horizontal="left" wrapText="1"/>
    </xf>
    <xf numFmtId="0" fontId="111" fillId="0" borderId="85" xfId="0" applyFont="1" applyFill="1" applyBorder="1" applyAlignment="1" applyProtection="1">
      <alignment horizontal="left" wrapText="1"/>
    </xf>
    <xf numFmtId="164" fontId="37" fillId="0" borderId="0" xfId="0" applyNumberFormat="1" applyFont="1" applyBorder="1" applyAlignment="1" applyProtection="1">
      <alignment horizontal="center" vertical="center" wrapText="1"/>
    </xf>
    <xf numFmtId="0" fontId="111" fillId="0" borderId="135" xfId="0" applyFont="1" applyFill="1" applyBorder="1" applyAlignment="1" applyProtection="1">
      <alignment horizontal="left" wrapText="1"/>
    </xf>
    <xf numFmtId="0" fontId="111" fillId="0" borderId="136" xfId="0" applyFont="1" applyFill="1" applyBorder="1" applyAlignment="1" applyProtection="1">
      <alignment horizontal="left" wrapText="1"/>
    </xf>
    <xf numFmtId="164" fontId="37" fillId="0" borderId="0" xfId="0" applyNumberFormat="1" applyFont="1" applyAlignment="1" applyProtection="1">
      <alignment horizontal="center" vertical="center" wrapText="1"/>
    </xf>
    <xf numFmtId="0" fontId="30" fillId="25" borderId="39" xfId="0" applyFont="1" applyFill="1" applyBorder="1" applyAlignment="1" applyProtection="1">
      <alignment horizontal="left" wrapText="1"/>
      <protection locked="0"/>
    </xf>
    <xf numFmtId="0" fontId="0" fillId="0" borderId="40" xfId="0" applyBorder="1" applyAlignment="1" applyProtection="1">
      <alignment horizontal="left" wrapText="1"/>
      <protection locked="0"/>
    </xf>
    <xf numFmtId="0" fontId="0" fillId="0" borderId="41" xfId="0" applyBorder="1" applyAlignment="1" applyProtection="1">
      <alignment horizontal="left" wrapText="1"/>
      <protection locked="0"/>
    </xf>
    <xf numFmtId="172" fontId="34" fillId="25" borderId="39" xfId="0" applyNumberFormat="1" applyFont="1" applyFill="1" applyBorder="1" applyAlignment="1" applyProtection="1">
      <alignment horizontal="justify" vertical="center" wrapText="1"/>
      <protection locked="0"/>
    </xf>
    <xf numFmtId="172" fontId="34" fillId="25" borderId="40" xfId="0" applyNumberFormat="1" applyFont="1" applyFill="1" applyBorder="1" applyAlignment="1" applyProtection="1">
      <alignment horizontal="justify" vertical="center" wrapText="1"/>
      <protection locked="0"/>
    </xf>
    <xf numFmtId="172" fontId="34" fillId="25" borderId="41" xfId="0" applyNumberFormat="1" applyFont="1" applyFill="1" applyBorder="1" applyAlignment="1" applyProtection="1">
      <alignment horizontal="justify" vertical="center" wrapText="1"/>
      <protection locked="0"/>
    </xf>
    <xf numFmtId="0" fontId="34" fillId="25" borderId="39" xfId="0" applyFont="1" applyFill="1" applyBorder="1" applyAlignment="1" applyProtection="1">
      <alignment horizontal="left" wrapText="1"/>
      <protection locked="0"/>
    </xf>
    <xf numFmtId="0" fontId="0" fillId="0" borderId="40" xfId="0" applyBorder="1"/>
    <xf numFmtId="0" fontId="0" fillId="0" borderId="41" xfId="0" applyBorder="1"/>
    <xf numFmtId="164" fontId="104" fillId="0" borderId="131" xfId="0" applyNumberFormat="1" applyFont="1" applyBorder="1" applyAlignment="1" applyProtection="1">
      <alignment horizontal="center" vertical="center" wrapText="1"/>
    </xf>
    <xf numFmtId="164" fontId="104" fillId="0" borderId="132" xfId="0" applyNumberFormat="1" applyFont="1" applyBorder="1" applyAlignment="1" applyProtection="1">
      <alignment horizontal="center" vertical="center" wrapText="1"/>
    </xf>
    <xf numFmtId="164" fontId="104" fillId="0" borderId="133" xfId="0" applyNumberFormat="1" applyFont="1" applyBorder="1" applyAlignment="1" applyProtection="1">
      <alignment horizontal="center" vertical="center" wrapText="1"/>
    </xf>
    <xf numFmtId="0" fontId="0" fillId="0" borderId="137" xfId="0" applyBorder="1" applyAlignment="1" applyProtection="1">
      <alignment horizontal="center"/>
    </xf>
    <xf numFmtId="0" fontId="0" fillId="0" borderId="57" xfId="0" applyBorder="1" applyAlignment="1" applyProtection="1">
      <alignment horizontal="center"/>
    </xf>
    <xf numFmtId="164" fontId="59" fillId="31" borderId="0" xfId="38" applyFont="1" applyFill="1" applyAlignment="1" applyProtection="1">
      <alignment horizontal="center" vertical="center"/>
    </xf>
    <xf numFmtId="164" fontId="14" fillId="0" borderId="0" xfId="0" applyNumberFormat="1" applyFont="1" applyAlignment="1" applyProtection="1">
      <alignment horizontal="center" wrapText="1"/>
    </xf>
    <xf numFmtId="164" fontId="28" fillId="0" borderId="0" xfId="0" applyNumberFormat="1" applyFont="1" applyAlignment="1" applyProtection="1">
      <alignment horizontal="right"/>
    </xf>
    <xf numFmtId="15" fontId="28" fillId="0" borderId="0" xfId="0" applyNumberFormat="1" applyFont="1" applyAlignment="1" applyProtection="1">
      <alignment horizontal="right"/>
    </xf>
    <xf numFmtId="164" fontId="14" fillId="0" borderId="0" xfId="0" applyNumberFormat="1" applyFont="1" applyAlignment="1" applyProtection="1">
      <alignment horizontal="center"/>
    </xf>
    <xf numFmtId="164" fontId="28" fillId="0" borderId="0" xfId="0" applyNumberFormat="1" applyFont="1" applyAlignment="1" applyProtection="1">
      <alignment horizontal="left"/>
    </xf>
    <xf numFmtId="164" fontId="15" fillId="30" borderId="0" xfId="56" applyFont="1" applyFill="1" applyBorder="1" applyAlignment="1" applyProtection="1">
      <alignment horizontal="center"/>
    </xf>
    <xf numFmtId="164" fontId="35" fillId="0" borderId="0" xfId="0" applyNumberFormat="1" applyFont="1" applyAlignment="1">
      <alignment horizontal="center" vertical="center" wrapText="1"/>
    </xf>
    <xf numFmtId="0" fontId="81" fillId="0" borderId="0" xfId="0" applyFont="1" applyAlignment="1">
      <alignment horizontal="left" wrapText="1"/>
    </xf>
    <xf numFmtId="0" fontId="0" fillId="0" borderId="40" xfId="0" applyBorder="1" applyAlignment="1">
      <alignment horizontal="left" wrapText="1"/>
    </xf>
    <xf numFmtId="0" fontId="0" fillId="0" borderId="41" xfId="0" applyBorder="1" applyAlignment="1">
      <alignment horizontal="left" wrapText="1"/>
    </xf>
    <xf numFmtId="164" fontId="28" fillId="0" borderId="0" xfId="0" applyNumberFormat="1" applyFont="1" applyAlignment="1">
      <alignment horizontal="left"/>
    </xf>
    <xf numFmtId="164" fontId="14" fillId="0" borderId="0" xfId="0" applyNumberFormat="1" applyFont="1" applyAlignment="1">
      <alignment horizontal="center"/>
    </xf>
    <xf numFmtId="0" fontId="0" fillId="0" borderId="125" xfId="0" applyFill="1" applyBorder="1" applyAlignment="1" applyProtection="1">
      <alignment horizontal="center" vertical="center"/>
    </xf>
    <xf numFmtId="0" fontId="0" fillId="0" borderId="126" xfId="0" applyFill="1" applyBorder="1" applyAlignment="1" applyProtection="1">
      <alignment horizontal="center" vertical="center"/>
    </xf>
    <xf numFmtId="0" fontId="0" fillId="0" borderId="127" xfId="0" applyFill="1" applyBorder="1" applyAlignment="1" applyProtection="1">
      <alignment horizontal="center" vertical="center"/>
    </xf>
    <xf numFmtId="0" fontId="14" fillId="0" borderId="0" xfId="0" applyFont="1" applyBorder="1" applyAlignment="1">
      <alignment horizontal="center"/>
    </xf>
    <xf numFmtId="172" fontId="0" fillId="0" borderId="40" xfId="0" applyNumberFormat="1" applyBorder="1" applyAlignment="1">
      <alignment horizontal="justify" vertical="center" wrapText="1"/>
    </xf>
    <xf numFmtId="172" fontId="0" fillId="0" borderId="41" xfId="0" applyNumberFormat="1" applyBorder="1" applyAlignment="1">
      <alignment horizontal="justify" vertical="center" wrapText="1"/>
    </xf>
    <xf numFmtId="164" fontId="59" fillId="31" borderId="0" xfId="47" applyFont="1" applyFill="1" applyAlignment="1">
      <alignment horizontal="center" vertical="center"/>
    </xf>
    <xf numFmtId="0" fontId="105" fillId="0" borderId="0" xfId="0" applyFont="1" applyAlignment="1">
      <alignment horizontal="center"/>
    </xf>
    <xf numFmtId="164" fontId="28" fillId="0" borderId="0" xfId="0" applyNumberFormat="1" applyFont="1" applyAlignment="1">
      <alignment horizontal="right"/>
    </xf>
    <xf numFmtId="15" fontId="28" fillId="0" borderId="0" xfId="0" applyNumberFormat="1" applyFont="1" applyAlignment="1">
      <alignment horizontal="right"/>
    </xf>
    <xf numFmtId="164" fontId="59" fillId="31" borderId="0" xfId="47" applyFont="1" applyFill="1" applyAlignment="1" applyProtection="1">
      <alignment horizontal="center" vertical="center"/>
    </xf>
    <xf numFmtId="164" fontId="14" fillId="0" borderId="0" xfId="0" applyNumberFormat="1" applyFont="1" applyAlignment="1" applyProtection="1">
      <alignment horizontal="justify" wrapText="1"/>
    </xf>
    <xf numFmtId="0" fontId="132" fillId="0" borderId="113" xfId="0" applyFont="1" applyBorder="1" applyAlignment="1" applyProtection="1">
      <alignment horizontal="left" vertical="top" wrapText="1"/>
    </xf>
    <xf numFmtId="164" fontId="105" fillId="0" borderId="0" xfId="0" applyNumberFormat="1" applyFont="1" applyAlignment="1" applyProtection="1">
      <alignment horizontal="center"/>
    </xf>
    <xf numFmtId="164" fontId="33" fillId="0" borderId="0" xfId="0" applyNumberFormat="1" applyFont="1" applyAlignment="1" applyProtection="1">
      <alignment horizontal="center"/>
    </xf>
    <xf numFmtId="164" fontId="15" fillId="30" borderId="0" xfId="57" applyFont="1" applyFill="1" applyBorder="1" applyAlignment="1" applyProtection="1">
      <alignment horizontal="center"/>
    </xf>
    <xf numFmtId="11" fontId="132" fillId="0" borderId="113" xfId="0" applyNumberFormat="1" applyFont="1" applyBorder="1" applyAlignment="1" applyProtection="1">
      <alignment horizontal="justify" vertical="top" wrapText="1"/>
    </xf>
    <xf numFmtId="0" fontId="132" fillId="0" borderId="113" xfId="0" applyFont="1" applyBorder="1" applyAlignment="1" applyProtection="1">
      <alignment horizontal="justify" vertical="top"/>
    </xf>
    <xf numFmtId="0" fontId="34" fillId="0" borderId="10" xfId="0" applyFont="1" applyBorder="1" applyAlignment="1" applyProtection="1">
      <alignment horizontal="center" vertical="center" wrapText="1"/>
    </xf>
    <xf numFmtId="0" fontId="138" fillId="0" borderId="10" xfId="0" applyFont="1" applyBorder="1" applyAlignment="1" applyProtection="1">
      <alignment vertical="center" wrapText="1"/>
    </xf>
    <xf numFmtId="9" fontId="34" fillId="25" borderId="39" xfId="0" applyNumberFormat="1" applyFont="1" applyFill="1" applyBorder="1" applyAlignment="1" applyProtection="1">
      <alignment horizontal="left" vertical="top" wrapText="1"/>
      <protection locked="0"/>
    </xf>
    <xf numFmtId="0" fontId="0" fillId="0" borderId="40" xfId="0" applyBorder="1" applyAlignment="1">
      <alignment horizontal="left" vertical="top" wrapText="1"/>
    </xf>
    <xf numFmtId="0" fontId="0" fillId="0" borderId="41" xfId="0" applyBorder="1" applyAlignment="1">
      <alignment horizontal="left" vertical="top" wrapText="1"/>
    </xf>
    <xf numFmtId="9" fontId="37" fillId="34" borderId="39" xfId="61" applyFont="1" applyFill="1" applyBorder="1" applyAlignment="1" applyProtection="1">
      <alignment horizontal="center" vertical="center" wrapText="1"/>
    </xf>
    <xf numFmtId="9" fontId="37" fillId="34" borderId="41" xfId="61" applyFont="1" applyFill="1" applyBorder="1" applyAlignment="1" applyProtection="1">
      <alignment horizontal="center" vertical="center" wrapText="1"/>
    </xf>
    <xf numFmtId="9" fontId="34" fillId="25" borderId="39" xfId="0" applyNumberFormat="1" applyFont="1" applyFill="1" applyBorder="1" applyAlignment="1" applyProtection="1">
      <alignment horizontal="justify" vertical="top" wrapText="1"/>
      <protection locked="0"/>
    </xf>
    <xf numFmtId="0" fontId="34" fillId="25" borderId="40" xfId="0" applyFont="1" applyFill="1" applyBorder="1" applyAlignment="1" applyProtection="1">
      <alignment horizontal="justify" vertical="top" wrapText="1"/>
      <protection locked="0"/>
    </xf>
    <xf numFmtId="0" fontId="34" fillId="25" borderId="41" xfId="0" applyFont="1" applyFill="1" applyBorder="1" applyAlignment="1" applyProtection="1">
      <alignment horizontal="justify" vertical="top" wrapText="1"/>
      <protection locked="0"/>
    </xf>
    <xf numFmtId="0" fontId="0" fillId="0" borderId="40" xfId="0" applyBorder="1" applyAlignment="1">
      <alignment horizontal="justify" vertical="top" wrapText="1"/>
    </xf>
    <xf numFmtId="0" fontId="0" fillId="0" borderId="41" xfId="0" applyBorder="1" applyAlignment="1">
      <alignment horizontal="justify" vertical="top" wrapText="1"/>
    </xf>
    <xf numFmtId="9" fontId="123" fillId="25" borderId="10" xfId="61" applyFont="1" applyFill="1" applyBorder="1" applyAlignment="1" applyProtection="1">
      <alignment horizontal="left" vertical="center" wrapText="1"/>
      <protection locked="0"/>
    </xf>
    <xf numFmtId="9" fontId="34" fillId="25" borderId="10" xfId="61" applyFont="1" applyFill="1" applyBorder="1" applyAlignment="1" applyProtection="1">
      <alignment horizontal="left" vertical="center" wrapText="1"/>
      <protection locked="0"/>
    </xf>
    <xf numFmtId="9" fontId="28" fillId="0" borderId="10" xfId="61" applyFont="1" applyBorder="1" applyAlignment="1" applyProtection="1">
      <alignment horizontal="center" vertical="center" wrapText="1"/>
    </xf>
    <xf numFmtId="0" fontId="34" fillId="0" borderId="39" xfId="0" applyFont="1" applyBorder="1" applyAlignment="1" applyProtection="1">
      <alignment horizontal="center" vertical="center"/>
    </xf>
    <xf numFmtId="0" fontId="34" fillId="0" borderId="40" xfId="0" applyFont="1" applyBorder="1" applyAlignment="1" applyProtection="1">
      <alignment horizontal="center" vertical="center"/>
    </xf>
    <xf numFmtId="0" fontId="34" fillId="0" borderId="41" xfId="0" applyFont="1" applyBorder="1" applyAlignment="1" applyProtection="1">
      <alignment horizontal="center" vertical="center"/>
    </xf>
    <xf numFmtId="9" fontId="28" fillId="0" borderId="10" xfId="61" applyNumberFormat="1" applyFont="1" applyBorder="1" applyAlignment="1" applyProtection="1">
      <alignment horizontal="center" vertical="center" wrapText="1"/>
    </xf>
    <xf numFmtId="0" fontId="33" fillId="0" borderId="108" xfId="0" applyFont="1" applyBorder="1" applyAlignment="1" applyProtection="1">
      <alignment horizontal="center"/>
    </xf>
    <xf numFmtId="9" fontId="37" fillId="36" borderId="39" xfId="61" applyFont="1" applyFill="1" applyBorder="1" applyAlignment="1" applyProtection="1">
      <alignment horizontal="center" vertical="center" wrapText="1"/>
    </xf>
    <xf numFmtId="9" fontId="37" fillId="36" borderId="41" xfId="61" applyFont="1" applyFill="1" applyBorder="1" applyAlignment="1" applyProtection="1">
      <alignment horizontal="center" vertical="center" wrapText="1"/>
    </xf>
    <xf numFmtId="11" fontId="138" fillId="0" borderId="10" xfId="0" applyNumberFormat="1" applyFont="1" applyBorder="1" applyAlignment="1" applyProtection="1">
      <alignment vertical="center" wrapText="1"/>
    </xf>
    <xf numFmtId="9" fontId="34" fillId="25" borderId="10" xfId="61" applyFont="1" applyFill="1" applyBorder="1" applyAlignment="1" applyProtection="1">
      <alignment vertical="center" wrapText="1"/>
      <protection locked="0"/>
    </xf>
    <xf numFmtId="9" fontId="139" fillId="25" borderId="10" xfId="61" applyFont="1" applyFill="1" applyBorder="1" applyAlignment="1" applyProtection="1">
      <alignment horizontal="left" vertical="center" wrapText="1"/>
      <protection locked="0"/>
    </xf>
    <xf numFmtId="49" fontId="138" fillId="0" borderId="10" xfId="0" applyNumberFormat="1" applyFont="1" applyBorder="1" applyAlignment="1" applyProtection="1">
      <alignment vertical="center" wrapText="1"/>
    </xf>
    <xf numFmtId="0" fontId="74" fillId="0" borderId="0" xfId="0" applyFont="1" applyFill="1" applyBorder="1" applyAlignment="1" applyProtection="1">
      <alignment horizontal="center"/>
    </xf>
    <xf numFmtId="0" fontId="74" fillId="0" borderId="179" xfId="0" applyFont="1" applyFill="1" applyBorder="1" applyAlignment="1" applyProtection="1">
      <alignment horizontal="center"/>
    </xf>
    <xf numFmtId="0" fontId="58" fillId="23" borderId="176" xfId="0" applyFont="1" applyFill="1" applyBorder="1" applyAlignment="1" applyProtection="1">
      <alignment horizontal="center" vertical="center"/>
    </xf>
    <xf numFmtId="0" fontId="58" fillId="23" borderId="177" xfId="0" applyFont="1" applyFill="1" applyBorder="1" applyAlignment="1" applyProtection="1">
      <alignment horizontal="center" vertical="center"/>
    </xf>
    <xf numFmtId="0" fontId="58" fillId="23" borderId="178" xfId="0" applyFont="1" applyFill="1" applyBorder="1" applyAlignment="1" applyProtection="1">
      <alignment horizontal="center" vertical="center"/>
    </xf>
    <xf numFmtId="0" fontId="76" fillId="0" borderId="159" xfId="0" applyNumberFormat="1" applyFont="1" applyFill="1" applyBorder="1" applyAlignment="1" applyProtection="1">
      <alignment horizontal="left" vertical="top" wrapText="1"/>
    </xf>
    <xf numFmtId="0" fontId="76" fillId="0" borderId="160" xfId="0" applyNumberFormat="1" applyFont="1" applyFill="1" applyBorder="1" applyAlignment="1" applyProtection="1">
      <alignment horizontal="left" vertical="top" wrapText="1"/>
    </xf>
    <xf numFmtId="49" fontId="2" fillId="23" borderId="170" xfId="0" applyNumberFormat="1" applyFont="1" applyFill="1" applyBorder="1" applyAlignment="1" applyProtection="1">
      <alignment horizontal="center" vertical="center"/>
      <protection locked="0"/>
    </xf>
    <xf numFmtId="49" fontId="2" fillId="23" borderId="145" xfId="0" applyNumberFormat="1" applyFont="1" applyFill="1" applyBorder="1" applyAlignment="1" applyProtection="1">
      <alignment horizontal="center" vertical="center"/>
      <protection locked="0"/>
    </xf>
    <xf numFmtId="49" fontId="2" fillId="23" borderId="171" xfId="0" applyNumberFormat="1" applyFont="1" applyFill="1" applyBorder="1" applyAlignment="1" applyProtection="1">
      <alignment horizontal="center" vertical="center"/>
      <protection locked="0"/>
    </xf>
    <xf numFmtId="0" fontId="76" fillId="0" borderId="165" xfId="0" applyNumberFormat="1" applyFont="1" applyFill="1" applyBorder="1" applyAlignment="1" applyProtection="1">
      <alignment horizontal="left" vertical="top" wrapText="1"/>
    </xf>
    <xf numFmtId="0" fontId="2" fillId="22" borderId="156" xfId="0" applyFont="1" applyFill="1" applyBorder="1" applyAlignment="1" applyProtection="1">
      <alignment horizontal="center" vertical="top" wrapText="1"/>
      <protection locked="0"/>
    </xf>
    <xf numFmtId="0" fontId="2" fillId="22" borderId="157" xfId="0" applyFont="1" applyFill="1" applyBorder="1" applyAlignment="1" applyProtection="1">
      <alignment horizontal="center" vertical="top" wrapText="1"/>
      <protection locked="0"/>
    </xf>
    <xf numFmtId="0" fontId="2" fillId="22" borderId="158" xfId="0" applyFont="1" applyFill="1" applyBorder="1" applyAlignment="1" applyProtection="1">
      <alignment horizontal="center" vertical="top" wrapText="1"/>
      <protection locked="0"/>
    </xf>
    <xf numFmtId="0" fontId="74" fillId="0" borderId="166" xfId="0" applyFont="1" applyFill="1" applyBorder="1" applyAlignment="1" applyProtection="1">
      <alignment horizontal="center"/>
    </xf>
    <xf numFmtId="0" fontId="2" fillId="22" borderId="183" xfId="0" applyFont="1" applyFill="1" applyBorder="1" applyAlignment="1" applyProtection="1">
      <alignment horizontal="center" vertical="top" wrapText="1"/>
      <protection locked="0"/>
    </xf>
    <xf numFmtId="0" fontId="2" fillId="22" borderId="184" xfId="0" applyFont="1" applyFill="1" applyBorder="1" applyAlignment="1" applyProtection="1">
      <alignment horizontal="center" vertical="top" wrapText="1"/>
      <protection locked="0"/>
    </xf>
    <xf numFmtId="0" fontId="2" fillId="22" borderId="185" xfId="0" applyFont="1" applyFill="1" applyBorder="1" applyAlignment="1" applyProtection="1">
      <alignment horizontal="center" vertical="top" wrapText="1"/>
      <protection locked="0"/>
    </xf>
    <xf numFmtId="0" fontId="118" fillId="22" borderId="186" xfId="0" applyFont="1" applyFill="1" applyBorder="1" applyAlignment="1" applyProtection="1">
      <alignment horizontal="center" vertical="center"/>
    </xf>
    <xf numFmtId="0" fontId="118" fillId="22" borderId="187" xfId="0" applyFont="1" applyFill="1" applyBorder="1" applyAlignment="1" applyProtection="1">
      <alignment horizontal="center" vertical="center"/>
    </xf>
    <xf numFmtId="0" fontId="0" fillId="0" borderId="187" xfId="0" applyBorder="1" applyAlignment="1">
      <alignment horizontal="center" vertical="center"/>
    </xf>
    <xf numFmtId="0" fontId="118" fillId="22" borderId="188" xfId="0" applyFont="1" applyFill="1" applyBorder="1" applyAlignment="1" applyProtection="1">
      <alignment horizontal="center" vertical="center"/>
    </xf>
    <xf numFmtId="0" fontId="118" fillId="22" borderId="189" xfId="0" applyFont="1" applyFill="1" applyBorder="1" applyAlignment="1" applyProtection="1">
      <alignment horizontal="center" vertical="center"/>
    </xf>
    <xf numFmtId="0" fontId="118" fillId="22" borderId="190" xfId="0" applyFont="1" applyFill="1" applyBorder="1" applyAlignment="1" applyProtection="1">
      <alignment horizontal="center" vertical="center"/>
    </xf>
    <xf numFmtId="0" fontId="105" fillId="0" borderId="0" xfId="0" applyFont="1" applyBorder="1" applyAlignment="1" applyProtection="1">
      <alignment horizontal="center"/>
    </xf>
    <xf numFmtId="0" fontId="2" fillId="22" borderId="153" xfId="0" applyFont="1" applyFill="1" applyBorder="1" applyAlignment="1" applyProtection="1">
      <alignment horizontal="center" vertical="top" wrapText="1"/>
      <protection locked="0"/>
    </xf>
    <xf numFmtId="0" fontId="2" fillId="22" borderId="154" xfId="0" applyFont="1" applyFill="1" applyBorder="1" applyAlignment="1" applyProtection="1">
      <alignment horizontal="center" vertical="top" wrapText="1"/>
      <protection locked="0"/>
    </xf>
    <xf numFmtId="0" fontId="2" fillId="22" borderId="155" xfId="0" applyFont="1" applyFill="1" applyBorder="1" applyAlignment="1" applyProtection="1">
      <alignment horizontal="center" vertical="top" wrapText="1"/>
      <protection locked="0"/>
    </xf>
    <xf numFmtId="0" fontId="58" fillId="25" borderId="150" xfId="0" applyFont="1" applyFill="1" applyBorder="1" applyAlignment="1" applyProtection="1">
      <alignment horizontal="center" vertical="center"/>
    </xf>
    <xf numFmtId="0" fontId="58" fillId="25" borderId="151" xfId="0" applyFont="1" applyFill="1" applyBorder="1" applyAlignment="1" applyProtection="1">
      <alignment horizontal="center" vertical="center"/>
    </xf>
    <xf numFmtId="0" fontId="58" fillId="25" borderId="152" xfId="0" applyFont="1" applyFill="1" applyBorder="1" applyAlignment="1" applyProtection="1">
      <alignment horizontal="center" vertical="center"/>
    </xf>
    <xf numFmtId="0" fontId="75" fillId="19" borderId="12" xfId="0" applyFont="1" applyFill="1" applyBorder="1" applyAlignment="1" applyProtection="1">
      <alignment horizontal="center" vertical="center"/>
    </xf>
    <xf numFmtId="0" fontId="76" fillId="0" borderId="161" xfId="0" applyNumberFormat="1" applyFont="1" applyFill="1" applyBorder="1" applyAlignment="1" applyProtection="1">
      <alignment horizontal="left" vertical="top" wrapText="1"/>
    </xf>
    <xf numFmtId="0" fontId="76" fillId="0" borderId="162" xfId="0" applyNumberFormat="1" applyFont="1" applyFill="1" applyBorder="1" applyAlignment="1" applyProtection="1">
      <alignment horizontal="left" vertical="top" wrapText="1"/>
    </xf>
    <xf numFmtId="0" fontId="76" fillId="0" borderId="163" xfId="0" applyNumberFormat="1" applyFont="1" applyFill="1" applyBorder="1" applyAlignment="1" applyProtection="1">
      <alignment horizontal="left" vertical="top" wrapText="1"/>
    </xf>
    <xf numFmtId="0" fontId="76" fillId="0" borderId="164" xfId="0" applyNumberFormat="1" applyFont="1" applyFill="1" applyBorder="1" applyAlignment="1" applyProtection="1">
      <alignment horizontal="left" vertical="top" wrapText="1"/>
    </xf>
    <xf numFmtId="0" fontId="76" fillId="0" borderId="174" xfId="0" applyNumberFormat="1" applyFont="1" applyFill="1" applyBorder="1" applyAlignment="1" applyProtection="1">
      <alignment horizontal="left" vertical="top" wrapText="1"/>
    </xf>
    <xf numFmtId="0" fontId="76" fillId="0" borderId="175" xfId="0" applyNumberFormat="1" applyFont="1" applyFill="1" applyBorder="1" applyAlignment="1" applyProtection="1">
      <alignment horizontal="left" vertical="top" wrapText="1"/>
    </xf>
    <xf numFmtId="49" fontId="2" fillId="23" borderId="180" xfId="0" applyNumberFormat="1" applyFont="1" applyFill="1" applyBorder="1" applyAlignment="1" applyProtection="1">
      <alignment horizontal="center" vertical="center"/>
      <protection locked="0"/>
    </xf>
    <xf numFmtId="49" fontId="2" fillId="23" borderId="181" xfId="0" applyNumberFormat="1" applyFont="1" applyFill="1" applyBorder="1" applyAlignment="1" applyProtection="1">
      <alignment horizontal="center" vertical="center"/>
      <protection locked="0"/>
    </xf>
    <xf numFmtId="49" fontId="2" fillId="23" borderId="182" xfId="0" applyNumberFormat="1" applyFont="1" applyFill="1" applyBorder="1" applyAlignment="1" applyProtection="1">
      <alignment horizontal="center" vertical="center"/>
      <protection locked="0"/>
    </xf>
    <xf numFmtId="49" fontId="2" fillId="23" borderId="172" xfId="0" applyNumberFormat="1" applyFont="1" applyFill="1" applyBorder="1" applyAlignment="1" applyProtection="1">
      <alignment horizontal="center" vertical="center"/>
      <protection locked="0"/>
    </xf>
    <xf numFmtId="49" fontId="2" fillId="23" borderId="14" xfId="0" applyNumberFormat="1" applyFont="1" applyFill="1" applyBorder="1" applyAlignment="1" applyProtection="1">
      <alignment horizontal="center" vertical="center"/>
      <protection locked="0"/>
    </xf>
    <xf numFmtId="49" fontId="2" fillId="23" borderId="173" xfId="0" applyNumberFormat="1" applyFont="1" applyFill="1" applyBorder="1" applyAlignment="1" applyProtection="1">
      <alignment horizontal="center" vertical="center"/>
      <protection locked="0"/>
    </xf>
    <xf numFmtId="0" fontId="2" fillId="25" borderId="141" xfId="0" applyFont="1" applyFill="1" applyBorder="1" applyAlignment="1" applyProtection="1">
      <alignment horizontal="center" vertical="top" wrapText="1"/>
      <protection locked="0"/>
    </xf>
    <xf numFmtId="0" fontId="2" fillId="25" borderId="142" xfId="0" applyFont="1" applyFill="1" applyBorder="1" applyAlignment="1" applyProtection="1">
      <alignment horizontal="center" vertical="top" wrapText="1"/>
      <protection locked="0"/>
    </xf>
    <xf numFmtId="0" fontId="2" fillId="25" borderId="143" xfId="0" applyFont="1" applyFill="1" applyBorder="1" applyAlignment="1" applyProtection="1">
      <alignment horizontal="center" vertical="top" wrapText="1"/>
      <protection locked="0"/>
    </xf>
    <xf numFmtId="9" fontId="2" fillId="0" borderId="144" xfId="61" applyNumberFormat="1" applyFont="1" applyFill="1" applyBorder="1" applyAlignment="1" applyProtection="1">
      <alignment horizontal="left" vertical="center" wrapText="1"/>
    </xf>
    <xf numFmtId="0" fontId="2" fillId="0" borderId="145" xfId="61" applyNumberFormat="1" applyFont="1" applyFill="1" applyBorder="1" applyAlignment="1" applyProtection="1">
      <alignment horizontal="left" vertical="center" wrapText="1"/>
    </xf>
    <xf numFmtId="0" fontId="2" fillId="0" borderId="146" xfId="61" applyNumberFormat="1" applyFont="1" applyFill="1" applyBorder="1" applyAlignment="1" applyProtection="1">
      <alignment horizontal="left" vertical="center" wrapText="1"/>
    </xf>
    <xf numFmtId="0" fontId="2" fillId="0" borderId="144" xfId="61" applyNumberFormat="1" applyFont="1" applyFill="1" applyBorder="1" applyAlignment="1" applyProtection="1">
      <alignment horizontal="left" vertical="center" wrapText="1"/>
    </xf>
    <xf numFmtId="0" fontId="2" fillId="25" borderId="167" xfId="0" applyFont="1" applyFill="1" applyBorder="1" applyAlignment="1" applyProtection="1">
      <alignment horizontal="center" vertical="top" wrapText="1"/>
      <protection locked="0"/>
    </xf>
    <xf numFmtId="0" fontId="2" fillId="25" borderId="168" xfId="0" applyFont="1" applyFill="1" applyBorder="1" applyAlignment="1" applyProtection="1">
      <alignment horizontal="center" vertical="top" wrapText="1"/>
      <protection locked="0"/>
    </xf>
    <xf numFmtId="0" fontId="2" fillId="25" borderId="169" xfId="0" applyFont="1" applyFill="1" applyBorder="1" applyAlignment="1" applyProtection="1">
      <alignment horizontal="center" vertical="top" wrapText="1"/>
      <protection locked="0"/>
    </xf>
    <xf numFmtId="0" fontId="76" fillId="0" borderId="147" xfId="0" applyNumberFormat="1" applyFont="1" applyFill="1" applyBorder="1" applyAlignment="1" applyProtection="1">
      <alignment horizontal="left" vertical="center" wrapText="1"/>
    </xf>
    <xf numFmtId="0" fontId="76" fillId="0" borderId="148" xfId="0" applyNumberFormat="1" applyFont="1" applyFill="1" applyBorder="1" applyAlignment="1" applyProtection="1">
      <alignment horizontal="left" vertical="center" wrapText="1"/>
    </xf>
    <xf numFmtId="0" fontId="76" fillId="0" borderId="149" xfId="0" applyNumberFormat="1" applyFont="1" applyFill="1" applyBorder="1" applyAlignment="1" applyProtection="1">
      <alignment horizontal="left" vertical="center" wrapText="1"/>
    </xf>
    <xf numFmtId="0" fontId="2" fillId="25" borderId="138" xfId="0" applyFont="1" applyFill="1" applyBorder="1" applyAlignment="1" applyProtection="1">
      <alignment horizontal="center" vertical="top" wrapText="1"/>
      <protection locked="0"/>
    </xf>
    <xf numFmtId="0" fontId="2" fillId="25" borderId="139" xfId="0" applyFont="1" applyFill="1" applyBorder="1" applyAlignment="1" applyProtection="1">
      <alignment horizontal="center" vertical="top" wrapText="1"/>
      <protection locked="0"/>
    </xf>
    <xf numFmtId="0" fontId="2" fillId="25" borderId="140" xfId="0" applyFont="1" applyFill="1" applyBorder="1" applyAlignment="1" applyProtection="1">
      <alignment horizontal="center" vertical="top" wrapText="1"/>
      <protection locked="0"/>
    </xf>
    <xf numFmtId="0" fontId="21" fillId="0" borderId="191" xfId="0" applyFont="1" applyBorder="1" applyAlignment="1" applyProtection="1">
      <alignment horizontal="left"/>
      <protection locked="0"/>
    </xf>
    <xf numFmtId="0" fontId="21" fillId="0" borderId="192" xfId="0" applyFont="1" applyBorder="1" applyAlignment="1" applyProtection="1">
      <alignment horizontal="left"/>
      <protection locked="0"/>
    </xf>
    <xf numFmtId="0" fontId="21" fillId="0" borderId="194" xfId="0" applyFont="1" applyBorder="1" applyAlignment="1" applyProtection="1">
      <alignment horizontal="left"/>
      <protection locked="0"/>
    </xf>
    <xf numFmtId="0" fontId="21" fillId="0" borderId="198" xfId="0" applyFont="1" applyBorder="1" applyAlignment="1" applyProtection="1">
      <alignment horizontal="left"/>
      <protection locked="0"/>
    </xf>
    <xf numFmtId="0" fontId="21" fillId="0" borderId="213" xfId="0" applyFont="1" applyFill="1" applyBorder="1" applyAlignment="1" applyProtection="1">
      <alignment horizontal="left" vertical="top" wrapText="1"/>
      <protection locked="0"/>
    </xf>
    <xf numFmtId="0" fontId="21" fillId="0" borderId="214" xfId="0" applyFont="1" applyFill="1" applyBorder="1" applyAlignment="1" applyProtection="1">
      <alignment horizontal="left" vertical="top" wrapText="1"/>
      <protection locked="0"/>
    </xf>
    <xf numFmtId="0" fontId="21" fillId="0" borderId="215" xfId="0" applyFont="1" applyFill="1" applyBorder="1" applyAlignment="1" applyProtection="1">
      <alignment horizontal="left" vertical="top" wrapText="1"/>
      <protection locked="0"/>
    </xf>
    <xf numFmtId="0" fontId="21" fillId="0" borderId="210" xfId="0" applyFont="1" applyFill="1" applyBorder="1" applyAlignment="1" applyProtection="1">
      <alignment horizontal="left" vertical="top" wrapText="1"/>
      <protection locked="0"/>
    </xf>
    <xf numFmtId="0" fontId="21" fillId="0" borderId="181" xfId="0" applyFont="1" applyFill="1" applyBorder="1" applyAlignment="1" applyProtection="1">
      <alignment horizontal="left" vertical="top" wrapText="1"/>
      <protection locked="0"/>
    </xf>
    <xf numFmtId="0" fontId="21" fillId="0" borderId="216" xfId="0" applyFont="1" applyFill="1" applyBorder="1" applyAlignment="1" applyProtection="1">
      <alignment horizontal="left" vertical="top" wrapText="1"/>
      <protection locked="0"/>
    </xf>
    <xf numFmtId="0" fontId="21" fillId="0" borderId="196" xfId="0" applyFont="1" applyFill="1" applyBorder="1" applyAlignment="1" applyProtection="1">
      <alignment horizontal="left"/>
      <protection locked="0"/>
    </xf>
    <xf numFmtId="0" fontId="21" fillId="0" borderId="145" xfId="0" applyFont="1" applyFill="1" applyBorder="1" applyAlignment="1" applyProtection="1">
      <alignment horizontal="left"/>
      <protection locked="0"/>
    </xf>
    <xf numFmtId="0" fontId="21" fillId="0" borderId="197" xfId="0" applyFont="1" applyFill="1" applyBorder="1" applyAlignment="1" applyProtection="1">
      <alignment horizontal="left"/>
      <protection locked="0"/>
    </xf>
    <xf numFmtId="0" fontId="21" fillId="0" borderId="191" xfId="0" applyFont="1" applyFill="1" applyBorder="1" applyAlignment="1" applyProtection="1">
      <alignment horizontal="left"/>
      <protection locked="0"/>
    </xf>
    <xf numFmtId="0" fontId="21" fillId="0" borderId="192" xfId="0" applyFont="1" applyFill="1" applyBorder="1" applyAlignment="1" applyProtection="1">
      <alignment horizontal="left"/>
      <protection locked="0"/>
    </xf>
    <xf numFmtId="0" fontId="21" fillId="0" borderId="207" xfId="0" applyFont="1" applyFill="1" applyBorder="1" applyAlignment="1" applyProtection="1">
      <alignment horizontal="left" vertical="top" wrapText="1"/>
      <protection locked="0"/>
    </xf>
    <xf numFmtId="0" fontId="21" fillId="0" borderId="208" xfId="0" applyFont="1" applyFill="1" applyBorder="1" applyAlignment="1" applyProtection="1">
      <alignment horizontal="left" vertical="top" wrapText="1"/>
      <protection locked="0"/>
    </xf>
    <xf numFmtId="0" fontId="21" fillId="0" borderId="209" xfId="0" applyFont="1" applyFill="1" applyBorder="1" applyAlignment="1" applyProtection="1">
      <alignment horizontal="left" vertical="top" wrapText="1"/>
      <protection locked="0"/>
    </xf>
    <xf numFmtId="0" fontId="21" fillId="0" borderId="211" xfId="0" applyFont="1" applyFill="1" applyBorder="1" applyAlignment="1" applyProtection="1">
      <alignment horizontal="left" vertical="top" wrapText="1"/>
      <protection locked="0"/>
    </xf>
    <xf numFmtId="0" fontId="21" fillId="0" borderId="194" xfId="0" applyFont="1" applyFill="1" applyBorder="1" applyAlignment="1" applyProtection="1">
      <alignment horizontal="left"/>
      <protection locked="0"/>
    </xf>
    <xf numFmtId="0" fontId="21" fillId="0" borderId="198" xfId="0" applyFont="1" applyFill="1" applyBorder="1" applyAlignment="1" applyProtection="1">
      <alignment horizontal="left"/>
      <protection locked="0"/>
    </xf>
    <xf numFmtId="0" fontId="21" fillId="0" borderId="195"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73" fillId="21" borderId="204" xfId="52" applyNumberFormat="1" applyFont="1" applyFill="1" applyBorder="1" applyAlignment="1">
      <alignment horizontal="center" vertical="center" wrapText="1"/>
    </xf>
    <xf numFmtId="0" fontId="73" fillId="21" borderId="205" xfId="52" applyNumberFormat="1" applyFont="1" applyFill="1" applyBorder="1" applyAlignment="1">
      <alignment horizontal="center" vertical="center" wrapText="1"/>
    </xf>
    <xf numFmtId="0" fontId="73" fillId="21" borderId="206" xfId="52" applyNumberFormat="1" applyFont="1" applyFill="1" applyBorder="1" applyAlignment="1">
      <alignment horizontal="center" vertical="center" wrapText="1"/>
    </xf>
    <xf numFmtId="0" fontId="21" fillId="0" borderId="217"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21" fillId="0" borderId="219" xfId="0" applyFont="1" applyFill="1" applyBorder="1" applyAlignment="1" applyProtection="1">
      <alignment horizontal="left"/>
      <protection locked="0"/>
    </xf>
    <xf numFmtId="0" fontId="21" fillId="0" borderId="195" xfId="0" applyFont="1" applyBorder="1" applyAlignment="1" applyProtection="1">
      <alignment horizontal="left"/>
      <protection locked="0"/>
    </xf>
    <xf numFmtId="0" fontId="21" fillId="0" borderId="212" xfId="0" applyFont="1" applyBorder="1" applyAlignment="1" applyProtection="1">
      <alignment horizontal="left"/>
      <protection locked="0"/>
    </xf>
    <xf numFmtId="0" fontId="21" fillId="0" borderId="145" xfId="0" applyFont="1" applyFill="1" applyBorder="1" applyAlignment="1" applyProtection="1">
      <alignment horizontal="left" vertical="center" wrapText="1"/>
      <protection locked="0"/>
    </xf>
    <xf numFmtId="0" fontId="21" fillId="0" borderId="197" xfId="0" applyFont="1" applyFill="1" applyBorder="1" applyAlignment="1" applyProtection="1">
      <alignment horizontal="left" vertical="center" wrapText="1"/>
      <protection locked="0"/>
    </xf>
    <xf numFmtId="0" fontId="21" fillId="0" borderId="218" xfId="0" applyFont="1" applyFill="1" applyBorder="1" applyAlignment="1" applyProtection="1">
      <alignment horizontal="left" vertical="center" wrapText="1"/>
      <protection locked="0"/>
    </xf>
    <xf numFmtId="0" fontId="21" fillId="0" borderId="219" xfId="0" applyFont="1" applyFill="1" applyBorder="1" applyAlignment="1" applyProtection="1">
      <alignment horizontal="left" vertical="center" wrapText="1"/>
      <protection locked="0"/>
    </xf>
    <xf numFmtId="0" fontId="21" fillId="0" borderId="33" xfId="0" applyFont="1" applyBorder="1" applyAlignment="1" applyProtection="1">
      <alignment horizontal="left"/>
      <protection locked="0"/>
    </xf>
    <xf numFmtId="0" fontId="73" fillId="21" borderId="203" xfId="52" applyNumberFormat="1" applyFont="1" applyFill="1" applyBorder="1" applyAlignment="1">
      <alignment horizontal="center" vertical="center" wrapText="1"/>
    </xf>
    <xf numFmtId="0" fontId="73" fillId="21" borderId="13" xfId="52" applyNumberFormat="1" applyFont="1" applyFill="1" applyBorder="1" applyAlignment="1">
      <alignment horizontal="center" vertical="center" wrapText="1"/>
    </xf>
    <xf numFmtId="0" fontId="93" fillId="21" borderId="199" xfId="0" applyFont="1" applyFill="1" applyBorder="1" applyAlignment="1">
      <alignment horizontal="center" vertical="center" textRotation="90"/>
    </xf>
    <xf numFmtId="0" fontId="0" fillId="21" borderId="83" xfId="0" applyFill="1" applyBorder="1" applyAlignment="1">
      <alignment horizontal="center" vertical="center" textRotation="90"/>
    </xf>
    <xf numFmtId="0" fontId="0" fillId="21" borderId="200" xfId="0" applyFill="1" applyBorder="1" applyAlignment="1">
      <alignment horizontal="center" vertical="center" textRotation="90"/>
    </xf>
    <xf numFmtId="0" fontId="33" fillId="0" borderId="0" xfId="0" applyFont="1" applyAlignment="1">
      <alignment horizontal="center"/>
    </xf>
    <xf numFmtId="0" fontId="21" fillId="0" borderId="201" xfId="0" applyFont="1" applyBorder="1" applyAlignment="1" applyProtection="1">
      <alignment horizontal="left"/>
      <protection locked="0"/>
    </xf>
    <xf numFmtId="0" fontId="21" fillId="0" borderId="33" xfId="0" applyFont="1" applyFill="1" applyBorder="1" applyAlignment="1" applyProtection="1">
      <alignment horizontal="left"/>
      <protection locked="0"/>
    </xf>
    <xf numFmtId="0" fontId="21" fillId="0" borderId="201" xfId="0" applyFont="1" applyFill="1" applyBorder="1" applyAlignment="1" applyProtection="1">
      <alignment horizontal="left"/>
      <protection locked="0"/>
    </xf>
    <xf numFmtId="164" fontId="15" fillId="30" borderId="0" xfId="58" applyFont="1" applyFill="1" applyBorder="1" applyAlignment="1" applyProtection="1">
      <alignment horizontal="center"/>
      <protection locked="0"/>
    </xf>
    <xf numFmtId="0" fontId="21" fillId="0" borderId="193" xfId="0" applyFont="1" applyFill="1" applyBorder="1" applyAlignment="1" applyProtection="1">
      <alignment horizontal="left"/>
      <protection locked="0"/>
    </xf>
    <xf numFmtId="0" fontId="0" fillId="25" borderId="112" xfId="0" applyFill="1" applyBorder="1" applyAlignment="1" applyProtection="1">
      <alignment horizontal="center"/>
      <protection locked="0"/>
    </xf>
    <xf numFmtId="0" fontId="0" fillId="25" borderId="113" xfId="0" applyFill="1" applyBorder="1" applyAlignment="1" applyProtection="1">
      <alignment horizontal="center"/>
      <protection locked="0"/>
    </xf>
    <xf numFmtId="0" fontId="0" fillId="25" borderId="110" xfId="0" applyFill="1" applyBorder="1" applyAlignment="1" applyProtection="1">
      <alignment horizontal="center"/>
      <protection locked="0"/>
    </xf>
    <xf numFmtId="0" fontId="0" fillId="25" borderId="111" xfId="0" applyFill="1" applyBorder="1" applyAlignment="1" applyProtection="1">
      <alignment horizontal="center"/>
      <protection locked="0"/>
    </xf>
    <xf numFmtId="0" fontId="0" fillId="25" borderId="108" xfId="0" applyFill="1" applyBorder="1" applyAlignment="1" applyProtection="1">
      <alignment horizontal="center"/>
      <protection locked="0"/>
    </xf>
    <xf numFmtId="0" fontId="0" fillId="25" borderId="109" xfId="0" applyFill="1" applyBorder="1" applyAlignment="1" applyProtection="1">
      <alignment horizontal="center"/>
      <protection locked="0"/>
    </xf>
    <xf numFmtId="0" fontId="73" fillId="21" borderId="202" xfId="52" applyNumberFormat="1" applyFont="1" applyFill="1" applyBorder="1" applyAlignment="1">
      <alignment horizontal="center" vertical="center" wrapText="1"/>
    </xf>
    <xf numFmtId="0" fontId="21" fillId="0" borderId="193" xfId="0" applyFont="1" applyBorder="1" applyAlignment="1" applyProtection="1">
      <alignment horizontal="left"/>
      <protection locked="0"/>
    </xf>
    <xf numFmtId="164" fontId="17" fillId="31" borderId="0" xfId="38" applyFont="1" applyFill="1" applyAlignment="1">
      <alignment horizontal="center" vertical="center"/>
    </xf>
  </cellXfs>
  <cellStyles count="6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62" builtinId="3"/>
    <cellStyle name="Euro" xfId="28"/>
    <cellStyle name="Explanatory Text" xfId="29"/>
    <cellStyle name="Good" xfId="30"/>
    <cellStyle name="Heading 1" xfId="31"/>
    <cellStyle name="Heading 2" xfId="32"/>
    <cellStyle name="Heading 3" xfId="33"/>
    <cellStyle name="Heading 4" xfId="34"/>
    <cellStyle name="Input" xfId="35"/>
    <cellStyle name="Linked Cell" xfId="36"/>
    <cellStyle name="Millares 2" xfId="37"/>
    <cellStyle name="Normal" xfId="0" builtinId="0"/>
    <cellStyle name="Normal 2" xfId="38"/>
    <cellStyle name="Normal 2 2" xfId="39"/>
    <cellStyle name="Normal 2 3" xfId="40"/>
    <cellStyle name="Normal 2 4" xfId="41"/>
    <cellStyle name="Normal 2 5" xfId="42"/>
    <cellStyle name="Normal 2 6" xfId="43"/>
    <cellStyle name="Normal 2 7" xfId="44"/>
    <cellStyle name="Normal 2 8" xfId="45"/>
    <cellStyle name="Normal 2_Dashboard ver 2.2 ES" xfId="46"/>
    <cellStyle name="Normal 2_Prototipo" xfId="47"/>
    <cellStyle name="Normal 3" xfId="48"/>
    <cellStyle name="Normal 4" xfId="49"/>
    <cellStyle name="Normal 5" xfId="50"/>
    <cellStyle name="Normal 6" xfId="51"/>
    <cellStyle name="Normal_TZ_R3HIV_Phase_2_21_August_08" xfId="52"/>
    <cellStyle name="Note" xfId="53"/>
    <cellStyle name="Output" xfId="54"/>
    <cellStyle name="Percent" xfId="61" builtinId="5"/>
    <cellStyle name="Title" xfId="55"/>
    <cellStyle name="Título 3 3" xfId="56"/>
    <cellStyle name="Título 3 3_Prototipo" xfId="57"/>
    <cellStyle name="Título 3 3_PrototipoRep1" xfId="58"/>
    <cellStyle name="Título 3 7" xfId="59"/>
    <cellStyle name="Warning Text" xfId="60"/>
  </cellStyles>
  <dxfs count="55">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99766406608157"/>
          <c:y val="2.3662822431073947E-2"/>
          <c:w val="0.80996068152031453"/>
          <c:h val="0.64192139737991516"/>
        </c:manualLayout>
      </c:layout>
      <c:barChart>
        <c:barDir val="col"/>
        <c:grouping val="clustered"/>
        <c:varyColors val="0"/>
        <c:ser>
          <c:idx val="0"/>
          <c:order val="0"/>
          <c:tx>
            <c:strRef>
              <c:f>'Introducerea datelor'!$B$33</c:f>
              <c:strCache>
                <c:ptCount val="1"/>
                <c:pt idx="0">
                  <c:v>Cumulative budget (Buget Cumulativ)</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'Introducerea datelor'!$C$33:$N$33</c:f>
              <c:numCache>
                <c:formatCode>#,##0</c:formatCode>
                <c:ptCount val="12"/>
                <c:pt idx="4">
                  <c:v>0</c:v>
                </c:pt>
                <c:pt idx="5">
                  <c:v>4063058</c:v>
                </c:pt>
                <c:pt idx="6">
                  <c:v>4366875.76</c:v>
                </c:pt>
                <c:pt idx="7">
                  <c:v>4693928.5199999996</c:v>
                </c:pt>
                <c:pt idx="8">
                  <c:v>5281390.0399999991</c:v>
                </c:pt>
                <c:pt idx="9">
                  <c:v>5935860.959999999</c:v>
                </c:pt>
                <c:pt idx="11">
                  <c:v>0</c:v>
                </c:pt>
              </c:numCache>
            </c:numRef>
          </c:val>
        </c:ser>
        <c:ser>
          <c:idx val="1"/>
          <c:order val="1"/>
          <c:tx>
            <c:strRef>
              <c:f>'Introducerea datelor'!$B$34</c:f>
              <c:strCache>
                <c:ptCount val="1"/>
                <c:pt idx="0">
                  <c:v>Cumulative disbursements (Debursări cumulative)</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'Introducerea datelor'!$C$34:$N$34</c:f>
              <c:numCache>
                <c:formatCode>#,##0</c:formatCode>
                <c:ptCount val="12"/>
                <c:pt idx="5">
                  <c:v>4063058</c:v>
                </c:pt>
                <c:pt idx="6">
                  <c:v>4366876</c:v>
                </c:pt>
                <c:pt idx="7">
                  <c:v>5555263</c:v>
                </c:pt>
                <c:pt idx="8">
                  <c:v>6777482</c:v>
                </c:pt>
                <c:pt idx="9">
                  <c:v>6777482</c:v>
                </c:pt>
              </c:numCache>
            </c:numRef>
          </c:val>
        </c:ser>
        <c:dLbls>
          <c:showLegendKey val="0"/>
          <c:showVal val="0"/>
          <c:showCatName val="0"/>
          <c:showSerName val="0"/>
          <c:showPercent val="0"/>
          <c:showBubbleSize val="0"/>
        </c:dLbls>
        <c:gapWidth val="70"/>
        <c:axId val="139979776"/>
        <c:axId val="139981952"/>
      </c:barChart>
      <c:catAx>
        <c:axId val="139979776"/>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fr-FR"/>
                  <a:t>Reporting Period</a:t>
                </a:r>
              </a:p>
            </c:rich>
          </c:tx>
          <c:layout>
            <c:manualLayout>
              <c:xMode val="edge"/>
              <c:yMode val="edge"/>
              <c:x val="0.48066290143051493"/>
              <c:y val="0.786956412107875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ru-RU"/>
          </a:p>
        </c:txPr>
        <c:crossAx val="139981952"/>
        <c:crosses val="autoZero"/>
        <c:auto val="1"/>
        <c:lblAlgn val="ctr"/>
        <c:lblOffset val="100"/>
        <c:tickLblSkip val="1"/>
        <c:tickMarkSkip val="1"/>
        <c:noMultiLvlLbl val="0"/>
      </c:catAx>
      <c:valAx>
        <c:axId val="13998195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ru-RU"/>
          </a:p>
        </c:txPr>
        <c:crossAx val="139979776"/>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ru-RU"/>
          </a:p>
        </c:txPr>
      </c:legendEntry>
      <c:legendEntry>
        <c:idx val="1"/>
        <c:txPr>
          <a:bodyPr/>
          <a:lstStyle/>
          <a:p>
            <a:pPr>
              <a:defRPr sz="675" b="0" i="0" u="none" strike="noStrike" baseline="0">
                <a:solidFill>
                  <a:srgbClr val="000000"/>
                </a:solidFill>
                <a:latin typeface="Arial"/>
                <a:ea typeface="Arial"/>
                <a:cs typeface="Arial"/>
              </a:defRPr>
            </a:pPr>
            <a:endParaRPr lang="ru-RU"/>
          </a:p>
        </c:txPr>
      </c:legendEntry>
      <c:layout>
        <c:manualLayout>
          <c:xMode val="edge"/>
          <c:yMode val="edge"/>
          <c:x val="0.13089021966293213"/>
          <c:y val="0.88209795070694319"/>
          <c:w val="0.84555081902254148"/>
          <c:h val="0.10480371691567641"/>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ru-RU"/>
    </a:p>
  </c:txPr>
  <c:printSettings>
    <c:headerFooter alignWithMargins="0"/>
    <c:pageMargins b="1" l="0.75000000000000211" r="0.75000000000000211"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767E-2"/>
          <c:w val="0.83314004319329804"/>
          <c:h val="0.65320736566206339"/>
        </c:manualLayout>
      </c:layout>
      <c:barChart>
        <c:barDir val="col"/>
        <c:grouping val="clustered"/>
        <c:varyColors val="0"/>
        <c:ser>
          <c:idx val="0"/>
          <c:order val="0"/>
          <c:tx>
            <c:strRef>
              <c:f>'Introducerea datelor'!$G$121</c:f>
              <c:strCache>
                <c:ptCount val="1"/>
                <c:pt idx="0">
                  <c:v>Target // Ținta</c:v>
                </c:pt>
              </c:strCache>
            </c:strRef>
          </c:tx>
          <c:spPr>
            <a:solidFill>
              <a:srgbClr val="0066CC"/>
            </a:solidFill>
            <a:ln w="25400">
              <a:noFill/>
            </a:ln>
          </c:spPr>
          <c:invertIfNegative val="0"/>
          <c:val>
            <c:numRef>
              <c:f>'Introducerea datelor'!$H$121:$O$121</c:f>
              <c:numCache>
                <c:formatCode>#,##0</c:formatCode>
                <c:ptCount val="8"/>
                <c:pt idx="0">
                  <c:v>40</c:v>
                </c:pt>
                <c:pt idx="1">
                  <c:v>80</c:v>
                </c:pt>
                <c:pt idx="2">
                  <c:v>15</c:v>
                </c:pt>
                <c:pt idx="3">
                  <c:v>55</c:v>
                </c:pt>
                <c:pt idx="4">
                  <c:v>40</c:v>
                </c:pt>
                <c:pt idx="5">
                  <c:v>80</c:v>
                </c:pt>
              </c:numCache>
            </c:numRef>
          </c:val>
        </c:ser>
        <c:ser>
          <c:idx val="1"/>
          <c:order val="1"/>
          <c:tx>
            <c:strRef>
              <c:f>'Introducerea datelor'!$G$122</c:f>
              <c:strCache>
                <c:ptCount val="1"/>
                <c:pt idx="0">
                  <c:v>Achieved // Realizat</c:v>
                </c:pt>
              </c:strCache>
            </c:strRef>
          </c:tx>
          <c:spPr>
            <a:solidFill>
              <a:srgbClr val="00CCFF"/>
            </a:solidFill>
            <a:ln w="12700">
              <a:solidFill>
                <a:srgbClr val="000000"/>
              </a:solidFill>
              <a:prstDash val="solid"/>
            </a:ln>
          </c:spPr>
          <c:invertIfNegative val="0"/>
          <c:val>
            <c:numRef>
              <c:f>'Introducerea datelor'!$H$122:$O$122</c:f>
              <c:numCache>
                <c:formatCode>#,##0</c:formatCode>
                <c:ptCount val="8"/>
                <c:pt idx="0">
                  <c:v>23</c:v>
                </c:pt>
                <c:pt idx="1">
                  <c:v>85</c:v>
                </c:pt>
                <c:pt idx="2">
                  <c:v>15</c:v>
                </c:pt>
                <c:pt idx="3">
                  <c:v>69</c:v>
                </c:pt>
                <c:pt idx="4">
                  <c:v>40</c:v>
                </c:pt>
                <c:pt idx="5">
                  <c:v>85</c:v>
                </c:pt>
              </c:numCache>
            </c:numRef>
          </c:val>
        </c:ser>
        <c:dLbls>
          <c:showLegendKey val="0"/>
          <c:showVal val="0"/>
          <c:showCatName val="0"/>
          <c:showSerName val="0"/>
          <c:showPercent val="0"/>
          <c:showBubbleSize val="0"/>
        </c:dLbls>
        <c:gapWidth val="150"/>
        <c:axId val="139839744"/>
        <c:axId val="139853824"/>
      </c:barChart>
      <c:catAx>
        <c:axId val="139839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u-RU"/>
          </a:p>
        </c:txPr>
        <c:crossAx val="139853824"/>
        <c:crosses val="autoZero"/>
        <c:auto val="1"/>
        <c:lblAlgn val="ctr"/>
        <c:lblOffset val="100"/>
        <c:tickLblSkip val="1"/>
        <c:tickMarkSkip val="1"/>
        <c:noMultiLvlLbl val="0"/>
      </c:catAx>
      <c:valAx>
        <c:axId val="13985382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u-RU"/>
          </a:p>
        </c:txPr>
        <c:crossAx val="139839744"/>
        <c:crosses val="autoZero"/>
        <c:crossBetween val="between"/>
      </c:valAx>
      <c:spPr>
        <a:noFill/>
        <a:ln w="25400">
          <a:noFill/>
        </a:ln>
      </c:spPr>
    </c:plotArea>
    <c:legend>
      <c:legendPos val="r"/>
      <c:layout>
        <c:manualLayout>
          <c:xMode val="edge"/>
          <c:yMode val="edge"/>
          <c:x val="0.1794875880672441"/>
          <c:y val="0.91099476439790572"/>
          <c:w val="0.57575888639752326"/>
          <c:h val="7.3298429319371722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u-RU"/>
    </a:p>
  </c:txPr>
  <c:printSettings>
    <c:headerFooter alignWithMargins="0"/>
    <c:pageMargins b="1" l="0.75000000000000211" r="0.7500000000000021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3684210526416E-2"/>
          <c:y val="9.7938144329897045E-2"/>
          <c:w val="0.89473684210526316"/>
          <c:h val="0.61340206185566726"/>
        </c:manualLayout>
      </c:layout>
      <c:barChart>
        <c:barDir val="col"/>
        <c:grouping val="clustered"/>
        <c:varyColors val="0"/>
        <c:ser>
          <c:idx val="0"/>
          <c:order val="0"/>
          <c:tx>
            <c:strRef>
              <c:f>'Introducerea datelor'!$G$117</c:f>
              <c:strCache>
                <c:ptCount val="1"/>
                <c:pt idx="0">
                  <c:v>Target</c:v>
                </c:pt>
              </c:strCache>
            </c:strRef>
          </c:tx>
          <c:spPr>
            <a:solidFill>
              <a:srgbClr val="0066CC"/>
            </a:solidFill>
            <a:ln w="25400">
              <a:noFill/>
            </a:ln>
          </c:spPr>
          <c:invertIfNegative val="0"/>
          <c:val>
            <c:numRef>
              <c:f>'Introducerea datelor'!$H$117:$O$117</c:f>
              <c:numCache>
                <c:formatCode>#,##0</c:formatCode>
                <c:ptCount val="8"/>
                <c:pt idx="0">
                  <c:v>562</c:v>
                </c:pt>
                <c:pt idx="1">
                  <c:v>1125</c:v>
                </c:pt>
                <c:pt idx="2">
                  <c:v>562</c:v>
                </c:pt>
                <c:pt idx="3">
                  <c:v>1125</c:v>
                </c:pt>
                <c:pt idx="4">
                  <c:v>552</c:v>
                </c:pt>
                <c:pt idx="5">
                  <c:v>1105</c:v>
                </c:pt>
              </c:numCache>
            </c:numRef>
          </c:val>
        </c:ser>
        <c:ser>
          <c:idx val="1"/>
          <c:order val="1"/>
          <c:tx>
            <c:strRef>
              <c:f>'Introducerea datelor'!$G$118</c:f>
              <c:strCache>
                <c:ptCount val="1"/>
                <c:pt idx="0">
                  <c:v>Achieved </c:v>
                </c:pt>
              </c:strCache>
            </c:strRef>
          </c:tx>
          <c:spPr>
            <a:solidFill>
              <a:srgbClr val="00CCFF"/>
            </a:solidFill>
            <a:ln w="12700">
              <a:solidFill>
                <a:srgbClr val="000000"/>
              </a:solidFill>
              <a:prstDash val="solid"/>
            </a:ln>
          </c:spPr>
          <c:invertIfNegative val="0"/>
          <c:val>
            <c:numRef>
              <c:f>'Introducerea datelor'!$H$118:$O$118</c:f>
              <c:numCache>
                <c:formatCode>#,##0</c:formatCode>
                <c:ptCount val="8"/>
                <c:pt idx="0">
                  <c:v>341</c:v>
                </c:pt>
                <c:pt idx="1">
                  <c:v>1237</c:v>
                </c:pt>
                <c:pt idx="2">
                  <c:v>555</c:v>
                </c:pt>
                <c:pt idx="3">
                  <c:v>1003</c:v>
                </c:pt>
                <c:pt idx="4">
                  <c:v>441</c:v>
                </c:pt>
                <c:pt idx="5">
                  <c:v>991</c:v>
                </c:pt>
              </c:numCache>
            </c:numRef>
          </c:val>
        </c:ser>
        <c:dLbls>
          <c:showLegendKey val="0"/>
          <c:showVal val="0"/>
          <c:showCatName val="0"/>
          <c:showSerName val="0"/>
          <c:showPercent val="0"/>
          <c:showBubbleSize val="0"/>
        </c:dLbls>
        <c:gapWidth val="150"/>
        <c:axId val="139886976"/>
        <c:axId val="139888512"/>
      </c:barChart>
      <c:catAx>
        <c:axId val="139886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u-RU"/>
          </a:p>
        </c:txPr>
        <c:crossAx val="139888512"/>
        <c:crosses val="autoZero"/>
        <c:auto val="1"/>
        <c:lblAlgn val="ctr"/>
        <c:lblOffset val="100"/>
        <c:tickLblSkip val="1"/>
        <c:tickMarkSkip val="1"/>
        <c:noMultiLvlLbl val="0"/>
      </c:catAx>
      <c:valAx>
        <c:axId val="13988851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u-RU"/>
          </a:p>
        </c:txPr>
        <c:crossAx val="139886976"/>
        <c:crosses val="autoZero"/>
        <c:crossBetween val="between"/>
      </c:valAx>
      <c:spPr>
        <a:noFill/>
        <a:ln w="25400">
          <a:noFill/>
        </a:ln>
      </c:spPr>
    </c:plotArea>
    <c:legend>
      <c:legendPos val="r"/>
      <c:layout>
        <c:manualLayout>
          <c:xMode val="edge"/>
          <c:yMode val="edge"/>
          <c:x val="0.17288164208428575"/>
          <c:y val="0.81958762886597936"/>
          <c:w val="0.5796619764002523"/>
          <c:h val="7.2164948453608241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u-RU"/>
    </a:p>
  </c:txPr>
  <c:printSettings>
    <c:headerFooter alignWithMargins="0"/>
    <c:pageMargins b="1" l="0.75000000000000233" r="0.75000000000000233" t="1"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fr-FR"/>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Cumulative budget (Buget Cumulativ)</c:v>
                </c:pt>
              </c:strCache>
            </c:strRef>
          </c:tx>
          <c:spPr>
            <a:solidFill>
              <a:srgbClr val="339966"/>
            </a:solidFill>
            <a:ln w="12700">
              <a:solidFill>
                <a:srgbClr val="000000"/>
              </a:solidFill>
              <a:prstDash val="solid"/>
            </a:ln>
          </c:spPr>
          <c:cat>
            <c:strRef>
              <c:f>'Introducerea datelor'!$C$30:$M$30</c:f>
              <c:strCache>
                <c:ptCount val="11"/>
                <c:pt idx="5">
                  <c:v>Phase One</c:v>
                </c:pt>
                <c:pt idx="6">
                  <c:v>P7</c:v>
                </c:pt>
                <c:pt idx="7">
                  <c:v>P8</c:v>
                </c:pt>
                <c:pt idx="8">
                  <c:v>P9</c:v>
                </c:pt>
                <c:pt idx="9">
                  <c:v>P10</c:v>
                </c:pt>
                <c:pt idx="10">
                  <c:v>P11</c:v>
                </c:pt>
              </c:strCache>
            </c:strRef>
          </c:cat>
          <c:val>
            <c:numRef>
              <c:f>'Introducerea datelor'!$C$33:$M$33</c:f>
              <c:numCache>
                <c:formatCode>#,##0</c:formatCode>
                <c:ptCount val="11"/>
                <c:pt idx="4">
                  <c:v>0</c:v>
                </c:pt>
                <c:pt idx="5">
                  <c:v>4063058</c:v>
                </c:pt>
                <c:pt idx="6">
                  <c:v>4366875.76</c:v>
                </c:pt>
                <c:pt idx="7">
                  <c:v>4693928.5199999996</c:v>
                </c:pt>
                <c:pt idx="8">
                  <c:v>5281390.0399999991</c:v>
                </c:pt>
                <c:pt idx="9">
                  <c:v>5935860.959999999</c:v>
                </c:pt>
              </c:numCache>
            </c:numRef>
          </c:val>
        </c:ser>
        <c:ser>
          <c:idx val="1"/>
          <c:order val="1"/>
          <c:tx>
            <c:strRef>
              <c:f>'Introducerea datelor'!$B$34</c:f>
              <c:strCache>
                <c:ptCount val="1"/>
                <c:pt idx="0">
                  <c:v>Cumulative disbursements (Debursări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5">
                  <c:v>Phase One</c:v>
                </c:pt>
                <c:pt idx="6">
                  <c:v>P7</c:v>
                </c:pt>
                <c:pt idx="7">
                  <c:v>P8</c:v>
                </c:pt>
                <c:pt idx="8">
                  <c:v>P9</c:v>
                </c:pt>
                <c:pt idx="9">
                  <c:v>P10</c:v>
                </c:pt>
                <c:pt idx="10">
                  <c:v>P11</c:v>
                </c:pt>
              </c:strCache>
            </c:strRef>
          </c:cat>
          <c:val>
            <c:numRef>
              <c:f>'Introducerea datelor'!$C$34:$M$34</c:f>
              <c:numCache>
                <c:formatCode>#,##0</c:formatCode>
                <c:ptCount val="11"/>
                <c:pt idx="5">
                  <c:v>4063058</c:v>
                </c:pt>
                <c:pt idx="6">
                  <c:v>4366876</c:v>
                </c:pt>
                <c:pt idx="7">
                  <c:v>5555263</c:v>
                </c:pt>
                <c:pt idx="8">
                  <c:v>6777482</c:v>
                </c:pt>
                <c:pt idx="9">
                  <c:v>6777482</c:v>
                </c:pt>
              </c:numCache>
            </c:numRef>
          </c:val>
        </c:ser>
        <c:dLbls>
          <c:showLegendKey val="0"/>
          <c:showVal val="0"/>
          <c:showCatName val="0"/>
          <c:showSerName val="0"/>
          <c:showPercent val="0"/>
          <c:showBubbleSize val="0"/>
        </c:dLbls>
        <c:dropLines>
          <c:spPr>
            <a:ln w="3175">
              <a:solidFill>
                <a:srgbClr val="000000"/>
              </a:solidFill>
              <a:prstDash val="solid"/>
            </a:ln>
          </c:spPr>
        </c:dropLines>
        <c:axId val="138991488"/>
        <c:axId val="138993024"/>
      </c:areaChart>
      <c:catAx>
        <c:axId val="138991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ru-RU"/>
          </a:p>
        </c:txPr>
        <c:crossAx val="138993024"/>
        <c:crosses val="autoZero"/>
        <c:auto val="1"/>
        <c:lblAlgn val="ctr"/>
        <c:lblOffset val="100"/>
        <c:tickLblSkip val="8"/>
        <c:tickMarkSkip val="1"/>
        <c:noMultiLvlLbl val="0"/>
      </c:catAx>
      <c:valAx>
        <c:axId val="138993024"/>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fr-F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ru-RU"/>
          </a:p>
        </c:txPr>
        <c:crossAx val="138991488"/>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ru-RU"/>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ru-RU"/>
    </a:p>
  </c:txPr>
  <c:printSettings>
    <c:headerFooter alignWithMargins="0"/>
    <c:pageMargins b="1" l="0.75000000000000211" r="0.750000000000002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71"/>
          <c:y val="7.5694015811474585E-2"/>
          <c:w val="0.74366824572258583"/>
          <c:h val="0.58032078788796826"/>
        </c:manualLayout>
      </c:layout>
      <c:barChart>
        <c:barDir val="col"/>
        <c:grouping val="stacked"/>
        <c:varyColors val="0"/>
        <c:ser>
          <c:idx val="0"/>
          <c:order val="0"/>
          <c:spPr>
            <a:solidFill>
              <a:schemeClr val="accent1">
                <a:lumMod val="75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Disbursed by Global Fund (Debursat de către Fondul Global)</c:v>
                </c:pt>
                <c:pt idx="1">
                  <c:v>PR expenditure and disbursement (Cheltuielile și debursările RP )</c:v>
                </c:pt>
                <c:pt idx="2">
                  <c:v>Disbursed to SRs (Debursări către SR)</c:v>
                </c:pt>
                <c:pt idx="3">
                  <c:v>SR expenditures (Cheltuielile SR)</c:v>
                </c:pt>
              </c:strCache>
            </c:strRef>
          </c:cat>
          <c:val>
            <c:numRef>
              <c:f>'Introducerea datelor'!$C$52:$C$55</c:f>
              <c:numCache>
                <c:formatCode>#,##0</c:formatCode>
                <c:ptCount val="4"/>
                <c:pt idx="0">
                  <c:v>6777481.9000000004</c:v>
                </c:pt>
                <c:pt idx="1">
                  <c:v>5250145.53</c:v>
                </c:pt>
                <c:pt idx="2">
                  <c:v>2737382.59</c:v>
                </c:pt>
                <c:pt idx="3">
                  <c:v>2683482.0999999996</c:v>
                </c:pt>
              </c:numCache>
            </c:numRef>
          </c:val>
        </c:ser>
        <c:ser>
          <c:idx val="1"/>
          <c:order val="1"/>
          <c:spPr>
            <a:solidFill>
              <a:schemeClr val="accent5">
                <a:lumMod val="60000"/>
                <a:lumOff val="40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Disbursed by Global Fund (Debursat de către Fondul Global)</c:v>
                </c:pt>
                <c:pt idx="1">
                  <c:v>PR expenditure and disbursement (Cheltuielile și debursările RP )</c:v>
                </c:pt>
                <c:pt idx="2">
                  <c:v>Disbursed to SRs (Debursări către SR)</c:v>
                </c:pt>
                <c:pt idx="3">
                  <c:v>SR expenditures (Cheltuielile SR)</c:v>
                </c:pt>
              </c:strCache>
            </c:strRef>
          </c:cat>
          <c:val>
            <c:numRef>
              <c:f>'Introducerea datelor'!$D$52:$D$55</c:f>
              <c:numCache>
                <c:formatCode>#,##0</c:formatCode>
                <c:ptCount val="4"/>
                <c:pt idx="0">
                  <c:v>0</c:v>
                </c:pt>
                <c:pt idx="1">
                  <c:v>632433.25990869093</c:v>
                </c:pt>
                <c:pt idx="2">
                  <c:v>358205.25</c:v>
                </c:pt>
                <c:pt idx="3">
                  <c:v>316902.34999999998</c:v>
                </c:pt>
              </c:numCache>
            </c:numRef>
          </c:val>
        </c:ser>
        <c:dLbls>
          <c:showLegendKey val="0"/>
          <c:showVal val="0"/>
          <c:showCatName val="0"/>
          <c:showSerName val="0"/>
          <c:showPercent val="0"/>
          <c:showBubbleSize val="0"/>
        </c:dLbls>
        <c:gapWidth val="150"/>
        <c:overlap val="100"/>
        <c:axId val="140462336"/>
        <c:axId val="140488704"/>
      </c:barChart>
      <c:catAx>
        <c:axId val="14046233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ru-RU"/>
          </a:p>
        </c:txPr>
        <c:crossAx val="140488704"/>
        <c:crossesAt val="0"/>
        <c:auto val="1"/>
        <c:lblAlgn val="ctr"/>
        <c:lblOffset val="100"/>
        <c:noMultiLvlLbl val="0"/>
      </c:catAx>
      <c:valAx>
        <c:axId val="140488704"/>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ru-RU"/>
          </a:p>
        </c:txPr>
        <c:crossAx val="140462336"/>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ru-RU"/>
          </a:p>
        </c:txPr>
      </c:dTable>
      <c:spPr>
        <a:ln w="12700">
          <a:solidFill>
            <a:srgbClr val="000000"/>
          </a:solid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u-RU"/>
    </a:p>
  </c:txPr>
  <c:printSettings>
    <c:headerFooter/>
    <c:pageMargins b="1" l="0.75000000000000211" r="0.75000000000000211"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95"/>
          <c:y val="9.3877551020408165E-2"/>
          <c:w val="0.84029484029484292"/>
          <c:h val="0.53469387755102293"/>
        </c:manualLayout>
      </c:layout>
      <c:barChart>
        <c:barDir val="col"/>
        <c:grouping val="clustered"/>
        <c:varyColors val="0"/>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'Introducerea datelor'!$B$39:$B$45</c:f>
              <c:strCache>
                <c:ptCount val="7"/>
                <c:pt idx="0">
                  <c:v>Strengthen community involvement and foster partnerships for effective TB control</c:v>
                </c:pt>
                <c:pt idx="1">
                  <c:v>Ensure successful TB case management through patient support and strengthening health system capacities</c:v>
                </c:pt>
                <c:pt idx="2">
                  <c:v>Integrate TB services on both sides of the prison walls</c:v>
                </c:pt>
                <c:pt idx="3">
                  <c:v>Strengthen the health system and engage all available partners in TB control</c:v>
                </c:pt>
                <c:pt idx="4">
                  <c:v>Ensure universal access to diagnosis, treatment, care and support of drug-resistant tuberculosis</c:v>
                </c:pt>
                <c:pt idx="5">
                  <c:v>Operational research in priority issues of TB and monitoring and evaluation</c:v>
                </c:pt>
                <c:pt idx="6">
                  <c:v>Project management</c:v>
                </c:pt>
              </c:strCache>
            </c:strRef>
          </c:cat>
          <c:val>
            <c:numRef>
              <c:f>'Introducerea datelor'!$C$39:$C$45</c:f>
              <c:numCache>
                <c:formatCode>#,##0</c:formatCode>
                <c:ptCount val="7"/>
                <c:pt idx="0">
                  <c:v>1909544.5</c:v>
                </c:pt>
                <c:pt idx="1">
                  <c:v>1843562.83</c:v>
                </c:pt>
                <c:pt idx="2">
                  <c:v>342209</c:v>
                </c:pt>
                <c:pt idx="3">
                  <c:v>102080</c:v>
                </c:pt>
                <c:pt idx="4">
                  <c:v>707986.41999999993</c:v>
                </c:pt>
                <c:pt idx="5">
                  <c:v>19227</c:v>
                </c:pt>
                <c:pt idx="6">
                  <c:v>1011251.25</c:v>
                </c:pt>
              </c:numCache>
            </c:numRef>
          </c:val>
        </c:ser>
        <c:ser>
          <c:idx val="1"/>
          <c:order val="1"/>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'Introducerea datelor'!$B$39:$B$45</c:f>
              <c:strCache>
                <c:ptCount val="7"/>
                <c:pt idx="0">
                  <c:v>Strengthen community involvement and foster partnerships for effective TB control</c:v>
                </c:pt>
                <c:pt idx="1">
                  <c:v>Ensure successful TB case management through patient support and strengthening health system capacities</c:v>
                </c:pt>
                <c:pt idx="2">
                  <c:v>Integrate TB services on both sides of the prison walls</c:v>
                </c:pt>
                <c:pt idx="3">
                  <c:v>Strengthen the health system and engage all available partners in TB control</c:v>
                </c:pt>
                <c:pt idx="4">
                  <c:v>Ensure universal access to diagnosis, treatment, care and support of drug-resistant tuberculosis</c:v>
                </c:pt>
                <c:pt idx="5">
                  <c:v>Operational research in priority issues of TB and monitoring and evaluation</c:v>
                </c:pt>
                <c:pt idx="6">
                  <c:v>Project management</c:v>
                </c:pt>
              </c:strCache>
            </c:strRef>
          </c:cat>
          <c:val>
            <c:numRef>
              <c:f>'Introducerea datelor'!$D$39:$D$45</c:f>
              <c:numCache>
                <c:formatCode>#,##0</c:formatCode>
                <c:ptCount val="7"/>
                <c:pt idx="0">
                  <c:v>1933545.4861699881</c:v>
                </c:pt>
                <c:pt idx="1">
                  <c:v>1646586.7180525055</c:v>
                </c:pt>
                <c:pt idx="2">
                  <c:v>340362.61365853663</c:v>
                </c:pt>
                <c:pt idx="3">
                  <c:v>106798.33</c:v>
                </c:pt>
                <c:pt idx="4">
                  <c:v>671331.6</c:v>
                </c:pt>
                <c:pt idx="5">
                  <c:v>18754.98</c:v>
                </c:pt>
                <c:pt idx="6">
                  <c:v>1111298.5820276607</c:v>
                </c:pt>
              </c:numCache>
            </c:numRef>
          </c:val>
        </c:ser>
        <c:dLbls>
          <c:showLegendKey val="0"/>
          <c:showVal val="0"/>
          <c:showCatName val="0"/>
          <c:showSerName val="0"/>
          <c:showPercent val="0"/>
          <c:showBubbleSize val="0"/>
        </c:dLbls>
        <c:gapWidth val="150"/>
        <c:axId val="140506624"/>
        <c:axId val="140508160"/>
      </c:barChart>
      <c:catAx>
        <c:axId val="140506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u-RU"/>
          </a:p>
        </c:txPr>
        <c:crossAx val="140508160"/>
        <c:crosses val="autoZero"/>
        <c:auto val="1"/>
        <c:lblAlgn val="ctr"/>
        <c:lblOffset val="100"/>
        <c:tickMarkSkip val="1"/>
        <c:noMultiLvlLbl val="0"/>
      </c:catAx>
      <c:valAx>
        <c:axId val="14050816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ru-RU"/>
          </a:p>
        </c:txPr>
        <c:crossAx val="140506624"/>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ru-RU"/>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ru-RU"/>
    </a:p>
  </c:txPr>
  <c:printSettings>
    <c:headerFooter alignWithMargins="0"/>
    <c:pageMargins b="1" l="0.75000000000000211" r="0.75000000000000211"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5.9322033898305516E-2"/>
          <c:y val="0.19565217391304279"/>
          <c:w val="0.8728813559322034"/>
          <c:h val="0.42028985507246502"/>
        </c:manualLayout>
      </c:layout>
      <c:barChart>
        <c:barDir val="bar"/>
        <c:grouping val="clustered"/>
        <c:varyColors val="0"/>
        <c:ser>
          <c:idx val="0"/>
          <c:order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dist="35921" dir="2700000" algn="br">
                <a:srgbClr val="000000"/>
              </a:outerShdw>
            </a:effectLst>
            <a:scene3d>
              <a:camera prst="orthographicFront">
                <a:rot lat="0" lon="0" rev="0"/>
              </a:camera>
              <a:lightRig rig="threePt" dir="t">
                <a:rot lat="0" lon="0" rev="1200000"/>
              </a:lightRig>
            </a:scene3d>
            <a:sp3d>
              <a:bevelT w="63500" h="25400"/>
            </a:sp3d>
          </c:spPr>
          <c:invertIfNegative val="0"/>
          <c:dLbls>
            <c:dLbl>
              <c:idx val="0"/>
              <c:layout>
                <c:manualLayout>
                  <c:x val="0.25756013242089343"/>
                  <c:y val="-0.29611370761718181"/>
                </c:manualLayout>
              </c:layout>
              <c:numFmt formatCode="#,##0" sourceLinked="0"/>
              <c:spPr>
                <a:noFill/>
                <a:ln w="25400">
                  <a:noFill/>
                </a:ln>
              </c:spPr>
              <c:txPr>
                <a:bodyPr rot="0" spcFirstLastPara="1" vertOverflow="ellipsis" vert="horz" wrap="square" anchor="ctr" anchorCtr="1"/>
                <a:lstStyle/>
                <a:p>
                  <a:pPr>
                    <a:defRPr sz="1000" b="1" i="0" u="none" strike="noStrike" kern="1200" baseline="0">
                      <a:solidFill>
                        <a:srgbClr val="000000"/>
                      </a:solidFill>
                      <a:latin typeface="Calibri"/>
                      <a:ea typeface="Calibri"/>
                      <a:cs typeface="Calibri"/>
                    </a:defRPr>
                  </a:pPr>
                  <a:endParaRPr lang="ru-RU"/>
                </a:p>
              </c:txPr>
              <c:dLblPos val="outEnd"/>
              <c:showLegendKey val="0"/>
              <c:showVal val="1"/>
              <c:showCatName val="0"/>
              <c:showSerName val="1"/>
              <c:showPercent val="0"/>
              <c:showBubbleSize val="0"/>
              <c:extLst>
                <c:ext xmlns:c15="http://schemas.microsoft.com/office/drawing/2012/chart" uri="{CE6537A1-D6FC-4f65-9D91-7224C49458BB}">
                  <c15:layout/>
                </c:ext>
              </c:extLst>
            </c:dLbl>
            <c:numFmt formatCode="#,##0" sourceLinked="0"/>
            <c:spPr>
              <a:noFill/>
              <a:ln w="25400">
                <a:noFill/>
              </a:ln>
            </c:spPr>
            <c:txPr>
              <a:bodyPr rot="0" spcFirstLastPara="1" vertOverflow="ellipsis" vert="horz" wrap="square" anchor="ctr" anchorCtr="1"/>
              <a:lstStyle/>
              <a:p>
                <a:pPr>
                  <a:defRPr sz="1000" b="0" i="0" u="none" strike="noStrike" kern="1200" baseline="0">
                    <a:solidFill>
                      <a:srgbClr val="000000"/>
                    </a:solidFill>
                    <a:latin typeface="Calibri"/>
                    <a:ea typeface="Calibri"/>
                    <a:cs typeface="Calibri"/>
                  </a:defRPr>
                </a:pPr>
                <a:endParaRPr lang="ru-RU"/>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'Introducerea datelor'!$C$79</c:f>
              <c:numCache>
                <c:formatCode>General</c:formatCode>
                <c:ptCount val="1"/>
                <c:pt idx="0">
                  <c:v>14</c:v>
                </c:pt>
              </c:numCache>
            </c:numRef>
          </c:val>
        </c:ser>
        <c:dLbls>
          <c:showLegendKey val="0"/>
          <c:showVal val="0"/>
          <c:showCatName val="0"/>
          <c:showSerName val="0"/>
          <c:showPercent val="0"/>
          <c:showBubbleSize val="0"/>
        </c:dLbls>
        <c:gapWidth val="79"/>
        <c:axId val="140855936"/>
        <c:axId val="140861824"/>
      </c:barChart>
      <c:catAx>
        <c:axId val="140855936"/>
        <c:scaling>
          <c:orientation val="minMax"/>
        </c:scaling>
        <c:delete val="1"/>
        <c:axPos val="l"/>
        <c:majorTickMark val="out"/>
        <c:minorTickMark val="none"/>
        <c:tickLblPos val="none"/>
        <c:crossAx val="140861824"/>
        <c:crosses val="autoZero"/>
        <c:auto val="1"/>
        <c:lblAlgn val="ctr"/>
        <c:lblOffset val="100"/>
        <c:noMultiLvlLbl val="0"/>
      </c:catAx>
      <c:valAx>
        <c:axId val="140861824"/>
        <c:scaling>
          <c:orientation val="minMax"/>
        </c:scaling>
        <c:delete val="0"/>
        <c:axPos val="t"/>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ru-RU"/>
          </a:p>
        </c:txPr>
        <c:crossAx val="140855936"/>
        <c:crosses val="max"/>
        <c:crossBetween val="between"/>
      </c:valAx>
      <c:spPr>
        <a:solidFill>
          <a:srgbClr val="FFFFFF"/>
        </a:solidFill>
        <a:ln w="25400">
          <a:noFill/>
        </a:ln>
      </c:spPr>
    </c:plotArea>
    <c:legend>
      <c:legendPos val="r"/>
      <c:legendEntry>
        <c:idx val="0"/>
        <c:delete val="1"/>
      </c:legendEntry>
      <c:layout>
        <c:manualLayout>
          <c:xMode val="edge"/>
          <c:yMode val="edge"/>
          <c:x val="0.29449152542372881"/>
          <c:y val="0.80434782608695654"/>
          <c:w val="1.6949152542372892E-2"/>
          <c:h val="2.8985507246376829E-2"/>
        </c:manualLayout>
      </c:layout>
      <c:overlay val="0"/>
      <c:spPr>
        <a:noFill/>
        <a:ln w="25400">
          <a:noFill/>
        </a:ln>
      </c:spPr>
      <c:txPr>
        <a:bodyPr rot="0" spcFirstLastPara="1" vertOverflow="ellipsis" vert="horz" wrap="square" anchor="ctr" anchorCtr="1"/>
        <a:lstStyle/>
        <a:p>
          <a:pPr>
            <a:defRPr sz="675" b="0" i="0" u="none" strike="noStrike" kern="1200" baseline="0">
              <a:solidFill>
                <a:srgbClr val="000000"/>
              </a:solidFill>
              <a:latin typeface="Calibri"/>
              <a:ea typeface="Calibri"/>
              <a:cs typeface="Calibri"/>
            </a:defRPr>
          </a:pPr>
          <a:endParaRPr lang="ru-RU"/>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u-RU"/>
    </a:p>
  </c:txPr>
  <c:printSettings>
    <c:headerFooter/>
    <c:pageMargins b="1" l="0.75000000000000211" r="0.750000000000002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tx>
            <c:strRef>
              <c:f>'Introducerea datelor'!$C$83</c:f>
              <c:strCache>
                <c:ptCount val="1"/>
                <c:pt idx="0">
                  <c:v>Identified (Identificați)</c:v>
                </c:pt>
              </c:strCache>
            </c:strRef>
          </c:tx>
          <c:spPr>
            <a:solidFill>
              <a:schemeClr val="dk1">
                <a:tint val="88500"/>
              </a:schemeClr>
            </a:solidFill>
            <a:ln>
              <a:noFill/>
            </a:ln>
            <a:effectLst/>
          </c:spPr>
          <c:invertIfNegative val="0"/>
          <c:dLbls>
            <c:spPr>
              <a:noFill/>
              <a:ln w="25400">
                <a:noFill/>
              </a:ln>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datelor'!$C$84</c:f>
              <c:numCache>
                <c:formatCode>General</c:formatCode>
                <c:ptCount val="1"/>
                <c:pt idx="0">
                  <c:v>3</c:v>
                </c:pt>
              </c:numCache>
            </c:numRef>
          </c:val>
        </c:ser>
        <c:ser>
          <c:idx val="1"/>
          <c:order val="1"/>
          <c:tx>
            <c:strRef>
              <c:f>'Introducerea datelor'!$D$83</c:f>
              <c:strCache>
                <c:ptCount val="1"/>
                <c:pt idx="0">
                  <c:v>Assessed (Evaluați)</c:v>
                </c:pt>
              </c:strCache>
            </c:strRef>
          </c:tx>
          <c:spPr>
            <a:solidFill>
              <a:schemeClr val="dk1">
                <a:tint val="55000"/>
              </a:schemeClr>
            </a:solidFill>
            <a:ln>
              <a:noFill/>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Arial"/>
                    <a:ea typeface="Arial"/>
                    <a:cs typeface="Arial"/>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datelor'!$D$84</c:f>
              <c:numCache>
                <c:formatCode>General</c:formatCode>
                <c:ptCount val="1"/>
                <c:pt idx="0">
                  <c:v>2</c:v>
                </c:pt>
              </c:numCache>
            </c:numRef>
          </c:val>
        </c:ser>
        <c:ser>
          <c:idx val="2"/>
          <c:order val="2"/>
          <c:tx>
            <c:strRef>
              <c:f>'Introducerea datelor'!$E$83</c:f>
              <c:strCache>
                <c:ptCount val="1"/>
                <c:pt idx="0">
                  <c:v>Approved (Aprobați)</c:v>
                </c:pt>
              </c:strCache>
            </c:strRef>
          </c:tx>
          <c:spPr>
            <a:solidFill>
              <a:schemeClr val="dk1">
                <a:tint val="75000"/>
              </a:schemeClr>
            </a:solidFill>
            <a:ln>
              <a:noFill/>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Arial"/>
                    <a:ea typeface="Arial"/>
                    <a:cs typeface="Arial"/>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datelor'!$E$84</c:f>
              <c:numCache>
                <c:formatCode>General</c:formatCode>
                <c:ptCount val="1"/>
                <c:pt idx="0">
                  <c:v>3</c:v>
                </c:pt>
              </c:numCache>
            </c:numRef>
          </c:val>
        </c:ser>
        <c:ser>
          <c:idx val="3"/>
          <c:order val="3"/>
          <c:tx>
            <c:strRef>
              <c:f>'Introducerea datelor'!$F$83</c:f>
              <c:strCache>
                <c:ptCount val="1"/>
                <c:pt idx="0">
                  <c:v>Signed (Contracte semnate)</c:v>
                </c:pt>
              </c:strCache>
            </c:strRef>
          </c:tx>
          <c:spPr>
            <a:solidFill>
              <a:schemeClr val="dk1">
                <a:tint val="98500"/>
              </a:schemeClr>
            </a:solidFill>
            <a:ln>
              <a:noFill/>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Arial"/>
                    <a:ea typeface="Arial"/>
                    <a:cs typeface="Arial"/>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datelor'!$F$84</c:f>
              <c:numCache>
                <c:formatCode>General</c:formatCode>
                <c:ptCount val="1"/>
                <c:pt idx="0">
                  <c:v>3</c:v>
                </c:pt>
              </c:numCache>
            </c:numRef>
          </c:val>
        </c:ser>
        <c:ser>
          <c:idx val="4"/>
          <c:order val="4"/>
          <c:tx>
            <c:strRef>
              <c:f>'Introducerea datelor'!$G$83</c:f>
              <c:strCache>
                <c:ptCount val="1"/>
                <c:pt idx="0">
                  <c:v>Receiving Funding (Au recepționat surse)</c:v>
                </c:pt>
              </c:strCache>
            </c:strRef>
          </c:tx>
          <c:spPr>
            <a:solidFill>
              <a:schemeClr val="dk1">
                <a:tint val="30000"/>
              </a:schemeClr>
            </a:solidFill>
            <a:ln>
              <a:noFill/>
            </a:ln>
            <a:effectLst/>
          </c:spPr>
          <c:invertIfNegative val="0"/>
          <c:dLbls>
            <c:spPr>
              <a:noFill/>
              <a:ln w="25400">
                <a:noFill/>
              </a:ln>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Arial"/>
                    <a:ea typeface="Arial"/>
                    <a:cs typeface="Arial"/>
                  </a:defRPr>
                </a:pPr>
                <a:endParaRPr lang="ru-RU"/>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datelor'!$G$84</c:f>
              <c:numCache>
                <c:formatCode>General</c:formatCode>
                <c:ptCount val="1"/>
                <c:pt idx="0">
                  <c:v>3</c:v>
                </c:pt>
              </c:numCache>
            </c:numRef>
          </c:val>
        </c:ser>
        <c:dLbls>
          <c:showLegendKey val="0"/>
          <c:showVal val="0"/>
          <c:showCatName val="0"/>
          <c:showSerName val="0"/>
          <c:showPercent val="0"/>
          <c:showBubbleSize val="0"/>
        </c:dLbls>
        <c:gapWidth val="150"/>
        <c:overlap val="-20"/>
        <c:axId val="140993664"/>
        <c:axId val="140995200"/>
      </c:barChart>
      <c:catAx>
        <c:axId val="140993664"/>
        <c:scaling>
          <c:orientation val="minMax"/>
        </c:scaling>
        <c:delete val="0"/>
        <c:axPos val="b"/>
        <c:majorTickMark val="none"/>
        <c:minorTickMark val="none"/>
        <c:tickLblPos val="none"/>
        <c:spPr>
          <a:ln w="3175">
            <a:solidFill>
              <a:srgbClr val="000000"/>
            </a:solidFill>
            <a:prstDash val="solid"/>
          </a:ln>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ru-RU"/>
          </a:p>
        </c:txPr>
        <c:crossAx val="140995200"/>
        <c:crosses val="autoZero"/>
        <c:auto val="0"/>
        <c:lblAlgn val="ctr"/>
        <c:lblOffset val="100"/>
        <c:tickMarkSkip val="1"/>
        <c:noMultiLvlLbl val="0"/>
      </c:catAx>
      <c:valAx>
        <c:axId val="14099520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ru-RU"/>
          </a:p>
        </c:txPr>
        <c:crossAx val="140993664"/>
        <c:crosses val="autoZero"/>
        <c:crossBetween val="between"/>
      </c:valAx>
      <c:spPr>
        <a:noFill/>
        <a:ln w="25400">
          <a:noFill/>
        </a:ln>
      </c:spPr>
    </c:plotArea>
    <c:legend>
      <c:legendPos val="b"/>
      <c:layout>
        <c:manualLayout>
          <c:xMode val="edge"/>
          <c:yMode val="edge"/>
          <c:x val="0"/>
          <c:y val="0.77490928388049862"/>
          <c:w val="1"/>
          <c:h val="0.18137486912496592"/>
        </c:manualLayout>
      </c:layout>
      <c:overlay val="0"/>
      <c:spPr>
        <a:noFill/>
        <a:ln w="25400">
          <a:noFill/>
        </a:ln>
      </c:spPr>
      <c:txPr>
        <a:bodyPr rot="0" spcFirstLastPara="1" vertOverflow="ellipsis" vert="horz" wrap="square" anchor="ctr" anchorCtr="1"/>
        <a:lstStyle/>
        <a:p>
          <a:pPr rtl="0">
            <a:defRPr sz="675" b="0" i="0" u="none" strike="noStrike" kern="1200"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ru-RU"/>
    </a:p>
  </c:txPr>
  <c:printSettings>
    <c:headerFooter alignWithMargins="0"/>
    <c:pageMargins b="1" l="0.75000000000000022" r="0.75000000000000022"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74"/>
          <c:y val="5.6000000000000001E-2"/>
          <c:w val="0.54462242562929064"/>
          <c:h val="0.56000000000000005"/>
        </c:manualLayout>
      </c:layout>
      <c:barChart>
        <c:barDir val="bar"/>
        <c:grouping val="percentStacked"/>
        <c:varyColors val="0"/>
        <c:ser>
          <c:idx val="0"/>
          <c:order val="0"/>
          <c:tx>
            <c:strRef>
              <c:f>'Introducerea datelor'!$D$71</c:f>
              <c:strCache>
                <c:ptCount val="1"/>
                <c:pt idx="0">
                  <c:v>Fulfilled (Finisate)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datelor'!$B$72:$B$73</c:f>
              <c:strCache>
                <c:ptCount val="2"/>
                <c:pt idx="0">
                  <c:v>Conditions precedent (CPs) (Condiții Precedente (CP))</c:v>
                </c:pt>
                <c:pt idx="1">
                  <c:v>Time Bound Actions (TBAs) (Acțiuni Prestabilite în Timp (TBA))</c:v>
                </c:pt>
              </c:strCache>
            </c:strRef>
          </c:cat>
          <c:val>
            <c:numRef>
              <c:f>'Introducerea datelor'!$D$72:$D$73</c:f>
              <c:numCache>
                <c:formatCode>0</c:formatCode>
                <c:ptCount val="2"/>
                <c:pt idx="0">
                  <c:v>3</c:v>
                </c:pt>
              </c:numCache>
            </c:numRef>
          </c:val>
        </c:ser>
        <c:ser>
          <c:idx val="1"/>
          <c:order val="1"/>
          <c:tx>
            <c:strRef>
              <c:f>'Introducerea datelor'!$E$71</c:f>
              <c:strCache>
                <c:ptCount val="1"/>
                <c:pt idx="0">
                  <c:v>Not fulfilled, but within deadline (Ne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datelor'!$B$72:$B$73</c:f>
              <c:strCache>
                <c:ptCount val="2"/>
                <c:pt idx="0">
                  <c:v>Conditions precedent (CPs) (Condiții Precedente (CP))</c:v>
                </c:pt>
                <c:pt idx="1">
                  <c:v>Time Bound Actions (TBAs) (Acțiuni Prestabilite în Timp (TBA))</c:v>
                </c:pt>
              </c:strCache>
            </c:strRef>
          </c:cat>
          <c:val>
            <c:numRef>
              <c:f>'Introducerea datelor'!$E$72:$E$73</c:f>
              <c:numCache>
                <c:formatCode>0</c:formatCode>
                <c:ptCount val="2"/>
                <c:pt idx="0">
                  <c:v>0</c:v>
                </c:pt>
              </c:numCache>
            </c:numRef>
          </c:val>
        </c:ser>
        <c:ser>
          <c:idx val="2"/>
          <c:order val="2"/>
          <c:tx>
            <c:strRef>
              <c:f>'Introducerea datelor'!$F$71</c:f>
              <c:strCache>
                <c:ptCount val="1"/>
                <c:pt idx="0">
                  <c:v>Not fulfilled, and past the deadline (Ne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Conditions precedent (CPs) (Condiții Precedente (CP))</c:v>
                </c:pt>
                <c:pt idx="1">
                  <c:v>Time Bound Actions (TBAs) (Acțiuni Prestabilite în Timp (TBA))</c:v>
                </c:pt>
              </c:strCache>
            </c:strRef>
          </c:cat>
          <c:val>
            <c:numRef>
              <c:f>'Introducerea datelor'!$F$72:$F$73</c:f>
              <c:numCache>
                <c:formatCode>0</c:formatCode>
                <c:ptCount val="2"/>
              </c:numCache>
            </c:numRef>
          </c:val>
        </c:ser>
        <c:dLbls>
          <c:showLegendKey val="0"/>
          <c:showVal val="0"/>
          <c:showCatName val="0"/>
          <c:showSerName val="0"/>
          <c:showPercent val="0"/>
          <c:showBubbleSize val="0"/>
        </c:dLbls>
        <c:gapWidth val="70"/>
        <c:overlap val="100"/>
        <c:axId val="141394304"/>
        <c:axId val="141395840"/>
      </c:barChart>
      <c:catAx>
        <c:axId val="1413943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u-RU"/>
          </a:p>
        </c:txPr>
        <c:crossAx val="141395840"/>
        <c:crosses val="autoZero"/>
        <c:auto val="1"/>
        <c:lblAlgn val="ctr"/>
        <c:lblOffset val="100"/>
        <c:tickLblSkip val="1"/>
        <c:tickMarkSkip val="1"/>
        <c:noMultiLvlLbl val="0"/>
      </c:catAx>
      <c:valAx>
        <c:axId val="141395840"/>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u-RU"/>
          </a:p>
        </c:txPr>
        <c:crossAx val="141394304"/>
        <c:crosses val="autoZero"/>
        <c:crossBetween val="between"/>
      </c:valAx>
      <c:spPr>
        <a:noFill/>
        <a:ln w="25400">
          <a:noFill/>
        </a:ln>
      </c:spPr>
    </c:plotArea>
    <c:legend>
      <c:legendPos val="r"/>
      <c:layout>
        <c:manualLayout>
          <c:xMode val="edge"/>
          <c:yMode val="edge"/>
          <c:x val="2.9748283752860413E-2"/>
          <c:y val="0.81599999999999995"/>
          <c:w val="0.95423340961098402"/>
          <c:h val="0.16000000000000003"/>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ru-RU"/>
    </a:p>
  </c:txPr>
  <c:printSettings>
    <c:headerFooter alignWithMargins="0"/>
    <c:pageMargins b="1" l="0.75000000000000211" r="0.75000000000000211"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82"/>
          <c:y val="0.12154728922244371"/>
          <c:w val="0.60327318841303279"/>
          <c:h val="0.5524876782838356"/>
        </c:manualLayout>
      </c:layout>
      <c:barChart>
        <c:barDir val="bar"/>
        <c:grouping val="percentStacked"/>
        <c:varyColors val="0"/>
        <c:ser>
          <c:idx val="1"/>
          <c:order val="0"/>
          <c:tx>
            <c:strRef>
              <c:f>'Introducerea datelor'!$D$88</c:f>
              <c:strCache>
                <c:ptCount val="1"/>
                <c:pt idx="0">
                  <c:v># Received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datelor'!$B$89:$B$90</c:f>
              <c:strCache>
                <c:ptCount val="2"/>
                <c:pt idx="0">
                  <c:v>SSR to SR</c:v>
                </c:pt>
                <c:pt idx="1">
                  <c:v>SRs to PR</c:v>
                </c:pt>
              </c:strCache>
            </c:strRef>
          </c:cat>
          <c:val>
            <c:numRef>
              <c:f>'Introducerea datelor'!$D$89:$D$90</c:f>
              <c:numCache>
                <c:formatCode>0</c:formatCode>
                <c:ptCount val="2"/>
                <c:pt idx="0">
                  <c:v>8</c:v>
                </c:pt>
                <c:pt idx="1">
                  <c:v>3</c:v>
                </c:pt>
              </c:numCache>
            </c:numRef>
          </c:val>
        </c:ser>
        <c:ser>
          <c:idx val="2"/>
          <c:order val="1"/>
          <c:tx>
            <c:strRef>
              <c:f>'Introducerea datelor'!$E$88</c:f>
              <c:strCache>
                <c:ptCount val="1"/>
                <c:pt idx="0">
                  <c:v>Pending (În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datelor'!$B$89:$B$90</c:f>
              <c:strCache>
                <c:ptCount val="2"/>
                <c:pt idx="0">
                  <c:v>SSR to SR</c:v>
                </c:pt>
                <c:pt idx="1">
                  <c:v>SRs to PR</c:v>
                </c:pt>
              </c:strCache>
            </c:strRef>
          </c:cat>
          <c:val>
            <c:numRef>
              <c:f>'Introducerea datelor'!$E$89:$E$90</c:f>
              <c:numCache>
                <c:formatCode>General</c:formatCode>
                <c:ptCount val="2"/>
                <c:pt idx="0" formatCode="0">
                  <c:v>0</c:v>
                </c:pt>
                <c:pt idx="1">
                  <c:v>0</c:v>
                </c:pt>
              </c:numCache>
            </c:numRef>
          </c:val>
        </c:ser>
        <c:dLbls>
          <c:showLegendKey val="0"/>
          <c:showVal val="0"/>
          <c:showCatName val="0"/>
          <c:showSerName val="0"/>
          <c:showPercent val="0"/>
          <c:showBubbleSize val="0"/>
        </c:dLbls>
        <c:gapWidth val="101"/>
        <c:overlap val="100"/>
        <c:axId val="141103104"/>
        <c:axId val="141104640"/>
      </c:barChart>
      <c:catAx>
        <c:axId val="14110310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u-RU"/>
          </a:p>
        </c:txPr>
        <c:crossAx val="141104640"/>
        <c:crosses val="autoZero"/>
        <c:auto val="1"/>
        <c:lblAlgn val="ctr"/>
        <c:lblOffset val="100"/>
        <c:noMultiLvlLbl val="0"/>
      </c:catAx>
      <c:valAx>
        <c:axId val="141104640"/>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u-RU"/>
          </a:p>
        </c:txPr>
        <c:crossAx val="141103104"/>
        <c:crosses val="max"/>
        <c:crossBetween val="between"/>
      </c:valAx>
    </c:plotArea>
    <c:legend>
      <c:legendPos val="r"/>
      <c:legendEntry>
        <c:idx val="0"/>
        <c:txPr>
          <a:bodyPr/>
          <a:lstStyle/>
          <a:p>
            <a:pPr>
              <a:defRPr sz="675" b="0" i="0" u="none" strike="noStrike" baseline="0">
                <a:solidFill>
                  <a:srgbClr val="000000"/>
                </a:solidFill>
                <a:latin typeface="Calibri"/>
                <a:ea typeface="Calibri"/>
                <a:cs typeface="Calibri"/>
              </a:defRPr>
            </a:pPr>
            <a:endParaRPr lang="ru-RU"/>
          </a:p>
        </c:txPr>
      </c:legendEntry>
      <c:legendEntry>
        <c:idx val="1"/>
        <c:txPr>
          <a:bodyPr/>
          <a:lstStyle/>
          <a:p>
            <a:pPr>
              <a:defRPr sz="675" b="0" i="0" u="none" strike="noStrike" baseline="0">
                <a:solidFill>
                  <a:srgbClr val="000000"/>
                </a:solidFill>
                <a:latin typeface="Calibri"/>
                <a:ea typeface="Calibri"/>
                <a:cs typeface="Calibri"/>
              </a:defRPr>
            </a:pPr>
            <a:endParaRPr lang="ru-RU"/>
          </a:p>
        </c:txPr>
      </c:legendEntry>
      <c:layout>
        <c:manualLayout>
          <c:xMode val="edge"/>
          <c:yMode val="edge"/>
          <c:x val="0.31827956989247314"/>
          <c:y val="0.81215469613259672"/>
          <c:w val="0.35483870967741932"/>
          <c:h val="0.13259668508287292"/>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ru-RU"/>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u-RU"/>
    </a:p>
  </c:txPr>
  <c:printSettings>
    <c:headerFooter/>
    <c:pageMargins b="1" l="0.75000000000000211" r="0.75000000000000211"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131"/>
          <c:y val="0.10989010989011012"/>
          <c:w val="0.81094724363350612"/>
          <c:h val="0.54395604395604358"/>
        </c:manualLayout>
      </c:layout>
      <c:lineChart>
        <c:grouping val="standard"/>
        <c:varyColors val="0"/>
        <c:ser>
          <c:idx val="0"/>
          <c:order val="0"/>
          <c:tx>
            <c:strRef>
              <c:f>'Introducerea datelor'!$B$98</c:f>
              <c:strCache>
                <c:ptCount val="1"/>
                <c:pt idx="0">
                  <c:v>Budget Approved cumulative* (Buget Aprobat cumulativ*)</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'Introducerea datelor'!$C$98:$N$98</c:f>
            </c:numRef>
          </c:val>
          <c:smooth val="0"/>
        </c:ser>
        <c:ser>
          <c:idx val="1"/>
          <c:order val="1"/>
          <c:tx>
            <c:strRef>
              <c:f>'Introducerea datelor'!$B$99</c:f>
              <c:strCache>
                <c:ptCount val="1"/>
                <c:pt idx="0">
                  <c:v>Obligations cumulative (Obligațiuni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'Introducerea datelor'!$C$99:$N$99</c:f>
            </c:numRef>
          </c:val>
          <c:smooth val="0"/>
        </c:ser>
        <c:ser>
          <c:idx val="2"/>
          <c:order val="2"/>
          <c:tx>
            <c:strRef>
              <c:f>'Introducerea datelor'!$B$100</c:f>
              <c:strCache>
                <c:ptCount val="1"/>
                <c:pt idx="0">
                  <c:v>Expenditures cumulative (Cheltuieli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'Introducerea datelor'!$C$100:$N$100</c:f>
            </c:numRef>
          </c:val>
          <c:smooth val="0"/>
        </c:ser>
        <c:dLbls>
          <c:showLegendKey val="0"/>
          <c:showVal val="0"/>
          <c:showCatName val="0"/>
          <c:showSerName val="0"/>
          <c:showPercent val="0"/>
          <c:showBubbleSize val="0"/>
        </c:dLbls>
        <c:marker val="1"/>
        <c:smooth val="0"/>
        <c:axId val="141151232"/>
        <c:axId val="141153408"/>
      </c:lineChart>
      <c:catAx>
        <c:axId val="1411512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ru-RU"/>
          </a:p>
        </c:txPr>
        <c:crossAx val="141153408"/>
        <c:crosses val="autoZero"/>
        <c:auto val="1"/>
        <c:lblAlgn val="ctr"/>
        <c:lblOffset val="100"/>
        <c:tickLblSkip val="1"/>
        <c:tickMarkSkip val="1"/>
        <c:noMultiLvlLbl val="0"/>
      </c:catAx>
      <c:valAx>
        <c:axId val="14115340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ru-RU"/>
          </a:p>
        </c:txPr>
        <c:crossAx val="141151232"/>
        <c:crosses val="autoZero"/>
        <c:crossBetween val="between"/>
      </c:valAx>
      <c:spPr>
        <a:solidFill>
          <a:srgbClr val="FFFFFF"/>
        </a:solidFill>
        <a:ln w="12700">
          <a:solidFill>
            <a:srgbClr val="808080"/>
          </a:solidFill>
          <a:prstDash val="solid"/>
        </a:ln>
      </c:spPr>
    </c:plotArea>
    <c:legend>
      <c:legendPos val="r"/>
      <c:layout>
        <c:manualLayout>
          <c:xMode val="edge"/>
          <c:yMode val="edge"/>
          <c:x val="6.2189054726368161E-2"/>
          <c:y val="0.69780219780219777"/>
          <c:w val="0.92288557213930345"/>
          <c:h val="0.17582417582417587"/>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ru-RU"/>
    </a:p>
  </c:txPr>
  <c:printSettings>
    <c:headerFooter alignWithMargins="0"/>
    <c:pageMargins b="1" l="0.75000000000000211" r="0.75000000000000211"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070422535211266E-2"/>
          <c:y val="9.8445595854922296E-2"/>
          <c:w val="0.89436619718309851"/>
          <c:h val="0.61658031088082899"/>
        </c:manualLayout>
      </c:layout>
      <c:barChart>
        <c:barDir val="col"/>
        <c:grouping val="clustered"/>
        <c:varyColors val="0"/>
        <c:ser>
          <c:idx val="0"/>
          <c:order val="0"/>
          <c:tx>
            <c:strRef>
              <c:f>'Introducerea datelor'!$G$119</c:f>
              <c:strCache>
                <c:ptCount val="1"/>
                <c:pt idx="0">
                  <c:v>Target // Ținta</c:v>
                </c:pt>
              </c:strCache>
            </c:strRef>
          </c:tx>
          <c:spPr>
            <a:solidFill>
              <a:srgbClr val="0066CC"/>
            </a:solidFill>
            <a:ln w="25400">
              <a:noFill/>
            </a:ln>
          </c:spPr>
          <c:invertIfNegative val="0"/>
          <c:val>
            <c:numRef>
              <c:f>'Introducerea datelor'!$H$119:$O$119</c:f>
              <c:numCache>
                <c:formatCode>#,##0</c:formatCode>
                <c:ptCount val="8"/>
                <c:pt idx="0">
                  <c:v>142</c:v>
                </c:pt>
                <c:pt idx="1">
                  <c:v>285</c:v>
                </c:pt>
                <c:pt idx="2">
                  <c:v>142</c:v>
                </c:pt>
                <c:pt idx="3">
                  <c:v>285</c:v>
                </c:pt>
                <c:pt idx="4">
                  <c:v>140</c:v>
                </c:pt>
                <c:pt idx="5">
                  <c:v>280</c:v>
                </c:pt>
              </c:numCache>
            </c:numRef>
          </c:val>
        </c:ser>
        <c:ser>
          <c:idx val="1"/>
          <c:order val="1"/>
          <c:tx>
            <c:strRef>
              <c:f>'Introducerea datelor'!$G$120</c:f>
              <c:strCache>
                <c:ptCount val="1"/>
                <c:pt idx="0">
                  <c:v>Achieved // Realizat</c:v>
                </c:pt>
              </c:strCache>
            </c:strRef>
          </c:tx>
          <c:spPr>
            <a:solidFill>
              <a:srgbClr val="00CCFF"/>
            </a:solidFill>
            <a:ln w="12700">
              <a:solidFill>
                <a:srgbClr val="000000"/>
              </a:solidFill>
              <a:prstDash val="solid"/>
            </a:ln>
          </c:spPr>
          <c:invertIfNegative val="0"/>
          <c:val>
            <c:numRef>
              <c:f>'Introducerea datelor'!$H$120:$O$120</c:f>
              <c:numCache>
                <c:formatCode>#,##0</c:formatCode>
                <c:ptCount val="8"/>
                <c:pt idx="0">
                  <c:v>63</c:v>
                </c:pt>
                <c:pt idx="1">
                  <c:v>288</c:v>
                </c:pt>
                <c:pt idx="2">
                  <c:v>152</c:v>
                </c:pt>
                <c:pt idx="3">
                  <c:v>290</c:v>
                </c:pt>
                <c:pt idx="4">
                  <c:v>137</c:v>
                </c:pt>
                <c:pt idx="5">
                  <c:v>283</c:v>
                </c:pt>
              </c:numCache>
            </c:numRef>
          </c:val>
        </c:ser>
        <c:dLbls>
          <c:showLegendKey val="0"/>
          <c:showVal val="0"/>
          <c:showCatName val="0"/>
          <c:showSerName val="0"/>
          <c:showPercent val="0"/>
          <c:showBubbleSize val="0"/>
        </c:dLbls>
        <c:gapWidth val="150"/>
        <c:axId val="139804672"/>
        <c:axId val="139806208"/>
      </c:barChart>
      <c:catAx>
        <c:axId val="139804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u-RU"/>
          </a:p>
        </c:txPr>
        <c:crossAx val="139806208"/>
        <c:crosses val="autoZero"/>
        <c:auto val="1"/>
        <c:lblAlgn val="ctr"/>
        <c:lblOffset val="100"/>
        <c:tickLblSkip val="1"/>
        <c:tickMarkSkip val="1"/>
        <c:noMultiLvlLbl val="0"/>
      </c:catAx>
      <c:valAx>
        <c:axId val="13980620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u-RU"/>
          </a:p>
        </c:txPr>
        <c:crossAx val="139804672"/>
        <c:crosses val="autoZero"/>
        <c:crossBetween val="between"/>
      </c:valAx>
      <c:spPr>
        <a:noFill/>
        <a:ln w="25400">
          <a:noFill/>
        </a:ln>
      </c:spPr>
    </c:plotArea>
    <c:legend>
      <c:legendPos val="r"/>
      <c:layout>
        <c:manualLayout>
          <c:xMode val="edge"/>
          <c:yMode val="edge"/>
          <c:x val="0.17571103770752006"/>
          <c:y val="0.91191940556034845"/>
          <c:w val="0.57881283009536022"/>
          <c:h val="7.2539043624118629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u-RU"/>
    </a:p>
  </c:txPr>
  <c:printSettings>
    <c:headerFooter alignWithMargins="0"/>
    <c:pageMargins b="1" l="0.75000000000000233" r="0.75000000000000233"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8193"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38100" y="1381125"/>
          <a:ext cx="7648575" cy="2819400"/>
        </a:xfrm>
        <a:prstGeom prst="rect">
          <a:avLst/>
        </a:prstGeom>
        <a:noFill/>
        <a:ln w="1">
          <a:noFill/>
          <a:miter lim="800000"/>
          <a:headEnd/>
          <a:tailEnd/>
        </a:ln>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8194" name="Picture 824"/>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57375"/>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8195"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47625</xdr:rowOff>
    </xdr:from>
    <xdr:to>
      <xdr:col>6</xdr:col>
      <xdr:colOff>533400</xdr:colOff>
      <xdr:row>12</xdr:row>
      <xdr:rowOff>38100</xdr:rowOff>
    </xdr:to>
    <xdr:grpSp>
      <xdr:nvGrpSpPr>
        <xdr:cNvPr id="8196" name="Group 25">
          <a:hlinkClick xmlns:r="http://schemas.openxmlformats.org/officeDocument/2006/relationships" r:id="rId3"/>
        </xdr:cNvPr>
        <xdr:cNvGrpSpPr>
          <a:grpSpLocks/>
        </xdr:cNvGrpSpPr>
      </xdr:nvGrpSpPr>
      <xdr:grpSpPr bwMode="auto">
        <a:xfrm>
          <a:off x="3413125" y="2436813"/>
          <a:ext cx="1009650" cy="371475"/>
          <a:chOff x="1200" y="1912"/>
          <a:chExt cx="3456" cy="774"/>
        </a:xfrm>
      </xdr:grpSpPr>
      <xdr:sp macro="" textlink="">
        <xdr:nvSpPr>
          <xdr:cNvPr id="2418361"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2" name="AutoShape 27"/>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171450</xdr:rowOff>
    </xdr:from>
    <xdr:to>
      <xdr:col>6</xdr:col>
      <xdr:colOff>628650</xdr:colOff>
      <xdr:row>17</xdr:row>
      <xdr:rowOff>161925</xdr:rowOff>
    </xdr:to>
    <xdr:grpSp>
      <xdr:nvGrpSpPr>
        <xdr:cNvPr id="8197" name="Group 25">
          <a:hlinkClick xmlns:r="http://schemas.openxmlformats.org/officeDocument/2006/relationships" r:id="rId4"/>
        </xdr:cNvPr>
        <xdr:cNvGrpSpPr>
          <a:grpSpLocks/>
        </xdr:cNvGrpSpPr>
      </xdr:nvGrpSpPr>
      <xdr:grpSpPr bwMode="auto">
        <a:xfrm>
          <a:off x="3451225" y="3513138"/>
          <a:ext cx="1066800" cy="371475"/>
          <a:chOff x="1200" y="1912"/>
          <a:chExt cx="3456" cy="774"/>
        </a:xfrm>
      </xdr:grpSpPr>
      <xdr:sp macro="" textlink="">
        <xdr:nvSpPr>
          <xdr:cNvPr id="2418358"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6" name="AutoShape 27"/>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590550</xdr:colOff>
      <xdr:row>15</xdr:row>
      <xdr:rowOff>0</xdr:rowOff>
    </xdr:to>
    <xdr:grpSp>
      <xdr:nvGrpSpPr>
        <xdr:cNvPr id="8198" name="Group 25">
          <a:hlinkClick xmlns:r="http://schemas.openxmlformats.org/officeDocument/2006/relationships" r:id="rId5"/>
        </xdr:cNvPr>
        <xdr:cNvGrpSpPr>
          <a:grpSpLocks/>
        </xdr:cNvGrpSpPr>
      </xdr:nvGrpSpPr>
      <xdr:grpSpPr bwMode="auto">
        <a:xfrm>
          <a:off x="3413125" y="2970213"/>
          <a:ext cx="1066800" cy="371475"/>
          <a:chOff x="1200" y="1912"/>
          <a:chExt cx="3456" cy="774"/>
        </a:xfrm>
      </xdr:grpSpPr>
      <xdr:sp macro="" textlink="">
        <xdr:nvSpPr>
          <xdr:cNvPr id="2418355"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07941" name="AutoShape 27"/>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8200" name="Group 832">
          <a:hlinkClick xmlns:r="http://schemas.openxmlformats.org/officeDocument/2006/relationships" r:id="rId6"/>
        </xdr:cNvPr>
        <xdr:cNvGrpSpPr>
          <a:grpSpLocks/>
        </xdr:cNvGrpSpPr>
      </xdr:nvGrpSpPr>
      <xdr:grpSpPr bwMode="auto">
        <a:xfrm>
          <a:off x="5708650" y="2579688"/>
          <a:ext cx="1501775" cy="409575"/>
          <a:chOff x="599" y="262"/>
          <a:chExt cx="158" cy="43"/>
        </a:xfrm>
      </xdr:grpSpPr>
      <xdr:sp macro="" textlink="">
        <xdr:nvSpPr>
          <xdr:cNvPr id="2418351"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8231"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8233" name="Freeform 32"/>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8201" name="Group 830"/>
        <xdr:cNvGrpSpPr>
          <a:grpSpLocks/>
        </xdr:cNvGrpSpPr>
      </xdr:nvGrpSpPr>
      <xdr:grpSpPr bwMode="auto">
        <a:xfrm>
          <a:off x="327025" y="1903413"/>
          <a:ext cx="2143125" cy="2124075"/>
          <a:chOff x="32" y="188"/>
          <a:chExt cx="225" cy="225"/>
        </a:xfrm>
      </xdr:grpSpPr>
      <xdr:sp macro="" textlink="">
        <xdr:nvSpPr>
          <xdr:cNvPr id="8228"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8202" name="Group 826"/>
        <xdr:cNvGrpSpPr>
          <a:grpSpLocks/>
        </xdr:cNvGrpSpPr>
      </xdr:nvGrpSpPr>
      <xdr:grpSpPr bwMode="auto">
        <a:xfrm>
          <a:off x="5699125" y="3208338"/>
          <a:ext cx="1501775" cy="409575"/>
          <a:chOff x="578" y="328"/>
          <a:chExt cx="158" cy="43"/>
        </a:xfrm>
      </xdr:grpSpPr>
      <xdr:sp macro="" textlink="">
        <xdr:nvSpPr>
          <xdr:cNvPr id="2418345"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8225"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8227"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8203" name="Group 831">
          <a:hlinkClick xmlns:r="http://schemas.openxmlformats.org/officeDocument/2006/relationships" r:id="rId8"/>
        </xdr:cNvPr>
        <xdr:cNvGrpSpPr>
          <a:grpSpLocks/>
        </xdr:cNvGrpSpPr>
      </xdr:nvGrpSpPr>
      <xdr:grpSpPr bwMode="auto">
        <a:xfrm>
          <a:off x="593725" y="3475038"/>
          <a:ext cx="1504950" cy="342900"/>
          <a:chOff x="56" y="259"/>
          <a:chExt cx="158" cy="40"/>
        </a:xfrm>
      </xdr:grpSpPr>
      <xdr:sp macro="" textlink="">
        <xdr:nvSpPr>
          <xdr:cNvPr id="2418341"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8221"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8204" name="37 Grupo">
          <a:hlinkClick xmlns:r="http://schemas.openxmlformats.org/officeDocument/2006/relationships" r:id="rId9"/>
        </xdr:cNvPr>
        <xdr:cNvGrpSpPr>
          <a:grpSpLocks/>
        </xdr:cNvGrpSpPr>
      </xdr:nvGrpSpPr>
      <xdr:grpSpPr bwMode="auto">
        <a:xfrm>
          <a:off x="593725" y="2417763"/>
          <a:ext cx="1504950" cy="371475"/>
          <a:chOff x="1343025" y="2428876"/>
          <a:chExt cx="3240982" cy="617274"/>
        </a:xfrm>
      </xdr:grpSpPr>
      <xdr:sp macro="" textlink="">
        <xdr:nvSpPr>
          <xdr:cNvPr id="2418337"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8217"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8205" name="37 Grupo">
          <a:hlinkClick xmlns:r="http://schemas.openxmlformats.org/officeDocument/2006/relationships" r:id="rId10"/>
        </xdr:cNvPr>
        <xdr:cNvGrpSpPr>
          <a:grpSpLocks/>
        </xdr:cNvGrpSpPr>
      </xdr:nvGrpSpPr>
      <xdr:grpSpPr bwMode="auto">
        <a:xfrm>
          <a:off x="593725" y="2951163"/>
          <a:ext cx="1504950" cy="371475"/>
          <a:chOff x="1343025" y="2428876"/>
          <a:chExt cx="3240982" cy="617274"/>
        </a:xfrm>
      </xdr:grpSpPr>
      <xdr:sp macro="" textlink="">
        <xdr:nvSpPr>
          <xdr:cNvPr id="2418333"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8213"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8206" name="Picture 2012"/>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33600" cy="447675"/>
        </a:xfrm>
        <a:prstGeom prst="rect">
          <a:avLst/>
        </a:prstGeom>
        <a:noFill/>
        <a:ln w="9525">
          <a:noFill/>
          <a:miter lim="800000"/>
          <a:headEnd/>
          <a:tailEnd/>
        </a:ln>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8208" name="Picture 2016"/>
        <xdr:cNvPicPr>
          <a:picLocks noChangeAspect="1" noChangeArrowheads="1"/>
        </xdr:cNvPicPr>
      </xdr:nvPicPr>
      <xdr:blipFill>
        <a:blip xmlns:r="http://schemas.openxmlformats.org/officeDocument/2006/relationships" r:embed="rId12" cstate="print"/>
        <a:srcRect/>
        <a:stretch>
          <a:fillRect/>
        </a:stretch>
      </xdr:blipFill>
      <xdr:spPr bwMode="auto">
        <a:xfrm>
          <a:off x="2609850" y="1876425"/>
          <a:ext cx="2600325" cy="447675"/>
        </a:xfrm>
        <a:prstGeom prst="rect">
          <a:avLst/>
        </a:prstGeom>
        <a:noFill/>
        <a:ln w="9525">
          <a:noFill/>
          <a:miter lim="800000"/>
          <a:headEnd/>
          <a:tailEnd/>
        </a:ln>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8210" name="Picture 2018"/>
        <xdr:cNvPicPr>
          <a:picLocks noChangeAspect="1" noChangeArrowheads="1"/>
        </xdr:cNvPicPr>
      </xdr:nvPicPr>
      <xdr:blipFill>
        <a:blip xmlns:r="http://schemas.openxmlformats.org/officeDocument/2006/relationships" r:embed="rId13" cstate="print"/>
        <a:srcRect/>
        <a:stretch>
          <a:fillRect/>
        </a:stretch>
      </xdr:blipFill>
      <xdr:spPr bwMode="auto">
        <a:xfrm>
          <a:off x="5381625" y="1885950"/>
          <a:ext cx="2162175" cy="438150"/>
        </a:xfrm>
        <a:prstGeom prst="rect">
          <a:avLst/>
        </a:prstGeom>
        <a:noFill/>
        <a:ln w="9525">
          <a:noFill/>
          <a:miter lim="800000"/>
          <a:headEnd/>
          <a:tailEnd/>
        </a:ln>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27649"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7</xdr:col>
      <xdr:colOff>9525</xdr:colOff>
      <xdr:row>34</xdr:row>
      <xdr:rowOff>47625</xdr:rowOff>
    </xdr:from>
    <xdr:to>
      <xdr:col>11</xdr:col>
      <xdr:colOff>638175</xdr:colOff>
      <xdr:row>46</xdr:row>
      <xdr:rowOff>28575</xdr:rowOff>
    </xdr:to>
    <xdr:cxnSp macro="">
      <xdr:nvCxnSpPr>
        <xdr:cNvPr id="6963" name="AutoShape 100"/>
        <xdr:cNvCxnSpPr>
          <a:cxnSpLocks noChangeShapeType="1"/>
        </xdr:cNvCxnSpPr>
      </xdr:nvCxnSpPr>
      <xdr:spPr bwMode="auto">
        <a:xfrm flipH="1">
          <a:off x="8267700" y="6210300"/>
          <a:ext cx="4705350" cy="340995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1057275</xdr:colOff>
      <xdr:row>46</xdr:row>
      <xdr:rowOff>104775</xdr:rowOff>
    </xdr:to>
    <xdr:cxnSp macro="">
      <xdr:nvCxnSpPr>
        <xdr:cNvPr id="6964" name="AutoShape 101"/>
        <xdr:cNvCxnSpPr>
          <a:cxnSpLocks noChangeShapeType="1"/>
        </xdr:cNvCxnSpPr>
      </xdr:nvCxnSpPr>
      <xdr:spPr bwMode="auto">
        <a:xfrm rot="10800000">
          <a:off x="5591175" y="8886825"/>
          <a:ext cx="1057275"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11265"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152400</xdr:colOff>
      <xdr:row>9</xdr:row>
      <xdr:rowOff>47625</xdr:rowOff>
    </xdr:from>
    <xdr:to>
      <xdr:col>11</xdr:col>
      <xdr:colOff>123825</xdr:colOff>
      <xdr:row>21</xdr:row>
      <xdr:rowOff>2574</xdr:rowOff>
    </xdr:to>
    <xdr:grpSp>
      <xdr:nvGrpSpPr>
        <xdr:cNvPr id="11267" name="Group 489"/>
        <xdr:cNvGrpSpPr>
          <a:grpSpLocks/>
        </xdr:cNvGrpSpPr>
      </xdr:nvGrpSpPr>
      <xdr:grpSpPr bwMode="auto">
        <a:xfrm>
          <a:off x="4026758" y="2338774"/>
          <a:ext cx="3478942" cy="2419864"/>
          <a:chOff x="410" y="229"/>
          <a:chExt cx="366" cy="235"/>
        </a:xfrm>
      </xdr:grpSpPr>
      <xdr:graphicFrame macro="">
        <xdr:nvGraphicFramePr>
          <xdr:cNvPr id="11271" name="Chart 31"/>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11272" name="Picture 477" descr="one"/>
          <xdr:cNvPicPr>
            <a:picLocks noChangeAspect="1" noChangeArrowheads="1"/>
          </xdr:cNvPicPr>
        </xdr:nvPicPr>
        <xdr:blipFill>
          <a:blip xmlns:r="http://schemas.openxmlformats.org/officeDocument/2006/relationships" r:embed="rId4" cstate="print"/>
          <a:srcRect/>
          <a:stretch>
            <a:fillRect/>
          </a:stretch>
        </xdr:blipFill>
        <xdr:spPr bwMode="auto">
          <a:xfrm>
            <a:off x="445" y="442"/>
            <a:ext cx="297" cy="22"/>
          </a:xfrm>
          <a:prstGeom prst="rect">
            <a:avLst/>
          </a:prstGeom>
          <a:noFill/>
          <a:ln w="9525">
            <a:noFill/>
            <a:miter lim="800000"/>
            <a:headEnd/>
            <a:tailEnd/>
          </a:ln>
        </xdr:spPr>
      </xdr:pic>
    </xdr:grpSp>
    <xdr:clientData/>
  </xdr:twoCellAnchor>
  <xdr:twoCellAnchor>
    <xdr:from>
      <xdr:col>0</xdr:col>
      <xdr:colOff>209550</xdr:colOff>
      <xdr:row>23</xdr:row>
      <xdr:rowOff>38100</xdr:rowOff>
    </xdr:from>
    <xdr:to>
      <xdr:col>6</xdr:col>
      <xdr:colOff>209550</xdr:colOff>
      <xdr:row>31</xdr:row>
      <xdr:rowOff>51486</xdr:rowOff>
    </xdr:to>
    <xdr:grpSp>
      <xdr:nvGrpSpPr>
        <xdr:cNvPr id="11268" name="Group 490"/>
        <xdr:cNvGrpSpPr>
          <a:grpSpLocks/>
        </xdr:cNvGrpSpPr>
      </xdr:nvGrpSpPr>
      <xdr:grpSpPr bwMode="auto">
        <a:xfrm>
          <a:off x="209550" y="5553590"/>
          <a:ext cx="3874358" cy="1918386"/>
          <a:chOff x="0" y="487"/>
          <a:chExt cx="407" cy="276"/>
        </a:xfrm>
      </xdr:grpSpPr>
      <xdr:graphicFrame macro="">
        <xdr:nvGraphicFramePr>
          <xdr:cNvPr id="11269" name="Chart 34"/>
          <xdr:cNvGraphicFramePr>
            <a:graphicFrameLocks/>
          </xdr:cNvGraphicFramePr>
        </xdr:nvGraphicFramePr>
        <xdr:xfrm>
          <a:off x="0" y="487"/>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11270" name="Picture 487" descr="ok"/>
          <xdr:cNvPicPr>
            <a:picLocks noChangeAspect="1" noChangeArrowheads="1"/>
          </xdr:cNvPicPr>
        </xdr:nvPicPr>
        <xdr:blipFill>
          <a:blip xmlns:r="http://schemas.openxmlformats.org/officeDocument/2006/relationships" r:embed="rId6" cstate="print"/>
          <a:srcRect/>
          <a:stretch>
            <a:fillRect/>
          </a:stretch>
        </xdr:blipFill>
        <xdr:spPr bwMode="auto">
          <a:xfrm>
            <a:off x="89" y="741"/>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228600</xdr:colOff>
      <xdr:row>7</xdr:row>
      <xdr:rowOff>171450</xdr:rowOff>
    </xdr:from>
    <xdr:to>
      <xdr:col>12</xdr:col>
      <xdr:colOff>180975</xdr:colOff>
      <xdr:row>14</xdr:row>
      <xdr:rowOff>152400</xdr:rowOff>
    </xdr:to>
    <xdr:graphicFrame macro="">
      <xdr:nvGraphicFramePr>
        <xdr:cNvPr id="7169"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7170"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19050</xdr:rowOff>
    </xdr:from>
    <xdr:to>
      <xdr:col>5</xdr:col>
      <xdr:colOff>1095375</xdr:colOff>
      <xdr:row>14</xdr:row>
      <xdr:rowOff>66675</xdr:rowOff>
    </xdr:to>
    <xdr:graphicFrame macro="">
      <xdr:nvGraphicFramePr>
        <xdr:cNvPr id="7171"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19050</xdr:rowOff>
    </xdr:from>
    <xdr:to>
      <xdr:col>12</xdr:col>
      <xdr:colOff>180975</xdr:colOff>
      <xdr:row>25</xdr:row>
      <xdr:rowOff>28575</xdr:rowOff>
    </xdr:to>
    <xdr:graphicFrame macro="">
      <xdr:nvGraphicFramePr>
        <xdr:cNvPr id="7172"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47625</xdr:rowOff>
    </xdr:from>
    <xdr:to>
      <xdr:col>5</xdr:col>
      <xdr:colOff>657225</xdr:colOff>
      <xdr:row>33</xdr:row>
      <xdr:rowOff>247650</xdr:rowOff>
    </xdr:to>
    <xdr:graphicFrame macro="">
      <xdr:nvGraphicFramePr>
        <xdr:cNvPr id="7173"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209550</xdr:colOff>
      <xdr:row>9</xdr:row>
      <xdr:rowOff>85725</xdr:rowOff>
    </xdr:from>
    <xdr:to>
      <xdr:col>11</xdr:col>
      <xdr:colOff>95250</xdr:colOff>
      <xdr:row>17</xdr:row>
      <xdr:rowOff>38100</xdr:rowOff>
    </xdr:to>
    <xdr:graphicFrame macro="">
      <xdr:nvGraphicFramePr>
        <xdr:cNvPr id="20481"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20483"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95250</xdr:rowOff>
    </xdr:from>
    <xdr:to>
      <xdr:col>4</xdr:col>
      <xdr:colOff>400050</xdr:colOff>
      <xdr:row>17</xdr:row>
      <xdr:rowOff>57150</xdr:rowOff>
    </xdr:to>
    <xdr:graphicFrame macro="">
      <xdr:nvGraphicFramePr>
        <xdr:cNvPr id="20484"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24577" name="Group 41"/>
        <xdr:cNvGrpSpPr>
          <a:grpSpLocks/>
        </xdr:cNvGrpSpPr>
      </xdr:nvGrpSpPr>
      <xdr:grpSpPr bwMode="auto">
        <a:xfrm>
          <a:off x="5556250" y="5154083"/>
          <a:ext cx="85725" cy="0"/>
          <a:chOff x="595" y="540"/>
          <a:chExt cx="9" cy="9"/>
        </a:xfrm>
      </xdr:grpSpPr>
      <xdr:sp macro="" textlink="">
        <xdr:nvSpPr>
          <xdr:cNvPr id="24588"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24589"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24578" name="Group 44"/>
        <xdr:cNvGrpSpPr>
          <a:grpSpLocks/>
        </xdr:cNvGrpSpPr>
      </xdr:nvGrpSpPr>
      <xdr:grpSpPr bwMode="auto">
        <a:xfrm>
          <a:off x="6537325" y="5154083"/>
          <a:ext cx="86783" cy="0"/>
          <a:chOff x="698" y="540"/>
          <a:chExt cx="9" cy="9"/>
        </a:xfrm>
      </xdr:grpSpPr>
      <xdr:sp macro="" textlink="">
        <xdr:nvSpPr>
          <xdr:cNvPr id="24586"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24587"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24579" name="Group 47"/>
        <xdr:cNvGrpSpPr>
          <a:grpSpLocks/>
        </xdr:cNvGrpSpPr>
      </xdr:nvGrpSpPr>
      <xdr:grpSpPr bwMode="auto">
        <a:xfrm>
          <a:off x="5183717" y="5154083"/>
          <a:ext cx="86783" cy="0"/>
          <a:chOff x="698" y="540"/>
          <a:chExt cx="9" cy="9"/>
        </a:xfrm>
      </xdr:grpSpPr>
      <xdr:sp macro="" textlink="">
        <xdr:nvSpPr>
          <xdr:cNvPr id="24584"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24585"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24580" name="Group 50"/>
        <xdr:cNvGrpSpPr>
          <a:grpSpLocks/>
        </xdr:cNvGrpSpPr>
      </xdr:nvGrpSpPr>
      <xdr:grpSpPr bwMode="auto">
        <a:xfrm>
          <a:off x="1439333" y="5154083"/>
          <a:ext cx="85725" cy="0"/>
          <a:chOff x="595" y="540"/>
          <a:chExt cx="9" cy="9"/>
        </a:xfrm>
      </xdr:grpSpPr>
      <xdr:sp macro="" textlink="">
        <xdr:nvSpPr>
          <xdr:cNvPr id="24582"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24583"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256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43" connectionId="0">
    <xmlCellPr id="1" uniqueName="1">
      <xmlPr mapId="43" xpath="/ns1:Root/ns1:F2/ns1:TB__detect_and_treat_Cumulative_Budget__in___" xmlDataType="double"/>
    </xmlCellPr>
  </singleXmlCell>
  <singleXmlCell id="461" r="D43" connectionId="0">
    <xmlCellPr id="1" uniqueName="1">
      <xmlPr mapId="43" xpath="/ns1:Root/ns1:F2/ns1:TB__detect_and_treat_Cumulative_Expenditures__in___" xmlDataType="double"/>
    </xmlCellPr>
  </singleXmlCell>
  <singleXmlCell id="462" r="C44" connectionId="0">
    <xmlCellPr id="1" uniqueName="1">
      <xmlPr mapId="43" xpath="/ns1:Root/ns1:F2/ns1:TB__ID_cases_Cumulative_Budget__in___" xmlDataType="double"/>
    </xmlCellPr>
  </singleXmlCell>
  <singleXmlCell id="463" r="D44" connectionId="0">
    <xmlCellPr id="1" uniqueName="1">
      <xmlPr mapId="43" xpath="/ns1:Root/ns1:F2/ns1:TB__ID_cases_Cumulative_Expenditures__in___" xmlDataType="double"/>
    </xmlCellPr>
  </singleXmlCell>
  <singleXmlCell id="464" r="C45" connectionId="0">
    <xmlCellPr id="1" uniqueName="1">
      <xmlPr mapId="43" xpath="/ns1:Root/ns1:F2/ns1:TB_HIV__Cumulative_Budget__in___" xmlDataType="double"/>
    </xmlCellPr>
  </singleXmlCell>
  <singleXmlCell id="465" r="D45" connectionId="0">
    <xmlCellPr id="1" uniqueName="1">
      <xmlPr mapId="43" xpath="/ns1:Root/ns1:F2/ns1:TB_HIV__Cumulative_Expenditures__in___" xmlDataType="double"/>
    </xmlCellPr>
  </singleXmlCell>
  <singleXmlCell id="466" r="C46" connectionId="0">
    <xmlCellPr id="1" uniqueName="1">
      <xmlPr mapId="43" xpath="/ns1:Root/ns1:F2/ns1:Advocacy__Commun__SocMob_Cumulative_Budget__in___" xmlDataType="double"/>
    </xmlCellPr>
  </singleXmlCell>
  <singleXmlCell id="467" r="D46" connectionId="0">
    <xmlCellPr id="1" uniqueName="1">
      <xmlPr mapId="43" xpath="/ns1:Root/ns1:F2/ns1:Advocacy__Commun__SocMob_Cumulative_Expenditures__in___" xmlDataType="double"/>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9" r="J121" connectionId="0">
    <xmlCellPr id="1" uniqueName="1">
      <xmlPr mapId="43" xpath="/ns1:Root/ns1:Prog/ns1:Target_P3_1" xmlDataType="double"/>
    </xmlCellPr>
  </singleXmlCell>
  <singleXmlCell id="570" r="K121" connectionId="0">
    <xmlCellPr id="1" uniqueName="1">
      <xmlPr mapId="43" xpath="/ns1:Root/ns1:Prog/ns1:Target_P4_1" xmlDataType="double"/>
    </xmlCellPr>
  </singleXmlCell>
  <singleXmlCell id="571" r="L121" connectionId="0">
    <xmlCellPr id="1" uniqueName="1">
      <xmlPr mapId="43" xpath="/ns1:Root/ns1:Prog/ns1:Target_P5_1" xmlDataType="double"/>
    </xmlCellPr>
  </singleXmlCell>
  <singleXmlCell id="572" r="M121" connectionId="0">
    <xmlCellPr id="1" uniqueName="1">
      <xmlPr mapId="43" xpath="/ns1:Root/ns1:Prog/ns1:Target_P6_1" xmlDataType="double"/>
    </xmlCellPr>
  </singleXmlCell>
  <singleXmlCell id="573" r="N121" connectionId="0">
    <xmlCellPr id="1" uniqueName="1">
      <xmlPr mapId="43" xpath="/ns1:Root/ns1:Prog/ns1:Target_P7_1" xmlDataType="double"/>
    </xmlCellPr>
  </singleXmlCell>
  <singleXmlCell id="574" r="P121" connectionId="0">
    <xmlCellPr id="1" uniqueName="1">
      <xmlPr mapId="43" xpath="/ns1:Root/ns1:Prog/ns1:Target_P8_1" xmlDataType="double"/>
    </xmlCellPr>
  </singleXmlCell>
  <singleXmlCell id="577" r="H121" connectionId="0">
    <xmlCellPr id="1" uniqueName="1">
      <xmlPr mapId="43" xpath="/ns1:Root/ns1:Prog/ns1:Target_P11_1" xmlDataType="double"/>
    </xmlCellPr>
  </singleXmlCell>
  <singleXmlCell id="578" r="I121" connectionId="0">
    <xmlCellPr id="1" uniqueName="1">
      <xmlPr mapId="43" xpath="/ns1:Root/ns1:Prog/ns1:Target_P12_1" xmlDataType="double"/>
    </xmlCellPr>
  </singleXmlCell>
  <singleXmlCell id="581" r="J122" connectionId="0">
    <xmlCellPr id="1" uniqueName="1">
      <xmlPr mapId="43" xpath="/ns1:Root/ns1:Prog/ns1:Achieved__P3_1" xmlDataType="double"/>
    </xmlCellPr>
  </singleXmlCell>
  <singleXmlCell id="582" r="K122" connectionId="0">
    <xmlCellPr id="1" uniqueName="1">
      <xmlPr mapId="43" xpath="/ns1:Root/ns1:Prog/ns1:Achieved__P4_1" xmlDataType="double"/>
    </xmlCellPr>
  </singleXmlCell>
  <singleXmlCell id="583" r="L122" connectionId="0">
    <xmlCellPr id="1" uniqueName="1">
      <xmlPr mapId="43" xpath="/ns1:Root/ns1:Prog/ns1:Achieved__P5_1" xmlDataType="string"/>
    </xmlCellPr>
  </singleXmlCell>
  <singleXmlCell id="584" r="M122" connectionId="0">
    <xmlCellPr id="1" uniqueName="1">
      <xmlPr mapId="43" xpath="/ns1:Root/ns1:Prog/ns1:Achieved__P6_1" xmlDataType="string"/>
    </xmlCellPr>
  </singleXmlCell>
  <singleXmlCell id="585" r="N122" connectionId="0">
    <xmlCellPr id="1" uniqueName="1">
      <xmlPr mapId="43" xpath="/ns1:Root/ns1:Prog/ns1:Achieved__P7_1" xmlDataType="string"/>
    </xmlCellPr>
  </singleXmlCell>
  <singleXmlCell id="586" r="P122" connectionId="0">
    <xmlCellPr id="1" uniqueName="1">
      <xmlPr mapId="43" xpath="/ns1:Root/ns1:Prog/ns1:Achieved__P8_1" xmlDataType="string"/>
    </xmlCellPr>
  </singleXmlCell>
  <singleXmlCell id="589" r="H122" connectionId="0">
    <xmlCellPr id="1" uniqueName="1">
      <xmlPr mapId="43" xpath="/ns1:Root/ns1:Prog/ns1:Achieved__P11_1" xmlDataType="string"/>
    </xmlCellPr>
  </singleXmlCell>
  <singleXmlCell id="590" r="I122" connectionId="0">
    <xmlCellPr id="1" uniqueName="1">
      <xmlPr mapId="43" xpath="/ns1:Root/ns1:Prog/ns1:Achieved__P12_1" xmlDataType="string"/>
    </xmlCellPr>
  </singleXmlCell>
  <singleXmlCell id="593" r="J125" connectionId="0">
    <xmlCellPr id="1" uniqueName="1">
      <xmlPr mapId="43" xpath="/ns1:Root/ns1:Prog/ns1:Target_P3_2" xmlDataType="double"/>
    </xmlCellPr>
  </singleXmlCell>
  <singleXmlCell id="594" r="L125" connectionId="0">
    <xmlCellPr id="1" uniqueName="1">
      <xmlPr mapId="43" xpath="/ns1:Root/ns1:Prog/ns1:Target_P5_2" xmlDataType="double"/>
    </xmlCellPr>
  </singleXmlCell>
  <singleXmlCell id="595" r="M125" connectionId="0">
    <xmlCellPr id="1" uniqueName="1">
      <xmlPr mapId="43" xpath="/ns1:Root/ns1:Prog/ns1:Target_P6_2" xmlDataType="double"/>
    </xmlCellPr>
  </singleXmlCell>
  <singleXmlCell id="596" r="N125" connectionId="0">
    <xmlCellPr id="1" uniqueName="1">
      <xmlPr mapId="43" xpath="/ns1:Root/ns1:Prog/ns1:Target_P7_2" xmlDataType="double"/>
    </xmlCellPr>
  </singleXmlCell>
  <singleXmlCell id="597" r="P125" connectionId="0">
    <xmlCellPr id="1" uniqueName="1">
      <xmlPr mapId="43" xpath="/ns1:Root/ns1:Prog/ns1:Target_P8_2" xmlDataType="double"/>
    </xmlCellPr>
  </singleXmlCell>
  <singleXmlCell id="600" r="H125" connectionId="0">
    <xmlCellPr id="1" uniqueName="1">
      <xmlPr mapId="43" xpath="/ns1:Root/ns1:Prog/ns1:Target_P11_2" xmlDataType="double"/>
    </xmlCellPr>
  </singleXmlCell>
  <singleXmlCell id="601" r="I125" connectionId="0">
    <xmlCellPr id="1" uniqueName="1">
      <xmlPr mapId="43" xpath="/ns1:Root/ns1:Prog/ns1:Target_P12_2" xmlDataType="double"/>
    </xmlCellPr>
  </singleXmlCell>
  <singleXmlCell id="604" r="J126" connectionId="0">
    <xmlCellPr id="1" uniqueName="1">
      <xmlPr mapId="43" xpath="/ns1:Root/ns1:Prog/ns1:Achieved__P3_2" xmlDataType="double"/>
    </xmlCellPr>
  </singleXmlCell>
  <singleXmlCell id="605" r="K126" connectionId="0">
    <xmlCellPr id="1" uniqueName="1">
      <xmlPr mapId="43" xpath="/ns1:Root/ns1:Prog/ns1:Achieved__P4_2" xmlDataType="double"/>
    </xmlCellPr>
  </singleXmlCell>
  <singleXmlCell id="606" r="L126" connectionId="0">
    <xmlCellPr id="1" uniqueName="1">
      <xmlPr mapId="43" xpath="/ns1:Root/ns1:Prog/ns1:Achieved__P5_2" xmlDataType="string"/>
    </xmlCellPr>
  </singleXmlCell>
  <singleXmlCell id="607" r="M126" connectionId="0">
    <xmlCellPr id="1" uniqueName="1">
      <xmlPr mapId="43" xpath="/ns1:Root/ns1:Prog/ns1:Achieved__P6_2" xmlDataType="string"/>
    </xmlCellPr>
  </singleXmlCell>
  <singleXmlCell id="608" r="N126" connectionId="0">
    <xmlCellPr id="1" uniqueName="1">
      <xmlPr mapId="43" xpath="/ns1:Root/ns1:Prog/ns1:Achieved__P7_2" xmlDataType="string"/>
    </xmlCellPr>
  </singleXmlCell>
  <singleXmlCell id="609" r="P126" connectionId="0">
    <xmlCellPr id="1" uniqueName="1">
      <xmlPr mapId="43" xpath="/ns1:Root/ns1:Prog/ns1:Achieved__P8_2" xmlDataType="string"/>
    </xmlCellPr>
  </singleXmlCell>
  <singleXmlCell id="612" r="H126" connectionId="0">
    <xmlCellPr id="1" uniqueName="1">
      <xmlPr mapId="43" xpath="/ns1:Root/ns1:Prog/ns1:Achieved__P11_2" xmlDataType="string"/>
    </xmlCellPr>
  </singleXmlCell>
  <singleXmlCell id="613" r="I126" connectionId="0">
    <xmlCellPr id="1" uniqueName="1">
      <xmlPr mapId="43" xpath="/ns1:Root/ns1:Prog/ns1:Achieved__P12_2" xmlDataType="string"/>
    </xmlCellPr>
  </singleXmlCell>
  <singleXmlCell id="616" r="J117" connectionId="0">
    <xmlCellPr id="1" uniqueName="1">
      <xmlPr mapId="43" xpath="/ns1:Root/ns1:Prog/ns1:Target_P3_3" xmlDataType="double"/>
    </xmlCellPr>
  </singleXmlCell>
  <singleXmlCell id="617" r="K117" connectionId="0">
    <xmlCellPr id="1" uniqueName="1">
      <xmlPr mapId="43" xpath="/ns1:Root/ns1:Prog/ns1:Target_P4_3" xmlDataType="double"/>
    </xmlCellPr>
  </singleXmlCell>
  <singleXmlCell id="618" r="L117" connectionId="0">
    <xmlCellPr id="1" uniqueName="1">
      <xmlPr mapId="43" xpath="/ns1:Root/ns1:Prog/ns1:Target_P5_3" xmlDataType="double"/>
    </xmlCellPr>
  </singleXmlCell>
  <singleXmlCell id="619" r="M117" connectionId="0">
    <xmlCellPr id="1" uniqueName="1">
      <xmlPr mapId="43" xpath="/ns1:Root/ns1:Prog/ns1:Target_P6_3" xmlDataType="double"/>
    </xmlCellPr>
  </singleXmlCell>
  <singleXmlCell id="620" r="N117" connectionId="0">
    <xmlCellPr id="1" uniqueName="1">
      <xmlPr mapId="43" xpath="/ns1:Root/ns1:Prog/ns1:Target_P7_3" xmlDataType="double"/>
    </xmlCellPr>
  </singleXmlCell>
  <singleXmlCell id="621" r="P117" connectionId="0">
    <xmlCellPr id="1" uniqueName="1">
      <xmlPr mapId="43" xpath="/ns1:Root/ns1:Prog/ns1:Target_P8_3" xmlDataType="double"/>
    </xmlCellPr>
  </singleXmlCell>
  <singleXmlCell id="624" r="H117" connectionId="0">
    <xmlCellPr id="1" uniqueName="1">
      <xmlPr mapId="43" xpath="/ns1:Root/ns1:Prog/ns1:Target_P11_3" xmlDataType="string"/>
    </xmlCellPr>
  </singleXmlCell>
  <singleXmlCell id="625" r="I117" connectionId="0">
    <xmlCellPr id="1" uniqueName="1">
      <xmlPr mapId="43" xpath="/ns1:Root/ns1:Prog/ns1:Target_P12_3" xmlDataType="double"/>
    </xmlCellPr>
  </singleXmlCell>
  <singleXmlCell id="628" r="J118" connectionId="0">
    <xmlCellPr id="1" uniqueName="1">
      <xmlPr mapId="43" xpath="/ns1:Root/ns1:Prog/ns1:Achieved__P3_3" xmlDataType="string"/>
    </xmlCellPr>
  </singleXmlCell>
  <singleXmlCell id="629" r="K118" connectionId="0">
    <xmlCellPr id="1" uniqueName="1">
      <xmlPr mapId="43" xpath="/ns1:Root/ns1:Prog/ns1:Achieved__P4_3" xmlDataType="double"/>
    </xmlCellPr>
  </singleXmlCell>
  <singleXmlCell id="630" r="L118" connectionId="0">
    <xmlCellPr id="1" uniqueName="1">
      <xmlPr mapId="43" xpath="/ns1:Root/ns1:Prog/ns1:Achieved__P5_3" xmlDataType="string"/>
    </xmlCellPr>
  </singleXmlCell>
  <singleXmlCell id="631" r="M118" connectionId="0">
    <xmlCellPr id="1" uniqueName="1">
      <xmlPr mapId="43" xpath="/ns1:Root/ns1:Prog/ns1:Achieved__P6_3" xmlDataType="string"/>
    </xmlCellPr>
  </singleXmlCell>
  <singleXmlCell id="632" r="N118" connectionId="0">
    <xmlCellPr id="1" uniqueName="1">
      <xmlPr mapId="43" xpath="/ns1:Root/ns1:Prog/ns1:Achieved__P7_3" xmlDataType="string"/>
    </xmlCellPr>
  </singleXmlCell>
  <singleXmlCell id="633" r="P118" connectionId="0">
    <xmlCellPr id="1" uniqueName="1">
      <xmlPr mapId="43" xpath="/ns1:Root/ns1:Prog/ns1:Achieved__P8_3" xmlDataType="string"/>
    </xmlCellPr>
  </singleXmlCell>
  <singleXmlCell id="636" r="H118" connectionId="0">
    <xmlCellPr id="1" uniqueName="1">
      <xmlPr mapId="43" xpath="/ns1:Root/ns1:Prog/ns1:Achieved__P11_3" xmlDataType="string"/>
    </xmlCellPr>
  </singleXmlCell>
  <singleXmlCell id="637" r="I118" connectionId="0">
    <xmlCellPr id="1" uniqueName="1">
      <xmlPr mapId="43" xpath="/ns1:Root/ns1:Prog/ns1:Achieved__P12_3" xmlDataType="string"/>
    </xmlCellPr>
  </singleXmlCell>
  <singleXmlCell id="664" r="J119" connectionId="0">
    <xmlCellPr id="1" uniqueName="1">
      <xmlPr mapId="43" xpath="/ns1:Root/ns1:Prog/ns1:Target_P3_5" xmlDataType="double"/>
    </xmlCellPr>
  </singleXmlCell>
  <singleXmlCell id="665" r="K119" connectionId="0">
    <xmlCellPr id="1" uniqueName="1">
      <xmlPr mapId="43" xpath="/ns1:Root/ns1:Prog/ns1:Target_P4_5" xmlDataType="double"/>
    </xmlCellPr>
  </singleXmlCell>
  <singleXmlCell id="666" r="L119" connectionId="0">
    <xmlCellPr id="1" uniqueName="1">
      <xmlPr mapId="43" xpath="/ns1:Root/ns1:Prog/ns1:Target_P5_5" xmlDataType="double"/>
    </xmlCellPr>
  </singleXmlCell>
  <singleXmlCell id="667" r="M119" connectionId="0">
    <xmlCellPr id="1" uniqueName="1">
      <xmlPr mapId="43" xpath="/ns1:Root/ns1:Prog/ns1:Target_P6_5" xmlDataType="double"/>
    </xmlCellPr>
  </singleXmlCell>
  <singleXmlCell id="668" r="N119" connectionId="0">
    <xmlCellPr id="1" uniqueName="1">
      <xmlPr mapId="43" xpath="/ns1:Root/ns1:Prog/ns1:Target_P7_5" xmlDataType="double"/>
    </xmlCellPr>
  </singleXmlCell>
  <singleXmlCell id="669" r="P119" connectionId="0">
    <xmlCellPr id="1" uniqueName="1">
      <xmlPr mapId="43" xpath="/ns1:Root/ns1:Prog/ns1:Target_P8_5" xmlDataType="double"/>
    </xmlCellPr>
  </singleXmlCell>
  <singleXmlCell id="672" r="H119" connectionId="0">
    <xmlCellPr id="1" uniqueName="1">
      <xmlPr mapId="43" xpath="/ns1:Root/ns1:Prog/ns1:Target_P11_5" xmlDataType="double"/>
    </xmlCellPr>
  </singleXmlCell>
  <singleXmlCell id="673" r="I119" connectionId="0">
    <xmlCellPr id="1" uniqueName="1">
      <xmlPr mapId="43" xpath="/ns1:Root/ns1:Prog/ns1:Target_P12_5" xmlDataType="double"/>
    </xmlCellPr>
  </singleXmlCell>
  <singleXmlCell id="676" r="J120" connectionId="0">
    <xmlCellPr id="1" uniqueName="1">
      <xmlPr mapId="43" xpath="/ns1:Root/ns1:Prog/ns1:Achieved__P3_5" xmlDataType="double"/>
    </xmlCellPr>
  </singleXmlCell>
  <singleXmlCell id="677" r="K120" connectionId="0">
    <xmlCellPr id="1" uniqueName="1">
      <xmlPr mapId="43" xpath="/ns1:Root/ns1:Prog/ns1:Achieved__P4_5" xmlDataType="double"/>
    </xmlCellPr>
  </singleXmlCell>
  <singleXmlCell id="678" r="L120" connectionId="0">
    <xmlCellPr id="1" uniqueName="1">
      <xmlPr mapId="43" xpath="/ns1:Root/ns1:Prog/ns1:Achieved__P5_5" xmlDataType="string"/>
    </xmlCellPr>
  </singleXmlCell>
  <singleXmlCell id="679" r="M120" connectionId="0">
    <xmlCellPr id="1" uniqueName="1">
      <xmlPr mapId="43" xpath="/ns1:Root/ns1:Prog/ns1:Achieved__P6_5" xmlDataType="string"/>
    </xmlCellPr>
  </singleXmlCell>
  <singleXmlCell id="680" r="N120" connectionId="0">
    <xmlCellPr id="1" uniqueName="1">
      <xmlPr mapId="43" xpath="/ns1:Root/ns1:Prog/ns1:Achieved__P7_5" xmlDataType="string"/>
    </xmlCellPr>
  </singleXmlCell>
  <singleXmlCell id="681" r="P120" connectionId="0">
    <xmlCellPr id="1" uniqueName="1">
      <xmlPr mapId="43" xpath="/ns1:Root/ns1:Prog/ns1:Achieved__P8_5" xmlDataType="string"/>
    </xmlCellPr>
  </singleXmlCell>
  <singleXmlCell id="684" r="H120" connectionId="0">
    <xmlCellPr id="1" uniqueName="1">
      <xmlPr mapId="43" xpath="/ns1:Root/ns1:Prog/ns1:Achieved__P11_5" xmlDataType="string"/>
    </xmlCellPr>
  </singleXmlCell>
  <singleXmlCell id="685" r="I120" connectionId="0">
    <xmlCellPr id="1" uniqueName="1">
      <xmlPr mapId="43" xpath="/ns1:Root/ns1:Prog/ns1:Achieved__P12_5" xmlDataType="string"/>
    </xmlCellPr>
  </singleXmlCell>
  <singleXmlCell id="688" r="J123" connectionId="0">
    <xmlCellPr id="1" uniqueName="1">
      <xmlPr mapId="43" xpath="/ns1:Root/ns1:Prog/ns1:Target_P3_6" xmlDataType="double"/>
    </xmlCellPr>
  </singleXmlCell>
  <singleXmlCell id="689" r="K123" connectionId="0">
    <xmlCellPr id="1" uniqueName="1">
      <xmlPr mapId="43" xpath="/ns1:Root/ns1:Prog/ns1:Target_P4_6" xmlDataType="double"/>
    </xmlCellPr>
  </singleXmlCell>
  <singleXmlCell id="690" r="L123" connectionId="0">
    <xmlCellPr id="1" uniqueName="1">
      <xmlPr mapId="43" xpath="/ns1:Root/ns1:Prog/ns1:Target_P5_6" xmlDataType="double"/>
    </xmlCellPr>
  </singleXmlCell>
  <singleXmlCell id="691" r="M123" connectionId="0">
    <xmlCellPr id="1" uniqueName="1">
      <xmlPr mapId="43" xpath="/ns1:Root/ns1:Prog/ns1:Target_P6_6" xmlDataType="double"/>
    </xmlCellPr>
  </singleXmlCell>
  <singleXmlCell id="692" r="N123" connectionId="0">
    <xmlCellPr id="1" uniqueName="1">
      <xmlPr mapId="43" xpath="/ns1:Root/ns1:Prog/ns1:Target_P7_6" xmlDataType="double"/>
    </xmlCellPr>
  </singleXmlCell>
  <singleXmlCell id="693" r="P123" connectionId="0">
    <xmlCellPr id="1" uniqueName="1">
      <xmlPr mapId="43" xpath="/ns1:Root/ns1:Prog/ns1:Target_P8_6" xmlDataType="double"/>
    </xmlCellPr>
  </singleXmlCell>
  <singleXmlCell id="696" r="H123" connectionId="0">
    <xmlCellPr id="1" uniqueName="1">
      <xmlPr mapId="43" xpath="/ns1:Root/ns1:Prog/ns1:Target_P11_6" xmlDataType="double"/>
    </xmlCellPr>
  </singleXmlCell>
  <singleXmlCell id="697" r="I123" connectionId="0">
    <xmlCellPr id="1" uniqueName="1">
      <xmlPr mapId="43" xpath="/ns1:Root/ns1:Prog/ns1:Target_P12_6" xmlDataType="double"/>
    </xmlCellPr>
  </singleXmlCell>
  <singleXmlCell id="700" r="J124" connectionId="0">
    <xmlCellPr id="1" uniqueName="1">
      <xmlPr mapId="43" xpath="/ns1:Root/ns1:Prog/ns1:Achieved__P3_6" xmlDataType="double"/>
    </xmlCellPr>
  </singleXmlCell>
  <singleXmlCell id="701" r="K124" connectionId="0">
    <xmlCellPr id="1" uniqueName="1">
      <xmlPr mapId="43" xpath="/ns1:Root/ns1:Prog/ns1:Achieved__P4_6" xmlDataType="double"/>
    </xmlCellPr>
  </singleXmlCell>
  <singleXmlCell id="702" r="L124" connectionId="0">
    <xmlCellPr id="1" uniqueName="1">
      <xmlPr mapId="43" xpath="/ns1:Root/ns1:Prog/ns1:Achieved__P5_6" xmlDataType="string"/>
    </xmlCellPr>
  </singleXmlCell>
  <singleXmlCell id="703" r="M124" connectionId="0">
    <xmlCellPr id="1" uniqueName="1">
      <xmlPr mapId="43" xpath="/ns1:Root/ns1:Prog/ns1:Achieved__P6_6" xmlDataType="string"/>
    </xmlCellPr>
  </singleXmlCell>
  <singleXmlCell id="704" r="N124" connectionId="0">
    <xmlCellPr id="1" uniqueName="1">
      <xmlPr mapId="43" xpath="/ns1:Root/ns1:Prog/ns1:Achieved__P7_6" xmlDataType="string"/>
    </xmlCellPr>
  </singleXmlCell>
  <singleXmlCell id="705" r="P124" connectionId="0">
    <xmlCellPr id="1" uniqueName="1">
      <xmlPr mapId="43" xpath="/ns1:Root/ns1:Prog/ns1:Achieved__P8_6" xmlDataType="string"/>
    </xmlCellPr>
  </singleXmlCell>
  <singleXmlCell id="708" r="H124" connectionId="0">
    <xmlCellPr id="1" uniqueName="1">
      <xmlPr mapId="43" xpath="/ns1:Root/ns1:Prog/ns1:Achieved__P11_6" xmlDataType="string"/>
    </xmlCellPr>
  </singleXmlCell>
  <singleXmlCell id="709" r="I124" connectionId="0">
    <xmlCellPr id="1" uniqueName="1">
      <xmlPr mapId="43" xpath="/ns1:Root/ns1:Prog/ns1:Achieved__P12_6" xmlDataType="string"/>
    </xmlCellPr>
  </singleXmlCell>
  <singleXmlCell id="712" r="J127" connectionId="0">
    <xmlCellPr id="1" uniqueName="1">
      <xmlPr mapId="43" xpath="/ns1:Root/ns1:Prog/ns1:Target_P3_7" xmlDataType="double"/>
    </xmlCellPr>
  </singleXmlCell>
  <singleXmlCell id="713" r="K127" connectionId="0">
    <xmlCellPr id="1" uniqueName="1">
      <xmlPr mapId="43" xpath="/ns1:Root/ns1:Prog/ns1:Target_P4_7" xmlDataType="double"/>
    </xmlCellPr>
  </singleXmlCell>
  <singleXmlCell id="714" r="L127" connectionId="0">
    <xmlCellPr id="1" uniqueName="1">
      <xmlPr mapId="43" xpath="/ns1:Root/ns1:Prog/ns1:Target_P5_7" xmlDataType="double"/>
    </xmlCellPr>
  </singleXmlCell>
  <singleXmlCell id="715" r="M127" connectionId="0">
    <xmlCellPr id="1" uniqueName="1">
      <xmlPr mapId="43" xpath="/ns1:Root/ns1:Prog/ns1:Target_P6_7" xmlDataType="double"/>
    </xmlCellPr>
  </singleXmlCell>
  <singleXmlCell id="716" r="N127" connectionId="0">
    <xmlCellPr id="1" uniqueName="1">
      <xmlPr mapId="43" xpath="/ns1:Root/ns1:Prog/ns1:Target_P7_7" xmlDataType="double"/>
    </xmlCellPr>
  </singleXmlCell>
  <singleXmlCell id="717" r="P127" connectionId="0">
    <xmlCellPr id="1" uniqueName="1">
      <xmlPr mapId="43" xpath="/ns1:Root/ns1:Prog/ns1:Target_P8_7" xmlDataType="double"/>
    </xmlCellPr>
  </singleXmlCell>
  <singleXmlCell id="720" r="H127" connectionId="0">
    <xmlCellPr id="1" uniqueName="1">
      <xmlPr mapId="43" xpath="/ns1:Root/ns1:Prog/ns1:Target_P11_7" xmlDataType="double"/>
    </xmlCellPr>
  </singleXmlCell>
  <singleXmlCell id="721" r="I127" connectionId="0">
    <xmlCellPr id="1" uniqueName="1">
      <xmlPr mapId="43" xpath="/ns1:Root/ns1:Prog/ns1:Target_P12_7" xmlDataType="double"/>
    </xmlCellPr>
  </singleXmlCell>
  <singleXmlCell id="724" r="J128" connectionId="0">
    <xmlCellPr id="1" uniqueName="1">
      <xmlPr mapId="43" xpath="/ns1:Root/ns1:Prog/ns1:Achieved__P3_7" xmlDataType="double"/>
    </xmlCellPr>
  </singleXmlCell>
  <singleXmlCell id="725" r="K128" connectionId="0">
    <xmlCellPr id="1" uniqueName="1">
      <xmlPr mapId="43" xpath="/ns1:Root/ns1:Prog/ns1:Achieved__P4_7" xmlDataType="double"/>
    </xmlCellPr>
  </singleXmlCell>
  <singleXmlCell id="726" r="L128" connectionId="0">
    <xmlCellPr id="1" uniqueName="1">
      <xmlPr mapId="43" xpath="/ns1:Root/ns1:Prog/ns1:Achieved__P5_7" xmlDataType="string"/>
    </xmlCellPr>
  </singleXmlCell>
  <singleXmlCell id="727" r="M128" connectionId="0">
    <xmlCellPr id="1" uniqueName="1">
      <xmlPr mapId="43" xpath="/ns1:Root/ns1:Prog/ns1:Achieved__P6_7" xmlDataType="string"/>
    </xmlCellPr>
  </singleXmlCell>
  <singleXmlCell id="728" r="N128" connectionId="0">
    <xmlCellPr id="1" uniqueName="1">
      <xmlPr mapId="43" xpath="/ns1:Root/ns1:Prog/ns1:Achieved__P7_7" xmlDataType="string"/>
    </xmlCellPr>
  </singleXmlCell>
  <singleXmlCell id="729" r="P128" connectionId="0">
    <xmlCellPr id="1" uniqueName="1">
      <xmlPr mapId="43" xpath="/ns1:Root/ns1:Prog/ns1:Achieved__P8_7" xmlDataType="string"/>
    </xmlCellPr>
  </singleXmlCell>
  <singleXmlCell id="732" r="H128" connectionId="0">
    <xmlCellPr id="1" uniqueName="1">
      <xmlPr mapId="43" xpath="/ns1:Root/ns1:Prog/ns1:Achieved__P11_7" xmlDataType="string"/>
    </xmlCellPr>
  </singleXmlCell>
  <singleXmlCell id="733" r="I128" connectionId="0">
    <xmlCellPr id="1" uniqueName="1">
      <xmlPr mapId="43" xpath="/ns1:Root/ns1:Prog/ns1:Achieved__P12_7" xmlDataType="string"/>
    </xmlCellPr>
  </singleXmlCell>
  <singleXmlCell id="760" r="J131" connectionId="0">
    <xmlCellPr id="1" uniqueName="1">
      <xmlPr mapId="43" xpath="/ns1:Root/ns1:Prog/ns1:Target_P3_9" xmlDataType="double"/>
    </xmlCellPr>
  </singleXmlCell>
  <singleXmlCell id="761" r="K131" connectionId="0">
    <xmlCellPr id="1" uniqueName="1">
      <xmlPr mapId="43" xpath="/ns1:Root/ns1:Prog/ns1:Target_P4_9" xmlDataType="double"/>
    </xmlCellPr>
  </singleXmlCell>
  <singleXmlCell id="762" r="L131" connectionId="0">
    <xmlCellPr id="1" uniqueName="1">
      <xmlPr mapId="43" xpath="/ns1:Root/ns1:Prog/ns1:Target_P5_9" xmlDataType="double"/>
    </xmlCellPr>
  </singleXmlCell>
  <singleXmlCell id="763" r="M131" connectionId="0">
    <xmlCellPr id="1" uniqueName="1">
      <xmlPr mapId="43" xpath="/ns1:Root/ns1:Prog/ns1:Target_P6_9" xmlDataType="double"/>
    </xmlCellPr>
  </singleXmlCell>
  <singleXmlCell id="764" r="N131" connectionId="0">
    <xmlCellPr id="1" uniqueName="1">
      <xmlPr mapId="43" xpath="/ns1:Root/ns1:Prog/ns1:Target_P7_9" xmlDataType="double"/>
    </xmlCellPr>
  </singleXmlCell>
  <singleXmlCell id="765" r="P131" connectionId="0">
    <xmlCellPr id="1" uniqueName="1">
      <xmlPr mapId="43" xpath="/ns1:Root/ns1:Prog/ns1:Target_P8_9" xmlDataType="double"/>
    </xmlCellPr>
  </singleXmlCell>
  <singleXmlCell id="768" r="H131" connectionId="0">
    <xmlCellPr id="1" uniqueName="1">
      <xmlPr mapId="43" xpath="/ns1:Root/ns1:Prog/ns1:Target_P11_9" xmlDataType="double"/>
    </xmlCellPr>
  </singleXmlCell>
  <singleXmlCell id="769" r="I131" connectionId="0">
    <xmlCellPr id="1" uniqueName="1">
      <xmlPr mapId="43" xpath="/ns1:Root/ns1:Prog/ns1:Target_P12_9" xmlDataType="double"/>
    </xmlCellPr>
  </singleXmlCell>
  <singleXmlCell id="772" r="J132" connectionId="0">
    <xmlCellPr id="1" uniqueName="1">
      <xmlPr mapId="43" xpath="/ns1:Root/ns1:Prog/ns1:Achieved__P3_9" xmlDataType="string"/>
    </xmlCellPr>
  </singleXmlCell>
  <singleXmlCell id="773" r="K132" connectionId="0">
    <xmlCellPr id="1" uniqueName="1">
      <xmlPr mapId="43" xpath="/ns1:Root/ns1:Prog/ns1:Achieved__P4_9" xmlDataType="double"/>
    </xmlCellPr>
  </singleXmlCell>
  <singleXmlCell id="774" r="L132" connectionId="0">
    <xmlCellPr id="1" uniqueName="1">
      <xmlPr mapId="43" xpath="/ns1:Root/ns1:Prog/ns1:Achieved__P5_9" xmlDataType="string"/>
    </xmlCellPr>
  </singleXmlCell>
  <singleXmlCell id="775" r="M132" connectionId="0">
    <xmlCellPr id="1" uniqueName="1">
      <xmlPr mapId="43" xpath="/ns1:Root/ns1:Prog/ns1:Achieved__P6_9" xmlDataType="string"/>
    </xmlCellPr>
  </singleXmlCell>
  <singleXmlCell id="776" r="N132" connectionId="0">
    <xmlCellPr id="1" uniqueName="1">
      <xmlPr mapId="43" xpath="/ns1:Root/ns1:Prog/ns1:Achieved__P7_9" xmlDataType="string"/>
    </xmlCellPr>
  </singleXmlCell>
  <singleXmlCell id="777" r="P132" connectionId="0">
    <xmlCellPr id="1" uniqueName="1">
      <xmlPr mapId="43" xpath="/ns1:Root/ns1:Prog/ns1:Achieved__P8_9" xmlDataType="string"/>
    </xmlCellPr>
  </singleXmlCell>
  <singleXmlCell id="780" r="H132" connectionId="0">
    <xmlCellPr id="1" uniqueName="1">
      <xmlPr mapId="43" xpath="/ns1:Root/ns1:Prog/ns1:Achieved__P11_9" xmlDataType="string"/>
    </xmlCellPr>
  </singleXmlCell>
  <singleXmlCell id="781" r="I132" connectionId="0">
    <xmlCellPr id="1" uniqueName="1">
      <xmlPr mapId="43" xpath="/ns1:Root/ns1:Prog/ns1:Achieved__P12_9" xmlDataType="string"/>
    </xmlCellPr>
  </singleXmlCell>
  <singleXmlCell id="784" r="J133" connectionId="0">
    <xmlCellPr id="1" uniqueName="1">
      <xmlPr mapId="43" xpath="/ns1:Root/ns1:Prog/ns1:Target_P3" xmlDataType="string"/>
    </xmlCellPr>
  </singleXmlCell>
  <singleXmlCell id="785" r="K133" connectionId="0">
    <xmlCellPr id="1" uniqueName="1">
      <xmlPr mapId="43" xpath="/ns1:Root/ns1:Prog/ns1:Target_P4" xmlDataType="double"/>
    </xmlCellPr>
  </singleXmlCell>
  <singleXmlCell id="786" r="L133" connectionId="0">
    <xmlCellPr id="1" uniqueName="1">
      <xmlPr mapId="43" xpath="/ns1:Root/ns1:Prog/ns1:Target_P5" xmlDataType="string"/>
    </xmlCellPr>
  </singleXmlCell>
  <singleXmlCell id="787" r="M133" connectionId="0">
    <xmlCellPr id="1" uniqueName="1">
      <xmlPr mapId="43" xpath="/ns1:Root/ns1:Prog/ns1:Target_P6" xmlDataType="string"/>
    </xmlCellPr>
  </singleXmlCell>
  <singleXmlCell id="788" r="N133" connectionId="0">
    <xmlCellPr id="1" uniqueName="1">
      <xmlPr mapId="43" xpath="/ns1:Root/ns1:Prog/ns1:Target_P7" xmlDataType="string"/>
    </xmlCellPr>
  </singleXmlCell>
  <singleXmlCell id="789" r="P133" connectionId="0">
    <xmlCellPr id="1" uniqueName="1">
      <xmlPr mapId="43" xpath="/ns1:Root/ns1:Prog/ns1:Target_P8" xmlDataType="string"/>
    </xmlCellPr>
  </singleXmlCell>
  <singleXmlCell id="792" r="H133" connectionId="0">
    <xmlCellPr id="1" uniqueName="1">
      <xmlPr mapId="43" xpath="/ns1:Root/ns1:Prog/ns1:Target_P11" xmlDataType="string"/>
    </xmlCellPr>
  </singleXmlCell>
  <singleXmlCell id="793" r="I133" connectionId="0">
    <xmlCellPr id="1" uniqueName="1">
      <xmlPr mapId="43" xpath="/ns1:Root/ns1:Prog/ns1:Target_P12" xmlDataType="string"/>
    </xmlCellPr>
  </singleXmlCell>
  <singleXmlCell id="796" r="J134" connectionId="0">
    <xmlCellPr id="1" uniqueName="1">
      <xmlPr mapId="43" xpath="/ns1:Root/ns1:Prog/ns1:Achieved__P3" xmlDataType="string"/>
    </xmlCellPr>
  </singleXmlCell>
  <singleXmlCell id="797" r="K134" connectionId="0">
    <xmlCellPr id="1" uniqueName="1">
      <xmlPr mapId="43" xpath="/ns1:Root/ns1:Prog/ns1:Achieved__P4" xmlDataType="string"/>
    </xmlCellPr>
  </singleXmlCell>
  <singleXmlCell id="798" r="L134" connectionId="0">
    <xmlCellPr id="1" uniqueName="1">
      <xmlPr mapId="43" xpath="/ns1:Root/ns1:Prog/ns1:Achieved__P5" xmlDataType="string"/>
    </xmlCellPr>
  </singleXmlCell>
  <singleXmlCell id="799" r="M134" connectionId="0">
    <xmlCellPr id="1" uniqueName="1">
      <xmlPr mapId="43" xpath="/ns1:Root/ns1:Prog/ns1:Achieved__P6" xmlDataType="string"/>
    </xmlCellPr>
  </singleXmlCell>
  <singleXmlCell id="800" r="N134" connectionId="0">
    <xmlCellPr id="1" uniqueName="1">
      <xmlPr mapId="43" xpath="/ns1:Root/ns1:Prog/ns1:Achieved__P7" xmlDataType="string"/>
    </xmlCellPr>
  </singleXmlCell>
  <singleXmlCell id="801" r="P134" connectionId="0">
    <xmlCellPr id="1" uniqueName="1">
      <xmlPr mapId="43" xpath="/ns1:Root/ns1:Prog/ns1:Achieved__P8" xmlDataType="string"/>
    </xmlCellPr>
  </singleXmlCell>
  <singleXmlCell id="804" r="H134" connectionId="0">
    <xmlCellPr id="1" uniqueName="1">
      <xmlPr mapId="43" xpath="/ns1:Root/ns1:Prog/ns1:Achieved__P11" xmlDataType="string"/>
    </xmlCellPr>
  </singleXmlCell>
  <singleXmlCell id="805" r="I134" connectionId="0">
    <xmlCellPr id="1" uniqueName="1">
      <xmlPr mapId="43" xpath="/ns1:Root/ns1:Prog/ns1:Achieved__P12" xmlDataType="string"/>
    </xmlCellPr>
  </singleXmlCell>
  <singleXmlCell id="806" r="K125" connectionId="0">
    <xmlCellPr id="1" uniqueName="1">
      <xmlPr mapId="43" xpath="/ns1:Root/ns1:Prog/ns1:Target_P4_2" xmlDataType="double"/>
    </xmlCellPr>
  </singleXmlCell>
  <singleXmlCell id="807" r="B117" connectionId="0">
    <xmlCellPr id="1" uniqueName="1">
      <xmlPr mapId="43" xpath="/ns1:Root/ns1:P1" xmlDataType="string"/>
    </xmlCellPr>
  </singleXmlCell>
  <singleXmlCell id="808" r="E117" connectionId="0">
    <xmlCellPr id="1" uniqueName="1">
      <xmlPr mapId="43" xpath="/ns1:Root/ns1:P1_Code" xmlDataType="double"/>
    </xmlCellPr>
  </singleXmlCell>
  <singleXmlCell id="809" r="F121" connectionId="0">
    <xmlCellPr id="1" uniqueName="1">
      <xmlPr mapId="43" xpath="/ns1:Root/ns1:P1_Tied" xmlDataType="string"/>
    </xmlCellPr>
  </singleXmlCell>
  <singleXmlCell id="810" r="B121" connectionId="0">
    <xmlCellPr id="1" uniqueName="1">
      <xmlPr mapId="43" xpath="/ns1:Root/ns1:P2" xmlDataType="string"/>
    </xmlCellPr>
  </singleXmlCell>
  <singleXmlCell id="811" r="E121" connectionId="0">
    <xmlCellPr id="1" uniqueName="1">
      <xmlPr mapId="43" xpath="/ns1:Root/ns1:P2_Code" xmlDataType="double"/>
    </xmlCellPr>
  </singleXmlCell>
  <singleXmlCell id="812" r="F125" connectionId="0">
    <xmlCellPr id="1" uniqueName="1">
      <xmlPr mapId="43" xpath="/ns1:Root/ns1:P2_Tied" xmlDataType="string"/>
    </xmlCellPr>
  </singleXmlCell>
  <singleXmlCell id="813" r="B123" connectionId="0">
    <xmlCellPr id="1" uniqueName="1">
      <xmlPr mapId="43" xpath="/ns1:Root/ns1:P3" xmlDataType="string"/>
    </xmlCellPr>
  </singleXmlCell>
  <singleXmlCell id="814" r="E123" connectionId="0">
    <xmlCellPr id="1" uniqueName="1">
      <xmlPr mapId="43" xpath="/ns1:Root/ns1:P3_Code" xmlDataType="double"/>
    </xmlCellPr>
  </singleXmlCell>
  <singleXmlCell id="815" r="F117" connectionId="0">
    <xmlCellPr id="1" uniqueName="1">
      <xmlPr mapId="43" xpath="/ns1:Root/ns1:P3_Tied" xmlDataType="string"/>
    </xmlCellPr>
  </singleXmlCell>
  <singleXmlCell id="819" r="B125" connectionId="0">
    <xmlCellPr id="1" uniqueName="1">
      <xmlPr mapId="43" xpath="/ns1:Root/ns1:P5" xmlDataType="string"/>
    </xmlCellPr>
  </singleXmlCell>
  <singleXmlCell id="820" r="E125" connectionId="0">
    <xmlCellPr id="1" uniqueName="1">
      <xmlPr mapId="43" xpath="/ns1:Root/ns1:P5_Code" xmlDataType="double"/>
    </xmlCellPr>
  </singleXmlCell>
  <singleXmlCell id="821" r="F119" connectionId="0">
    <xmlCellPr id="1" uniqueName="1">
      <xmlPr mapId="43" xpath="/ns1:Root/ns1:P5_Tied" xmlDataType="string"/>
    </xmlCellPr>
  </singleXmlCell>
  <singleXmlCell id="822" r="B119" connectionId="0">
    <xmlCellPr id="1" uniqueName="1">
      <xmlPr mapId="43" xpath="/ns1:Root/ns1:P6" xmlDataType="string"/>
    </xmlCellPr>
  </singleXmlCell>
  <singleXmlCell id="823" r="E119" connectionId="0">
    <xmlCellPr id="1" uniqueName="1">
      <xmlPr mapId="43" xpath="/ns1:Root/ns1:P6_Code" xmlDataType="double"/>
    </xmlCellPr>
  </singleXmlCell>
  <singleXmlCell id="824" r="F123" connectionId="0">
    <xmlCellPr id="1" uniqueName="1">
      <xmlPr mapId="43" xpath="/ns1:Root/ns1:P6_Tied" xmlDataType="string"/>
    </xmlCellPr>
  </singleXmlCell>
  <singleXmlCell id="825" r="B127" connectionId="0">
    <xmlCellPr id="1" uniqueName="1">
      <xmlPr mapId="43" xpath="/ns1:Root/ns1:P7" xmlDataType="string"/>
    </xmlCellPr>
  </singleXmlCell>
  <singleXmlCell id="826" r="E127" connectionId="0">
    <xmlCellPr id="1" uniqueName="1">
      <xmlPr mapId="43" xpath="/ns1:Root/ns1:P7_Code" xmlDataType="double"/>
    </xmlCellPr>
  </singleXmlCell>
  <singleXmlCell id="827" r="F127" connectionId="0">
    <xmlCellPr id="1" uniqueName="1">
      <xmlPr mapId="43" xpath="/ns1:Root/ns1:P7_Tied" xmlDataType="string"/>
    </xmlCellPr>
  </singleXmlCell>
  <singleXmlCell id="831" r="B131" connectionId="0">
    <xmlCellPr id="1" uniqueName="1">
      <xmlPr mapId="43" xpath="/ns1:Root/ns1:P9" xmlDataType="string"/>
    </xmlCellPr>
  </singleXmlCell>
  <singleXmlCell id="832" r="E131" connectionId="0">
    <xmlCellPr id="1" uniqueName="1">
      <xmlPr mapId="43" xpath="/ns1:Root/ns1:P9_Code" xmlDataType="double"/>
    </xmlCellPr>
  </singleXmlCell>
  <singleXmlCell id="833" r="F131" connectionId="0">
    <xmlCellPr id="1" uniqueName="1">
      <xmlPr mapId="43" xpath="/ns1:Root/ns1:P9_Tied" xmlDataType="double"/>
    </xmlCellPr>
  </singleXmlCell>
  <singleXmlCell id="834" r="B133" connectionId="0">
    <xmlCellPr id="1" uniqueName="1">
      <xmlPr mapId="43" xpath="/ns1:Root/ns1:P10" xmlDataType="string"/>
    </xmlCellPr>
  </singleXmlCell>
  <singleXmlCell id="835" r="E133" connectionId="0">
    <xmlCellPr id="1" uniqueName="1">
      <xmlPr mapId="43" xpath="/ns1:Root/ns1:P10_Code" xmlDataType="double"/>
    </xmlCellPr>
  </singleXmlCell>
  <singleXmlCell id="836" r="F133"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zoomScaleNormal="100" workbookViewId="0">
      <selection activeCell="B2" sqref="B2:L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517" t="str">
        <f>+'Detalii despre Grant'!B3:J3</f>
        <v>Dashboard:  Moldova - TB</v>
      </c>
      <c r="C2" s="517"/>
      <c r="D2" s="517"/>
      <c r="E2" s="517"/>
      <c r="F2" s="517"/>
      <c r="G2" s="517"/>
      <c r="H2" s="517"/>
      <c r="I2" s="517"/>
      <c r="J2" s="517"/>
      <c r="K2" s="517"/>
      <c r="L2" s="517"/>
      <c r="M2" s="1"/>
      <c r="N2" s="1"/>
      <c r="O2" s="1"/>
    </row>
    <row r="4" spans="2:15" ht="21">
      <c r="B4" s="518" t="str">
        <f>+IF('Introducerea datelor'!G6="Please Select", "",'Introducerea datelor'!G6) &amp;"  "&amp;+IF('Introducerea datelor'!G8="Please Select", "", 'Introducerea datelor'!G8&amp;",  ")&amp;+IF('Introducerea datelor'!I8="Please Select","",'Introducerea datelor'!I8)</f>
        <v>TB  Round 9,  Phase 2</v>
      </c>
      <c r="C4" s="518"/>
      <c r="D4" s="518"/>
      <c r="E4" s="519"/>
      <c r="F4" s="186"/>
      <c r="G4" s="186"/>
      <c r="H4" s="271" t="str">
        <f>+'Introducerea datelor'!B6&amp;" "&amp;+'Introducerea datelor'!C6</f>
        <v>Grant No.(Nr. Grantului): MOL-T-PAS</v>
      </c>
      <c r="I4" s="271"/>
      <c r="J4" s="185"/>
      <c r="K4" s="186"/>
      <c r="L4" s="186"/>
    </row>
    <row r="22" spans="2:12" ht="26.25">
      <c r="B22" s="520" t="s">
        <v>366</v>
      </c>
      <c r="C22" s="521"/>
      <c r="D22" s="521"/>
      <c r="E22" s="521"/>
      <c r="F22" s="521"/>
      <c r="G22" s="521"/>
      <c r="H22" s="521"/>
      <c r="I22" s="521"/>
      <c r="J22" s="521"/>
      <c r="K22" s="521"/>
      <c r="L22" s="521"/>
    </row>
  </sheetData>
  <sheetProtection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scale="80"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workbookViewId="0">
      <selection activeCell="G24" sqref="G24"/>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868" t="str">
        <f>'Detalii despre Grant'!B3:J3</f>
        <v>Dashboard:  Moldova - TB</v>
      </c>
      <c r="C3" s="868"/>
      <c r="D3" s="868"/>
      <c r="E3" s="868"/>
      <c r="F3" s="868"/>
      <c r="G3" s="868"/>
      <c r="H3" s="868"/>
      <c r="I3" s="1"/>
    </row>
    <row r="6" spans="2:15" ht="18.75">
      <c r="B6" s="854" t="s">
        <v>323</v>
      </c>
      <c r="C6" s="854"/>
      <c r="D6" s="854"/>
      <c r="E6" s="854"/>
      <c r="F6" s="854"/>
      <c r="G6" s="854"/>
      <c r="H6" s="854"/>
    </row>
    <row r="8" spans="2:15" ht="18.75">
      <c r="B8" s="59" t="s">
        <v>62</v>
      </c>
      <c r="C8" s="59" t="s">
        <v>65</v>
      </c>
      <c r="D8" s="59" t="s">
        <v>66</v>
      </c>
      <c r="E8" s="59" t="s">
        <v>71</v>
      </c>
      <c r="F8" s="59" t="s">
        <v>300</v>
      </c>
      <c r="G8" s="59" t="s">
        <v>282</v>
      </c>
      <c r="H8" s="59" t="s">
        <v>304</v>
      </c>
      <c r="I8" s="60" t="s">
        <v>109</v>
      </c>
      <c r="J8" s="60" t="s">
        <v>147</v>
      </c>
      <c r="M8" s="19"/>
      <c r="N8" s="19"/>
      <c r="O8" s="19"/>
    </row>
    <row r="9" spans="2:15">
      <c r="B9" s="82" t="s">
        <v>357</v>
      </c>
      <c r="C9" s="82" t="s">
        <v>357</v>
      </c>
      <c r="D9" s="82" t="s">
        <v>357</v>
      </c>
      <c r="E9" s="82" t="s">
        <v>357</v>
      </c>
      <c r="F9" s="82" t="s">
        <v>357</v>
      </c>
      <c r="G9" s="82" t="s">
        <v>357</v>
      </c>
      <c r="H9" s="82" t="s">
        <v>357</v>
      </c>
      <c r="I9" s="326" t="s">
        <v>357</v>
      </c>
      <c r="J9" s="82" t="s">
        <v>357</v>
      </c>
      <c r="M9" s="19"/>
      <c r="N9" s="19"/>
      <c r="O9" s="19"/>
    </row>
    <row r="10" spans="2:15">
      <c r="B10" s="54" t="s">
        <v>57</v>
      </c>
      <c r="C10" s="54" t="s">
        <v>48</v>
      </c>
      <c r="D10" s="54" t="s">
        <v>46</v>
      </c>
      <c r="E10" s="54" t="s">
        <v>47</v>
      </c>
      <c r="F10" s="54" t="s">
        <v>127</v>
      </c>
      <c r="G10" s="333" t="s">
        <v>73</v>
      </c>
      <c r="H10" s="57" t="s">
        <v>78</v>
      </c>
      <c r="I10" s="26" t="s">
        <v>308</v>
      </c>
      <c r="J10" s="82" t="s">
        <v>148</v>
      </c>
      <c r="M10" s="19"/>
      <c r="N10" s="19"/>
      <c r="O10" s="19"/>
    </row>
    <row r="11" spans="2:15">
      <c r="B11" s="54" t="s">
        <v>63</v>
      </c>
      <c r="C11" s="54" t="s">
        <v>43</v>
      </c>
      <c r="D11" s="54" t="s">
        <v>49</v>
      </c>
      <c r="E11" s="54" t="s">
        <v>45</v>
      </c>
      <c r="F11" s="54" t="s">
        <v>128</v>
      </c>
      <c r="G11" s="333" t="s">
        <v>74</v>
      </c>
      <c r="H11" s="57" t="s">
        <v>79</v>
      </c>
      <c r="I11" s="26" t="s">
        <v>309</v>
      </c>
      <c r="J11" s="82" t="s">
        <v>149</v>
      </c>
      <c r="M11" s="19"/>
      <c r="N11" s="19"/>
      <c r="O11" s="19"/>
    </row>
    <row r="12" spans="2:15">
      <c r="B12" s="54" t="s">
        <v>64</v>
      </c>
      <c r="D12" s="54" t="s">
        <v>52</v>
      </c>
      <c r="E12" s="54" t="s">
        <v>53</v>
      </c>
      <c r="F12" s="54" t="s">
        <v>129</v>
      </c>
      <c r="G12" s="333" t="s">
        <v>75</v>
      </c>
      <c r="H12" s="57" t="s">
        <v>80</v>
      </c>
      <c r="I12" s="26" t="s">
        <v>310</v>
      </c>
      <c r="J12" s="82" t="s">
        <v>150</v>
      </c>
      <c r="M12" s="159"/>
      <c r="N12" s="19"/>
      <c r="O12" s="19"/>
    </row>
    <row r="13" spans="2:15">
      <c r="B13" s="54" t="s">
        <v>105</v>
      </c>
      <c r="D13" s="54" t="s">
        <v>54</v>
      </c>
      <c r="E13" s="55"/>
      <c r="F13" s="54" t="s">
        <v>130</v>
      </c>
      <c r="G13" s="333" t="s">
        <v>76</v>
      </c>
      <c r="H13" s="57" t="s">
        <v>81</v>
      </c>
      <c r="I13" s="26" t="s">
        <v>311</v>
      </c>
      <c r="J13" s="82" t="s">
        <v>151</v>
      </c>
      <c r="M13" s="159"/>
      <c r="N13" s="19"/>
      <c r="O13" s="19"/>
    </row>
    <row r="14" spans="2:15">
      <c r="B14" s="54" t="s">
        <v>106</v>
      </c>
      <c r="D14" s="54" t="s">
        <v>67</v>
      </c>
      <c r="F14" s="54" t="s">
        <v>138</v>
      </c>
      <c r="G14" s="333" t="s">
        <v>77</v>
      </c>
      <c r="H14" s="57" t="s">
        <v>82</v>
      </c>
      <c r="I14" s="26" t="s">
        <v>285</v>
      </c>
      <c r="J14" s="82" t="s">
        <v>152</v>
      </c>
      <c r="M14" s="159"/>
      <c r="N14" s="19"/>
      <c r="O14" s="19"/>
    </row>
    <row r="15" spans="2:15">
      <c r="D15" s="54" t="s">
        <v>68</v>
      </c>
      <c r="F15" s="54" t="s">
        <v>139</v>
      </c>
      <c r="H15" s="57" t="s">
        <v>83</v>
      </c>
      <c r="I15" s="26" t="s">
        <v>94</v>
      </c>
      <c r="J15" s="82" t="s">
        <v>153</v>
      </c>
      <c r="M15" s="159"/>
      <c r="N15" s="19"/>
      <c r="O15" s="19"/>
    </row>
    <row r="16" spans="2:15">
      <c r="D16" s="54" t="s">
        <v>69</v>
      </c>
      <c r="F16" s="54" t="s">
        <v>140</v>
      </c>
      <c r="H16" s="57" t="s">
        <v>84</v>
      </c>
      <c r="I16" s="26" t="s">
        <v>95</v>
      </c>
      <c r="J16" s="82" t="s">
        <v>154</v>
      </c>
      <c r="M16" s="159"/>
      <c r="N16" s="19"/>
      <c r="O16" s="19"/>
    </row>
    <row r="17" spans="4:15">
      <c r="D17" s="54" t="s">
        <v>70</v>
      </c>
      <c r="F17" s="54" t="s">
        <v>141</v>
      </c>
      <c r="H17" s="57" t="s">
        <v>85</v>
      </c>
      <c r="I17" s="26" t="s">
        <v>96</v>
      </c>
      <c r="J17" s="82" t="s">
        <v>155</v>
      </c>
      <c r="M17" s="159"/>
      <c r="N17" s="19"/>
      <c r="O17" s="19"/>
    </row>
    <row r="18" spans="4:15">
      <c r="D18" s="54" t="s">
        <v>44</v>
      </c>
      <c r="F18" s="54" t="s">
        <v>142</v>
      </c>
      <c r="H18" s="57" t="s">
        <v>86</v>
      </c>
      <c r="I18" s="26" t="s">
        <v>97</v>
      </c>
      <c r="J18" s="82" t="s">
        <v>156</v>
      </c>
      <c r="M18" s="159"/>
      <c r="N18" s="19"/>
      <c r="O18" s="19"/>
    </row>
    <row r="19" spans="4:15">
      <c r="D19" s="332" t="s">
        <v>354</v>
      </c>
      <c r="F19" s="54" t="s">
        <v>143</v>
      </c>
      <c r="H19" s="57" t="s">
        <v>87</v>
      </c>
      <c r="I19" s="26" t="s">
        <v>98</v>
      </c>
      <c r="J19" s="82" t="s">
        <v>157</v>
      </c>
      <c r="M19" s="159"/>
      <c r="N19" s="19"/>
      <c r="O19" s="19"/>
    </row>
    <row r="20" spans="4:15">
      <c r="D20" s="56"/>
      <c r="F20" s="54" t="s">
        <v>144</v>
      </c>
      <c r="H20" s="57" t="s">
        <v>280</v>
      </c>
      <c r="I20" s="26" t="s">
        <v>99</v>
      </c>
      <c r="J20" s="82" t="s">
        <v>158</v>
      </c>
      <c r="M20" s="19"/>
      <c r="N20" s="19"/>
      <c r="O20" s="19"/>
    </row>
    <row r="21" spans="4:15">
      <c r="D21" s="58"/>
      <c r="F21" s="54" t="s">
        <v>301</v>
      </c>
      <c r="H21" s="58"/>
      <c r="I21" s="26" t="s">
        <v>101</v>
      </c>
      <c r="J21" s="82" t="s">
        <v>159</v>
      </c>
      <c r="M21" s="19"/>
      <c r="N21" s="19"/>
      <c r="O21" s="19"/>
    </row>
    <row r="22" spans="4:15">
      <c r="H22" s="58"/>
      <c r="I22" s="26" t="s">
        <v>102</v>
      </c>
      <c r="J22" s="82" t="s">
        <v>160</v>
      </c>
      <c r="M22" s="19"/>
      <c r="N22" s="19"/>
      <c r="O22" s="19"/>
    </row>
    <row r="23" spans="4:15">
      <c r="I23" s="26" t="s">
        <v>100</v>
      </c>
      <c r="J23" s="82" t="s">
        <v>161</v>
      </c>
      <c r="M23" s="19"/>
      <c r="N23" s="19"/>
      <c r="O23" s="19"/>
    </row>
    <row r="24" spans="4:15">
      <c r="I24" s="26" t="s">
        <v>317</v>
      </c>
      <c r="J24" s="82" t="s">
        <v>162</v>
      </c>
      <c r="M24" s="19"/>
      <c r="N24" s="19"/>
      <c r="O24" s="19"/>
    </row>
    <row r="25" spans="4:15">
      <c r="I25" s="42"/>
      <c r="J25" s="82" t="s">
        <v>163</v>
      </c>
    </row>
    <row r="26" spans="4:15">
      <c r="I26" s="26" t="s">
        <v>318</v>
      </c>
      <c r="J26" s="82" t="s">
        <v>164</v>
      </c>
    </row>
    <row r="27" spans="4:15">
      <c r="I27" s="26" t="s">
        <v>316</v>
      </c>
      <c r="J27" s="82" t="s">
        <v>165</v>
      </c>
    </row>
    <row r="28" spans="4:15">
      <c r="I28" s="42"/>
      <c r="J28" s="82" t="s">
        <v>166</v>
      </c>
    </row>
    <row r="29" spans="4:15">
      <c r="I29" s="42"/>
      <c r="J29" s="82" t="s">
        <v>167</v>
      </c>
    </row>
    <row r="30" spans="4:15">
      <c r="I30" s="42"/>
      <c r="J30" s="82" t="s">
        <v>168</v>
      </c>
    </row>
    <row r="31" spans="4:15">
      <c r="J31" s="82" t="s">
        <v>169</v>
      </c>
    </row>
    <row r="32" spans="4:15">
      <c r="J32" s="82" t="s">
        <v>170</v>
      </c>
    </row>
    <row r="33" spans="10:10">
      <c r="J33" s="82" t="s">
        <v>171</v>
      </c>
    </row>
    <row r="34" spans="10:10">
      <c r="J34" s="82" t="s">
        <v>172</v>
      </c>
    </row>
    <row r="35" spans="10:10">
      <c r="J35" s="82" t="s">
        <v>173</v>
      </c>
    </row>
    <row r="36" spans="10:10">
      <c r="J36" s="82" t="s">
        <v>173</v>
      </c>
    </row>
    <row r="37" spans="10:10">
      <c r="J37" s="82" t="s">
        <v>174</v>
      </c>
    </row>
    <row r="38" spans="10:10">
      <c r="J38" s="82" t="s">
        <v>175</v>
      </c>
    </row>
    <row r="39" spans="10:10">
      <c r="J39" s="82" t="s">
        <v>176</v>
      </c>
    </row>
    <row r="40" spans="10:10">
      <c r="J40" s="82" t="s">
        <v>177</v>
      </c>
    </row>
    <row r="41" spans="10:10">
      <c r="J41" s="82" t="s">
        <v>178</v>
      </c>
    </row>
    <row r="42" spans="10:10">
      <c r="J42" s="82" t="s">
        <v>179</v>
      </c>
    </row>
    <row r="43" spans="10:10">
      <c r="J43" s="82" t="s">
        <v>180</v>
      </c>
    </row>
    <row r="44" spans="10:10">
      <c r="J44" s="82" t="s">
        <v>181</v>
      </c>
    </row>
    <row r="45" spans="10:10">
      <c r="J45" s="82" t="s">
        <v>182</v>
      </c>
    </row>
    <row r="46" spans="10:10">
      <c r="J46" s="82" t="s">
        <v>183</v>
      </c>
    </row>
    <row r="47" spans="10:10">
      <c r="J47" s="82" t="s">
        <v>184</v>
      </c>
    </row>
    <row r="48" spans="10:10">
      <c r="J48" s="82" t="s">
        <v>185</v>
      </c>
    </row>
    <row r="49" spans="10:10">
      <c r="J49" s="82" t="s">
        <v>186</v>
      </c>
    </row>
    <row r="50" spans="10:10">
      <c r="J50" s="82" t="s">
        <v>187</v>
      </c>
    </row>
    <row r="51" spans="10:10">
      <c r="J51" s="82" t="s">
        <v>188</v>
      </c>
    </row>
    <row r="52" spans="10:10">
      <c r="J52" s="82" t="s">
        <v>189</v>
      </c>
    </row>
    <row r="53" spans="10:10">
      <c r="J53" s="82" t="s">
        <v>190</v>
      </c>
    </row>
    <row r="54" spans="10:10">
      <c r="J54" s="82" t="s">
        <v>191</v>
      </c>
    </row>
    <row r="55" spans="10:10">
      <c r="J55" s="82" t="s">
        <v>192</v>
      </c>
    </row>
    <row r="56" spans="10:10">
      <c r="J56" s="82" t="s">
        <v>193</v>
      </c>
    </row>
    <row r="57" spans="10:10">
      <c r="J57" s="82" t="s">
        <v>194</v>
      </c>
    </row>
    <row r="58" spans="10:10">
      <c r="J58" s="82" t="s">
        <v>195</v>
      </c>
    </row>
    <row r="59" spans="10:10">
      <c r="J59" s="82" t="s">
        <v>196</v>
      </c>
    </row>
    <row r="60" spans="10:10">
      <c r="J60" s="82" t="s">
        <v>197</v>
      </c>
    </row>
    <row r="61" spans="10:10">
      <c r="J61" s="82" t="s">
        <v>198</v>
      </c>
    </row>
    <row r="62" spans="10:10">
      <c r="J62" s="82" t="s">
        <v>199</v>
      </c>
    </row>
    <row r="63" spans="10:10">
      <c r="J63" s="82" t="s">
        <v>200</v>
      </c>
    </row>
    <row r="64" spans="10:10">
      <c r="J64" s="82" t="s">
        <v>201</v>
      </c>
    </row>
    <row r="65" spans="10:10">
      <c r="J65" s="82" t="s">
        <v>202</v>
      </c>
    </row>
    <row r="66" spans="10:10">
      <c r="J66" s="82" t="s">
        <v>203</v>
      </c>
    </row>
    <row r="67" spans="10:10">
      <c r="J67" s="82" t="s">
        <v>204</v>
      </c>
    </row>
    <row r="68" spans="10:10">
      <c r="J68" s="82" t="s">
        <v>205</v>
      </c>
    </row>
    <row r="69" spans="10:10">
      <c r="J69" s="82" t="s">
        <v>206</v>
      </c>
    </row>
    <row r="70" spans="10:10">
      <c r="J70" s="82" t="s">
        <v>207</v>
      </c>
    </row>
    <row r="71" spans="10:10">
      <c r="J71" s="82" t="s">
        <v>208</v>
      </c>
    </row>
    <row r="72" spans="10:10">
      <c r="J72" s="82" t="s">
        <v>209</v>
      </c>
    </row>
    <row r="73" spans="10:10">
      <c r="J73" s="82" t="s">
        <v>210</v>
      </c>
    </row>
    <row r="74" spans="10:10">
      <c r="J74" s="82" t="s">
        <v>211</v>
      </c>
    </row>
    <row r="75" spans="10:10">
      <c r="J75" s="82" t="s">
        <v>212</v>
      </c>
    </row>
    <row r="76" spans="10:10">
      <c r="J76" s="82" t="s">
        <v>213</v>
      </c>
    </row>
    <row r="77" spans="10:10">
      <c r="J77" s="82" t="s">
        <v>214</v>
      </c>
    </row>
    <row r="78" spans="10:10">
      <c r="J78" s="82" t="s">
        <v>215</v>
      </c>
    </row>
    <row r="79" spans="10:10">
      <c r="J79" s="82" t="s">
        <v>216</v>
      </c>
    </row>
    <row r="80" spans="10:10">
      <c r="J80" s="82" t="s">
        <v>217</v>
      </c>
    </row>
    <row r="81" spans="10:10">
      <c r="J81" s="82" t="s">
        <v>218</v>
      </c>
    </row>
    <row r="82" spans="10:10">
      <c r="J82" s="82" t="s">
        <v>219</v>
      </c>
    </row>
    <row r="83" spans="10:10">
      <c r="J83" s="82" t="s">
        <v>220</v>
      </c>
    </row>
    <row r="84" spans="10:10">
      <c r="J84" s="82" t="s">
        <v>221</v>
      </c>
    </row>
    <row r="85" spans="10:10">
      <c r="J85" s="82" t="s">
        <v>222</v>
      </c>
    </row>
    <row r="86" spans="10:10">
      <c r="J86" s="82" t="s">
        <v>223</v>
      </c>
    </row>
    <row r="87" spans="10:10">
      <c r="J87" s="82" t="s">
        <v>224</v>
      </c>
    </row>
    <row r="88" spans="10:10">
      <c r="J88" s="82" t="s">
        <v>225</v>
      </c>
    </row>
    <row r="89" spans="10:10">
      <c r="J89" s="82" t="s">
        <v>226</v>
      </c>
    </row>
    <row r="90" spans="10:10">
      <c r="J90" s="82" t="s">
        <v>227</v>
      </c>
    </row>
    <row r="91" spans="10:10">
      <c r="J91" s="82" t="s">
        <v>228</v>
      </c>
    </row>
    <row r="92" spans="10:10">
      <c r="J92" s="82" t="s">
        <v>229</v>
      </c>
    </row>
    <row r="93" spans="10:10">
      <c r="J93" s="82" t="s">
        <v>230</v>
      </c>
    </row>
    <row r="94" spans="10:10">
      <c r="J94" s="82" t="s">
        <v>231</v>
      </c>
    </row>
    <row r="95" spans="10:10">
      <c r="J95" s="82" t="s">
        <v>232</v>
      </c>
    </row>
    <row r="96" spans="10:10">
      <c r="J96" s="82" t="s">
        <v>233</v>
      </c>
    </row>
    <row r="97" spans="10:10">
      <c r="J97" s="82" t="s">
        <v>234</v>
      </c>
    </row>
    <row r="98" spans="10:10">
      <c r="J98" s="82" t="s">
        <v>235</v>
      </c>
    </row>
    <row r="99" spans="10:10">
      <c r="J99" s="82" t="s">
        <v>236</v>
      </c>
    </row>
    <row r="100" spans="10:10">
      <c r="J100" s="82" t="s">
        <v>237</v>
      </c>
    </row>
    <row r="101" spans="10:10">
      <c r="J101" s="82" t="s">
        <v>238</v>
      </c>
    </row>
    <row r="102" spans="10:10">
      <c r="J102" s="82" t="s">
        <v>239</v>
      </c>
    </row>
    <row r="103" spans="10:10">
      <c r="J103" s="82" t="s">
        <v>240</v>
      </c>
    </row>
    <row r="104" spans="10:10">
      <c r="J104" s="82" t="s">
        <v>241</v>
      </c>
    </row>
    <row r="105" spans="10:10">
      <c r="J105" s="82" t="s">
        <v>242</v>
      </c>
    </row>
    <row r="106" spans="10:10">
      <c r="J106" s="82" t="s">
        <v>243</v>
      </c>
    </row>
    <row r="107" spans="10:10">
      <c r="J107" s="82" t="s">
        <v>244</v>
      </c>
    </row>
    <row r="108" spans="10:10">
      <c r="J108" s="82" t="s">
        <v>245</v>
      </c>
    </row>
    <row r="109" spans="10:10">
      <c r="J109" s="82" t="s">
        <v>246</v>
      </c>
    </row>
    <row r="110" spans="10:10">
      <c r="J110" s="82" t="s">
        <v>247</v>
      </c>
    </row>
    <row r="111" spans="10:10">
      <c r="J111" s="82" t="s">
        <v>104</v>
      </c>
    </row>
    <row r="112" spans="10:10">
      <c r="J112" s="82" t="s">
        <v>248</v>
      </c>
    </row>
    <row r="113" spans="10:10">
      <c r="J113" s="82" t="s">
        <v>249</v>
      </c>
    </row>
    <row r="114" spans="10:10">
      <c r="J114" s="82" t="s">
        <v>250</v>
      </c>
    </row>
    <row r="115" spans="10:10">
      <c r="J115" s="82" t="s">
        <v>251</v>
      </c>
    </row>
    <row r="116" spans="10:10">
      <c r="J116" s="82" t="s">
        <v>252</v>
      </c>
    </row>
    <row r="117" spans="10:10">
      <c r="J117" s="82" t="s">
        <v>253</v>
      </c>
    </row>
    <row r="118" spans="10:10">
      <c r="J118" s="82" t="s">
        <v>254</v>
      </c>
    </row>
    <row r="119" spans="10:10">
      <c r="J119" s="82" t="s">
        <v>255</v>
      </c>
    </row>
    <row r="120" spans="10:10">
      <c r="J120" s="82" t="s">
        <v>256</v>
      </c>
    </row>
    <row r="121" spans="10:10">
      <c r="J121" s="82" t="s">
        <v>257</v>
      </c>
    </row>
    <row r="122" spans="10:10">
      <c r="J122" s="82" t="s">
        <v>258</v>
      </c>
    </row>
    <row r="123" spans="10:10">
      <c r="J123" s="82" t="s">
        <v>259</v>
      </c>
    </row>
    <row r="124" spans="10:10">
      <c r="J124" s="82" t="s">
        <v>260</v>
      </c>
    </row>
    <row r="125" spans="10:10">
      <c r="J125" s="82" t="s">
        <v>261</v>
      </c>
    </row>
    <row r="126" spans="10:10">
      <c r="J126" s="82" t="s">
        <v>262</v>
      </c>
    </row>
    <row r="127" spans="10:10">
      <c r="J127" s="82" t="s">
        <v>263</v>
      </c>
    </row>
    <row r="128" spans="10:10">
      <c r="J128" s="82" t="s">
        <v>264</v>
      </c>
    </row>
    <row r="129" spans="10:10">
      <c r="J129" s="82" t="s">
        <v>265</v>
      </c>
    </row>
    <row r="130" spans="10:10">
      <c r="J130" s="82" t="s">
        <v>266</v>
      </c>
    </row>
    <row r="131" spans="10:10">
      <c r="J131" s="82" t="s">
        <v>267</v>
      </c>
    </row>
    <row r="132" spans="10:10">
      <c r="J132" s="82" t="s">
        <v>268</v>
      </c>
    </row>
    <row r="133" spans="10:10">
      <c r="J133" s="82" t="s">
        <v>269</v>
      </c>
    </row>
    <row r="134" spans="10:10">
      <c r="J134" s="82" t="s">
        <v>270</v>
      </c>
    </row>
    <row r="135" spans="10:10">
      <c r="J135" s="82" t="s">
        <v>271</v>
      </c>
    </row>
    <row r="136" spans="10:10">
      <c r="J136" s="82" t="s">
        <v>272</v>
      </c>
    </row>
    <row r="137" spans="10:10">
      <c r="J137" s="82" t="s">
        <v>273</v>
      </c>
    </row>
    <row r="138" spans="10:10">
      <c r="J138" s="82" t="s">
        <v>274</v>
      </c>
    </row>
    <row r="139" spans="10:10">
      <c r="J139" s="82" t="s">
        <v>275</v>
      </c>
    </row>
    <row r="140" spans="10:10">
      <c r="J140" s="82" t="s">
        <v>276</v>
      </c>
    </row>
    <row r="141" spans="10:10">
      <c r="J141" s="82" t="s">
        <v>277</v>
      </c>
    </row>
    <row r="142" spans="10:10">
      <c r="J142" s="82" t="s">
        <v>278</v>
      </c>
    </row>
    <row r="143" spans="10:10">
      <c r="J143" s="82" t="s">
        <v>279</v>
      </c>
    </row>
    <row r="144" spans="10:10">
      <c r="J144" s="324"/>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49"/>
  <sheetViews>
    <sheetView showGridLines="0" topLeftCell="E1" zoomScale="85" zoomScaleNormal="85" workbookViewId="0">
      <pane ySplit="2" topLeftCell="A18" activePane="bottomLeft" state="frozen"/>
      <selection activeCell="E22" sqref="E22"/>
      <selection pane="bottomLeft" activeCell="E1" sqref="E1"/>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8.42578125" customWidth="1"/>
    <col min="14" max="14" width="0.140625" style="35" hidden="1" customWidth="1"/>
    <col min="15" max="15" width="0.42578125" style="35"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47" t="str">
        <f>+"Dashboard: "&amp;" "&amp;+IF('Introducerea datelor'!C4="Please Select","",'Introducerea datelor'!C4&amp;" - ")&amp;+IF('Introducerea datelor'!G6="Please Select","",'Introducerea datelor'!G6)</f>
        <v>Dashboard:  Moldova - TB</v>
      </c>
      <c r="C2" s="547"/>
      <c r="D2" s="547"/>
      <c r="E2" s="547"/>
      <c r="F2" s="547"/>
      <c r="G2" s="547"/>
      <c r="H2" s="547"/>
      <c r="I2" s="547"/>
      <c r="J2" s="547"/>
      <c r="K2" s="547"/>
      <c r="L2" s="547"/>
      <c r="M2" s="547"/>
    </row>
    <row r="3" spans="1:15" ht="15.75" customHeight="1">
      <c r="A3" s="3"/>
      <c r="B3" s="179"/>
      <c r="C3" s="179"/>
      <c r="D3" s="179"/>
      <c r="E3" s="179"/>
      <c r="F3" s="179"/>
      <c r="G3" s="179"/>
      <c r="H3" s="179"/>
      <c r="I3" s="179"/>
      <c r="J3" s="179"/>
      <c r="K3" s="180"/>
      <c r="L3" s="180"/>
      <c r="M3" s="3"/>
    </row>
    <row r="5" spans="1:15" ht="23.25">
      <c r="B5" s="548" t="s">
        <v>297</v>
      </c>
      <c r="C5" s="548"/>
      <c r="D5" s="548"/>
      <c r="E5" s="548"/>
      <c r="F5" s="548"/>
      <c r="G5" s="548"/>
      <c r="H5" s="548"/>
      <c r="I5" s="548"/>
      <c r="J5" s="548"/>
      <c r="K5" s="548"/>
      <c r="L5" s="548"/>
      <c r="M5" s="548"/>
      <c r="N5" s="548"/>
      <c r="O5" s="548"/>
    </row>
    <row r="7" spans="1:15" ht="21">
      <c r="B7" s="549" t="s">
        <v>286</v>
      </c>
      <c r="C7" s="550"/>
      <c r="D7" s="551"/>
      <c r="E7" s="549" t="s">
        <v>287</v>
      </c>
      <c r="F7" s="550"/>
      <c r="G7" s="550"/>
      <c r="H7" s="550"/>
      <c r="I7" s="551"/>
      <c r="J7" s="549" t="s">
        <v>288</v>
      </c>
      <c r="K7" s="550"/>
      <c r="L7" s="551"/>
      <c r="M7" s="549" t="s">
        <v>338</v>
      </c>
      <c r="N7" s="550"/>
      <c r="O7" s="551"/>
    </row>
    <row r="8" spans="1:15" ht="72.75" customHeight="1">
      <c r="B8" s="552" t="str">
        <f>+'Introducerea datelor'!B27</f>
        <v>F1:  Budget and disbursements by Global Fund (Bugetul și debursările de către Fondul Global)</v>
      </c>
      <c r="C8" s="558"/>
      <c r="D8" s="559"/>
      <c r="E8" s="563" t="s">
        <v>397</v>
      </c>
      <c r="F8" s="564"/>
      <c r="G8" s="564"/>
      <c r="H8" s="564"/>
      <c r="I8" s="565"/>
      <c r="J8" s="529" t="s">
        <v>339</v>
      </c>
      <c r="K8" s="530"/>
      <c r="L8" s="531"/>
      <c r="M8" s="529" t="s">
        <v>362</v>
      </c>
      <c r="N8" s="530"/>
      <c r="O8" s="531"/>
    </row>
    <row r="9" spans="1:15" ht="83.25" customHeight="1">
      <c r="B9" s="552" t="str">
        <f>+'Introducerea datelor'!B36</f>
        <v>F2:  Budget and actual expenditures by Grant Objective (Bugetul și cheltuielile actuale după Obiectivele Grantului)</v>
      </c>
      <c r="C9" s="558"/>
      <c r="D9" s="559"/>
      <c r="E9" s="541" t="s">
        <v>347</v>
      </c>
      <c r="F9" s="542"/>
      <c r="G9" s="542"/>
      <c r="H9" s="542"/>
      <c r="I9" s="543"/>
      <c r="J9" s="529" t="s">
        <v>341</v>
      </c>
      <c r="K9" s="530"/>
      <c r="L9" s="531"/>
      <c r="M9" s="529" t="s">
        <v>362</v>
      </c>
      <c r="N9" s="530"/>
      <c r="O9" s="531"/>
    </row>
    <row r="10" spans="1:15" ht="152.25" customHeight="1">
      <c r="B10" s="532" t="str">
        <f>+'Introducerea datelor'!B49</f>
        <v>F3:Disbursements and expenditures (Debursări și cheltuieli)</v>
      </c>
      <c r="C10" s="553"/>
      <c r="D10" s="554"/>
      <c r="E10" s="541" t="s">
        <v>363</v>
      </c>
      <c r="F10" s="542"/>
      <c r="G10" s="542"/>
      <c r="H10" s="542"/>
      <c r="I10" s="543"/>
      <c r="J10" s="529" t="s">
        <v>348</v>
      </c>
      <c r="K10" s="530"/>
      <c r="L10" s="531"/>
      <c r="M10" s="529" t="s">
        <v>340</v>
      </c>
      <c r="N10" s="530"/>
      <c r="O10" s="531"/>
    </row>
    <row r="11" spans="1:15" ht="202.5" customHeight="1">
      <c r="B11" s="532" t="str">
        <f>+'Introducerea datelor'!B58</f>
        <v xml:space="preserve">F4:  Latest PR reporting and disbursement cycle (Ultima perioadă de raportare și debursare a RP) </v>
      </c>
      <c r="C11" s="533"/>
      <c r="D11" s="534"/>
      <c r="E11" s="541" t="s">
        <v>367</v>
      </c>
      <c r="F11" s="542"/>
      <c r="G11" s="542"/>
      <c r="H11" s="542"/>
      <c r="I11" s="543"/>
      <c r="J11" s="529" t="s">
        <v>349</v>
      </c>
      <c r="K11" s="530"/>
      <c r="L11" s="531"/>
      <c r="M11" s="529" t="s">
        <v>291</v>
      </c>
      <c r="N11" s="530"/>
      <c r="O11" s="531"/>
    </row>
    <row r="12" spans="1:15" s="19" customFormat="1">
      <c r="B12" s="528"/>
      <c r="C12" s="528"/>
      <c r="D12" s="528"/>
      <c r="E12" s="536"/>
      <c r="F12" s="536"/>
      <c r="G12" s="536"/>
      <c r="H12" s="536"/>
      <c r="I12" s="536"/>
      <c r="J12" s="536"/>
      <c r="K12" s="536"/>
      <c r="L12" s="536"/>
      <c r="M12" s="536"/>
      <c r="N12" s="536"/>
      <c r="O12" s="536"/>
    </row>
    <row r="13" spans="1:15" s="19" customFormat="1">
      <c r="B13" s="535"/>
      <c r="C13" s="535"/>
      <c r="D13" s="535"/>
      <c r="E13" s="537"/>
      <c r="F13" s="537"/>
      <c r="G13" s="537"/>
      <c r="H13" s="537"/>
      <c r="I13" s="537"/>
      <c r="J13" s="537"/>
      <c r="K13" s="537"/>
      <c r="L13" s="537"/>
      <c r="M13" s="537"/>
      <c r="N13" s="537"/>
      <c r="O13" s="537"/>
    </row>
    <row r="14" spans="1:15" s="19" customFormat="1">
      <c r="B14" s="535"/>
      <c r="C14" s="535"/>
      <c r="D14" s="535"/>
      <c r="E14" s="537"/>
      <c r="F14" s="537"/>
      <c r="G14" s="537"/>
      <c r="H14" s="537"/>
      <c r="I14" s="537"/>
      <c r="J14" s="537"/>
      <c r="K14" s="537"/>
      <c r="L14" s="537"/>
      <c r="M14" s="537"/>
      <c r="N14" s="537"/>
      <c r="O14" s="537"/>
    </row>
    <row r="15" spans="1:15" s="19" customFormat="1">
      <c r="B15" s="535"/>
      <c r="C15" s="535"/>
      <c r="D15" s="535"/>
      <c r="E15" s="537"/>
      <c r="F15" s="537"/>
      <c r="G15" s="537"/>
      <c r="H15" s="537"/>
      <c r="I15" s="537"/>
      <c r="J15" s="537"/>
      <c r="K15" s="537"/>
      <c r="L15" s="537"/>
      <c r="M15" s="537"/>
      <c r="N15" s="537"/>
      <c r="O15" s="537"/>
    </row>
    <row r="16" spans="1:15" ht="23.25">
      <c r="B16" s="548" t="s">
        <v>298</v>
      </c>
      <c r="C16" s="548"/>
      <c r="D16" s="548"/>
      <c r="E16" s="548"/>
      <c r="F16" s="548"/>
      <c r="G16" s="548"/>
      <c r="H16" s="548"/>
      <c r="I16" s="548"/>
      <c r="J16" s="548"/>
      <c r="K16" s="548"/>
      <c r="L16" s="548"/>
      <c r="M16" s="548"/>
      <c r="N16" s="548"/>
      <c r="O16" s="548"/>
    </row>
    <row r="18" spans="1:15" ht="21">
      <c r="B18" s="538" t="s">
        <v>286</v>
      </c>
      <c r="C18" s="539"/>
      <c r="D18" s="540"/>
      <c r="E18" s="538" t="s">
        <v>287</v>
      </c>
      <c r="F18" s="539"/>
      <c r="G18" s="539"/>
      <c r="H18" s="539"/>
      <c r="I18" s="540"/>
      <c r="J18" s="538" t="s">
        <v>288</v>
      </c>
      <c r="K18" s="539"/>
      <c r="L18" s="540"/>
      <c r="M18" s="538" t="s">
        <v>289</v>
      </c>
      <c r="N18" s="539"/>
      <c r="O18" s="540"/>
    </row>
    <row r="19" spans="1:15" ht="80.25" customHeight="1">
      <c r="B19" s="552" t="str">
        <f>+'Introducerea datelor'!B69</f>
        <v xml:space="preserve">M1:  Status of Conditions Precedent (CPs) and Time Bound Actions (TBAs) (Statutul Condițiilor Precedente și a Acțiunilor Prestabilite în Timp) </v>
      </c>
      <c r="C19" s="542"/>
      <c r="D19" s="543"/>
      <c r="E19" s="541" t="s">
        <v>296</v>
      </c>
      <c r="F19" s="542"/>
      <c r="G19" s="542"/>
      <c r="H19" s="542"/>
      <c r="I19" s="543"/>
      <c r="J19" s="529" t="s">
        <v>342</v>
      </c>
      <c r="K19" s="530"/>
      <c r="L19" s="531"/>
      <c r="M19" s="529" t="s">
        <v>343</v>
      </c>
      <c r="N19" s="530"/>
      <c r="O19" s="531"/>
    </row>
    <row r="20" spans="1:15" ht="58.5" customHeight="1">
      <c r="B20" s="552" t="str">
        <f>+'Introducerea datelor'!B76</f>
        <v xml:space="preserve">M2:  Status of key PR management positions (Statutul pozițiilor cheie a RP) </v>
      </c>
      <c r="C20" s="542"/>
      <c r="D20" s="543"/>
      <c r="E20" s="541" t="s">
        <v>364</v>
      </c>
      <c r="F20" s="542"/>
      <c r="G20" s="542"/>
      <c r="H20" s="542"/>
      <c r="I20" s="543"/>
      <c r="J20" s="529" t="s">
        <v>293</v>
      </c>
      <c r="K20" s="530"/>
      <c r="L20" s="531"/>
      <c r="M20" s="529" t="s">
        <v>292</v>
      </c>
      <c r="N20" s="530"/>
      <c r="O20" s="531"/>
    </row>
    <row r="21" spans="1:15" ht="110.25" customHeight="1">
      <c r="B21" s="552" t="str">
        <f>+'Introducerea datelor'!B81</f>
        <v xml:space="preserve">M3:  Contractual arrangements (SRs)  (Aranjamente contractuale (SR)) </v>
      </c>
      <c r="C21" s="542"/>
      <c r="D21" s="543"/>
      <c r="E21" s="560" t="s">
        <v>36</v>
      </c>
      <c r="F21" s="542"/>
      <c r="G21" s="542"/>
      <c r="H21" s="542"/>
      <c r="I21" s="543"/>
      <c r="J21" s="529" t="s">
        <v>344</v>
      </c>
      <c r="K21" s="530"/>
      <c r="L21" s="531"/>
      <c r="M21" s="529" t="s">
        <v>345</v>
      </c>
      <c r="N21" s="530"/>
      <c r="O21" s="531"/>
    </row>
    <row r="22" spans="1:15" ht="55.5" customHeight="1">
      <c r="B22" s="552" t="str">
        <f>+'Introducerea datelor'!B86</f>
        <v>M4: Number of complete reports received on time (Numărul rapoartelor complete recepționate la timp)</v>
      </c>
      <c r="C22" s="542"/>
      <c r="D22" s="543"/>
      <c r="E22" s="560" t="s">
        <v>368</v>
      </c>
      <c r="F22" s="561"/>
      <c r="G22" s="561"/>
      <c r="H22" s="561"/>
      <c r="I22" s="562"/>
      <c r="J22" s="529" t="s">
        <v>350</v>
      </c>
      <c r="K22" s="530"/>
      <c r="L22" s="531"/>
      <c r="M22" s="529" t="s">
        <v>294</v>
      </c>
      <c r="N22" s="530"/>
      <c r="O22" s="531"/>
    </row>
    <row r="23" spans="1:15" ht="123.75" customHeight="1">
      <c r="B23" s="593" t="str">
        <f>+'Introducerea datelor'!B92</f>
        <v>M5: Budget and Procurement of health products, health equipment, medicines and pharmaceuticals (Bugetul și Procurarea produselor medicale, echipamentului medical, medicamentelor și produselor farmaceutice )</v>
      </c>
      <c r="C23" s="594"/>
      <c r="D23" s="595"/>
      <c r="E23" s="575" t="s">
        <v>351</v>
      </c>
      <c r="F23" s="576"/>
      <c r="G23" s="576"/>
      <c r="H23" s="576"/>
      <c r="I23" s="577"/>
      <c r="J23" s="623" t="s">
        <v>290</v>
      </c>
      <c r="K23" s="624"/>
      <c r="L23" s="625"/>
      <c r="M23" s="623" t="s">
        <v>295</v>
      </c>
      <c r="N23" s="624"/>
      <c r="O23" s="625"/>
    </row>
    <row r="24" spans="1:15" ht="53.25" customHeight="1">
      <c r="B24" s="596"/>
      <c r="C24" s="597"/>
      <c r="D24" s="598"/>
      <c r="E24" s="572" t="s">
        <v>346</v>
      </c>
      <c r="F24" s="573"/>
      <c r="G24" s="573"/>
      <c r="H24" s="573"/>
      <c r="I24" s="574"/>
      <c r="J24" s="626"/>
      <c r="K24" s="627"/>
      <c r="L24" s="628"/>
      <c r="M24" s="626"/>
      <c r="N24" s="627"/>
      <c r="O24" s="628"/>
    </row>
    <row r="25" spans="1:15" ht="136.5" customHeight="1">
      <c r="B25" s="552" t="str">
        <f>+'Introducerea datelor'!B105</f>
        <v>M6: Difference between current and safety stock (Diferență între stocul curent și stocul de siguranță)</v>
      </c>
      <c r="C25" s="542"/>
      <c r="D25" s="543"/>
      <c r="E25" s="608" t="s">
        <v>369</v>
      </c>
      <c r="F25" s="609"/>
      <c r="G25" s="609"/>
      <c r="H25" s="609"/>
      <c r="I25" s="610"/>
      <c r="J25" s="620" t="s">
        <v>352</v>
      </c>
      <c r="K25" s="621"/>
      <c r="L25" s="622"/>
      <c r="M25" s="617" t="s">
        <v>353</v>
      </c>
      <c r="N25" s="618"/>
      <c r="O25" s="619"/>
    </row>
    <row r="29" spans="1:15" ht="18.75">
      <c r="B29" s="203"/>
    </row>
    <row r="30" spans="1:15" ht="23.25">
      <c r="B30" s="548" t="s">
        <v>376</v>
      </c>
      <c r="C30" s="548"/>
      <c r="D30" s="548"/>
      <c r="E30" s="548"/>
      <c r="F30" s="548"/>
      <c r="G30" s="548"/>
      <c r="H30" s="548"/>
      <c r="I30" s="548"/>
      <c r="J30" s="548"/>
      <c r="K30" s="548"/>
      <c r="L30" s="548"/>
      <c r="M30" s="548"/>
      <c r="N30" s="548"/>
      <c r="O30" s="548"/>
    </row>
    <row r="32" spans="1:15" ht="28.5" customHeight="1">
      <c r="A32" s="200"/>
      <c r="B32" s="584" t="s">
        <v>337</v>
      </c>
      <c r="C32" s="585"/>
      <c r="D32" s="586"/>
      <c r="E32" s="599" t="s">
        <v>478</v>
      </c>
      <c r="F32" s="600"/>
      <c r="G32" s="600"/>
      <c r="H32" s="600"/>
      <c r="I32" s="601"/>
      <c r="J32" s="599" t="s">
        <v>477</v>
      </c>
      <c r="K32" s="600"/>
      <c r="L32" s="601"/>
      <c r="M32" s="599" t="s">
        <v>476</v>
      </c>
      <c r="N32" s="600"/>
      <c r="O32" s="601"/>
    </row>
    <row r="33" spans="1:15" ht="144.75" customHeight="1">
      <c r="A33" s="201"/>
      <c r="B33" s="578" t="s">
        <v>480</v>
      </c>
      <c r="C33" s="579"/>
      <c r="D33" s="580"/>
      <c r="E33" s="607" t="s">
        <v>490</v>
      </c>
      <c r="F33" s="591"/>
      <c r="G33" s="591"/>
      <c r="H33" s="591"/>
      <c r="I33" s="592"/>
      <c r="J33" s="525" t="s">
        <v>490</v>
      </c>
      <c r="K33" s="526"/>
      <c r="L33" s="527"/>
      <c r="M33" s="525" t="s">
        <v>13</v>
      </c>
      <c r="N33" s="526"/>
      <c r="O33" s="527"/>
    </row>
    <row r="34" spans="1:15" ht="60.75" customHeight="1">
      <c r="A34" s="201"/>
      <c r="B34" s="578" t="s">
        <v>481</v>
      </c>
      <c r="C34" s="579"/>
      <c r="D34" s="580"/>
      <c r="E34" s="607" t="s">
        <v>491</v>
      </c>
      <c r="F34" s="591"/>
      <c r="G34" s="591"/>
      <c r="H34" s="591"/>
      <c r="I34" s="592"/>
      <c r="J34" s="525" t="s">
        <v>3</v>
      </c>
      <c r="K34" s="526"/>
      <c r="L34" s="527"/>
      <c r="M34" s="525" t="s">
        <v>2</v>
      </c>
      <c r="N34" s="526"/>
      <c r="O34" s="527"/>
    </row>
    <row r="35" spans="1:15" ht="75" customHeight="1">
      <c r="A35" s="201"/>
      <c r="B35" s="578" t="s">
        <v>482</v>
      </c>
      <c r="C35" s="579"/>
      <c r="D35" s="580"/>
      <c r="E35" s="525" t="s">
        <v>408</v>
      </c>
      <c r="F35" s="526"/>
      <c r="G35" s="526"/>
      <c r="H35" s="526"/>
      <c r="I35" s="527"/>
      <c r="J35" s="525" t="s">
        <v>7</v>
      </c>
      <c r="K35" s="526"/>
      <c r="L35" s="527"/>
      <c r="M35" s="525" t="s">
        <v>6</v>
      </c>
      <c r="N35" s="526"/>
      <c r="O35" s="527"/>
    </row>
    <row r="36" spans="1:15" ht="75.75" customHeight="1">
      <c r="A36" s="201"/>
      <c r="B36" s="604" t="s">
        <v>483</v>
      </c>
      <c r="C36" s="605"/>
      <c r="D36" s="606"/>
      <c r="E36" s="611" t="s">
        <v>492</v>
      </c>
      <c r="F36" s="612"/>
      <c r="G36" s="612"/>
      <c r="H36" s="612"/>
      <c r="I36" s="613"/>
      <c r="J36" s="525" t="s">
        <v>12</v>
      </c>
      <c r="K36" s="526"/>
      <c r="L36" s="527"/>
      <c r="M36" s="525" t="s">
        <v>8</v>
      </c>
      <c r="N36" s="526"/>
      <c r="O36" s="527"/>
    </row>
    <row r="37" spans="1:15" ht="63" customHeight="1">
      <c r="A37" s="201"/>
      <c r="B37" s="578" t="s">
        <v>484</v>
      </c>
      <c r="C37" s="579"/>
      <c r="D37" s="580"/>
      <c r="E37" s="522" t="s">
        <v>493</v>
      </c>
      <c r="F37" s="602"/>
      <c r="G37" s="602"/>
      <c r="H37" s="602"/>
      <c r="I37" s="603"/>
      <c r="J37" s="525" t="s">
        <v>3</v>
      </c>
      <c r="K37" s="526"/>
      <c r="L37" s="527"/>
      <c r="M37" s="525" t="s">
        <v>5</v>
      </c>
      <c r="N37" s="526"/>
      <c r="O37" s="527"/>
    </row>
    <row r="38" spans="1:15" ht="45.75" customHeight="1">
      <c r="A38" s="201"/>
      <c r="B38" s="578" t="s">
        <v>485</v>
      </c>
      <c r="C38" s="579"/>
      <c r="D38" s="580"/>
      <c r="E38" s="590" t="s">
        <v>494</v>
      </c>
      <c r="F38" s="591"/>
      <c r="G38" s="591"/>
      <c r="H38" s="591"/>
      <c r="I38" s="592"/>
      <c r="J38" s="525" t="s">
        <v>3</v>
      </c>
      <c r="K38" s="526"/>
      <c r="L38" s="527"/>
      <c r="M38" s="525" t="s">
        <v>4</v>
      </c>
      <c r="N38" s="526"/>
      <c r="O38" s="527"/>
    </row>
    <row r="39" spans="1:15" ht="75.75" customHeight="1">
      <c r="A39" s="201"/>
      <c r="B39" s="578" t="s">
        <v>486</v>
      </c>
      <c r="C39" s="579"/>
      <c r="D39" s="580"/>
      <c r="E39" s="522" t="s">
        <v>495</v>
      </c>
      <c r="F39" s="526"/>
      <c r="G39" s="526"/>
      <c r="H39" s="526"/>
      <c r="I39" s="527"/>
      <c r="J39" s="525" t="s">
        <v>9</v>
      </c>
      <c r="K39" s="526"/>
      <c r="L39" s="527"/>
      <c r="M39" s="525" t="s">
        <v>6</v>
      </c>
      <c r="N39" s="526"/>
      <c r="O39" s="527"/>
    </row>
    <row r="40" spans="1:15" ht="63.75" customHeight="1">
      <c r="A40" s="201"/>
      <c r="B40" s="578" t="s">
        <v>487</v>
      </c>
      <c r="C40" s="579"/>
      <c r="D40" s="580"/>
      <c r="E40" s="614" t="s">
        <v>496</v>
      </c>
      <c r="F40" s="615"/>
      <c r="G40" s="615"/>
      <c r="H40" s="615"/>
      <c r="I40" s="616"/>
      <c r="J40" s="525" t="s">
        <v>9</v>
      </c>
      <c r="K40" s="526"/>
      <c r="L40" s="527"/>
      <c r="M40" s="525" t="s">
        <v>6</v>
      </c>
      <c r="N40" s="526"/>
      <c r="O40" s="527"/>
    </row>
    <row r="41" spans="1:15" ht="97.5" customHeight="1">
      <c r="A41" s="201"/>
      <c r="B41" s="587" t="s">
        <v>488</v>
      </c>
      <c r="C41" s="588"/>
      <c r="D41" s="589"/>
      <c r="E41" s="590" t="s">
        <v>0</v>
      </c>
      <c r="F41" s="591"/>
      <c r="G41" s="591"/>
      <c r="H41" s="591"/>
      <c r="I41" s="592"/>
      <c r="J41" s="525" t="s">
        <v>10</v>
      </c>
      <c r="K41" s="526"/>
      <c r="L41" s="527"/>
      <c r="M41" s="525" t="s">
        <v>11</v>
      </c>
      <c r="N41" s="526"/>
      <c r="O41" s="527"/>
    </row>
    <row r="42" spans="1:15" ht="72" customHeight="1">
      <c r="A42" s="201"/>
      <c r="B42" s="555" t="s">
        <v>489</v>
      </c>
      <c r="C42" s="556"/>
      <c r="D42" s="557"/>
      <c r="E42" s="522" t="s">
        <v>1</v>
      </c>
      <c r="F42" s="523"/>
      <c r="G42" s="523"/>
      <c r="H42" s="523"/>
      <c r="I42" s="524"/>
      <c r="J42" s="525" t="s">
        <v>3</v>
      </c>
      <c r="K42" s="526"/>
      <c r="L42" s="527"/>
      <c r="M42" s="525" t="s">
        <v>2</v>
      </c>
      <c r="N42" s="526"/>
      <c r="O42" s="527"/>
    </row>
    <row r="43" spans="1:15" ht="44.25" customHeight="1">
      <c r="B43" s="569" t="s">
        <v>307</v>
      </c>
      <c r="C43" s="570"/>
      <c r="D43" s="571"/>
      <c r="E43" s="544" t="s">
        <v>287</v>
      </c>
      <c r="F43" s="545"/>
      <c r="G43" s="545"/>
      <c r="H43" s="545"/>
      <c r="I43" s="546"/>
      <c r="J43" s="544" t="s">
        <v>288</v>
      </c>
      <c r="K43" s="545"/>
      <c r="L43" s="546"/>
      <c r="M43" s="544" t="s">
        <v>289</v>
      </c>
      <c r="N43" s="545"/>
      <c r="O43" s="546"/>
    </row>
    <row r="44" spans="1:15" ht="13.5" customHeight="1">
      <c r="B44" s="198"/>
      <c r="C44" s="199"/>
      <c r="D44" s="199"/>
      <c r="E44" s="193"/>
      <c r="F44" s="195"/>
      <c r="G44" s="195"/>
      <c r="H44" s="195"/>
      <c r="I44" s="195"/>
      <c r="J44" s="193"/>
      <c r="K44" s="193"/>
      <c r="L44" s="194"/>
      <c r="M44" s="192"/>
      <c r="N44" s="193"/>
      <c r="O44" s="194"/>
    </row>
    <row r="45" spans="1:15" ht="15.75" customHeight="1">
      <c r="B45" s="566" t="s">
        <v>306</v>
      </c>
      <c r="C45" s="567"/>
      <c r="D45" s="567"/>
      <c r="E45" s="567"/>
      <c r="F45" s="567"/>
      <c r="G45" s="567"/>
      <c r="H45" s="567"/>
      <c r="I45" s="567"/>
      <c r="J45" s="567"/>
      <c r="K45" s="567"/>
      <c r="L45" s="568"/>
      <c r="M45" s="581" t="s">
        <v>299</v>
      </c>
      <c r="N45" s="582"/>
      <c r="O45" s="583"/>
    </row>
    <row r="46" spans="1:15">
      <c r="D46" s="181"/>
    </row>
    <row r="48" spans="1:15">
      <c r="D48" s="181"/>
    </row>
    <row r="49" spans="4:4">
      <c r="D49" s="181"/>
    </row>
  </sheetData>
  <mergeCells count="119">
    <mergeCell ref="E40:I40"/>
    <mergeCell ref="M38:O38"/>
    <mergeCell ref="J36:L36"/>
    <mergeCell ref="J37:L37"/>
    <mergeCell ref="J39:L39"/>
    <mergeCell ref="E38:I38"/>
    <mergeCell ref="J38:L38"/>
    <mergeCell ref="M40:O40"/>
    <mergeCell ref="M20:O20"/>
    <mergeCell ref="M25:O25"/>
    <mergeCell ref="J25:L25"/>
    <mergeCell ref="J21:L21"/>
    <mergeCell ref="M21:O21"/>
    <mergeCell ref="J23:L24"/>
    <mergeCell ref="M22:O22"/>
    <mergeCell ref="M23:O24"/>
    <mergeCell ref="J22:L22"/>
    <mergeCell ref="J32:L32"/>
    <mergeCell ref="M32:O32"/>
    <mergeCell ref="M36:O36"/>
    <mergeCell ref="M37:O37"/>
    <mergeCell ref="M39:O39"/>
    <mergeCell ref="J40:L40"/>
    <mergeCell ref="B41:D41"/>
    <mergeCell ref="B40:D40"/>
    <mergeCell ref="E41:I41"/>
    <mergeCell ref="J20:L20"/>
    <mergeCell ref="B20:D20"/>
    <mergeCell ref="E20:I20"/>
    <mergeCell ref="B21:D21"/>
    <mergeCell ref="E21:I21"/>
    <mergeCell ref="B22:D22"/>
    <mergeCell ref="B23:D24"/>
    <mergeCell ref="E32:I32"/>
    <mergeCell ref="B39:D39"/>
    <mergeCell ref="B37:D37"/>
    <mergeCell ref="E39:I39"/>
    <mergeCell ref="B25:D25"/>
    <mergeCell ref="B33:D33"/>
    <mergeCell ref="B34:D34"/>
    <mergeCell ref="E37:I37"/>
    <mergeCell ref="E35:I35"/>
    <mergeCell ref="B36:D36"/>
    <mergeCell ref="E33:I33"/>
    <mergeCell ref="E34:I34"/>
    <mergeCell ref="E25:I25"/>
    <mergeCell ref="E36:I36"/>
    <mergeCell ref="B8:D8"/>
    <mergeCell ref="M9:O9"/>
    <mergeCell ref="B9:D9"/>
    <mergeCell ref="E9:I9"/>
    <mergeCell ref="J9:L9"/>
    <mergeCell ref="E22:I22"/>
    <mergeCell ref="E8:I8"/>
    <mergeCell ref="B45:L45"/>
    <mergeCell ref="B43:D43"/>
    <mergeCell ref="E43:I43"/>
    <mergeCell ref="J43:L43"/>
    <mergeCell ref="E24:I24"/>
    <mergeCell ref="M10:O10"/>
    <mergeCell ref="E23:I23"/>
    <mergeCell ref="B35:D35"/>
    <mergeCell ref="J35:L35"/>
    <mergeCell ref="B38:D38"/>
    <mergeCell ref="M33:O33"/>
    <mergeCell ref="M34:O34"/>
    <mergeCell ref="J33:L33"/>
    <mergeCell ref="J34:L34"/>
    <mergeCell ref="M45:O45"/>
    <mergeCell ref="B30:O30"/>
    <mergeCell ref="B32:D32"/>
    <mergeCell ref="M43:O43"/>
    <mergeCell ref="J41:L41"/>
    <mergeCell ref="M41:O41"/>
    <mergeCell ref="B2:M2"/>
    <mergeCell ref="B5:O5"/>
    <mergeCell ref="M8:O8"/>
    <mergeCell ref="J8:L8"/>
    <mergeCell ref="E7:I7"/>
    <mergeCell ref="B7:D7"/>
    <mergeCell ref="B19:D19"/>
    <mergeCell ref="J7:L7"/>
    <mergeCell ref="M7:O7"/>
    <mergeCell ref="B18:D18"/>
    <mergeCell ref="B15:D15"/>
    <mergeCell ref="B13:D13"/>
    <mergeCell ref="B16:O16"/>
    <mergeCell ref="J15:L15"/>
    <mergeCell ref="E13:I13"/>
    <mergeCell ref="J13:L13"/>
    <mergeCell ref="B10:D10"/>
    <mergeCell ref="E11:I11"/>
    <mergeCell ref="E10:I10"/>
    <mergeCell ref="J10:L10"/>
    <mergeCell ref="B42:D42"/>
    <mergeCell ref="E42:I42"/>
    <mergeCell ref="J42:L42"/>
    <mergeCell ref="B12:D12"/>
    <mergeCell ref="J11:L11"/>
    <mergeCell ref="B11:D11"/>
    <mergeCell ref="B14:D14"/>
    <mergeCell ref="M11:O11"/>
    <mergeCell ref="J12:L12"/>
    <mergeCell ref="M12:O12"/>
    <mergeCell ref="E12:I12"/>
    <mergeCell ref="M42:O42"/>
    <mergeCell ref="M15:O15"/>
    <mergeCell ref="M13:O13"/>
    <mergeCell ref="M18:O18"/>
    <mergeCell ref="M14:O14"/>
    <mergeCell ref="M19:O19"/>
    <mergeCell ref="E14:I14"/>
    <mergeCell ref="J14:L14"/>
    <mergeCell ref="E15:I15"/>
    <mergeCell ref="E19:I19"/>
    <mergeCell ref="J19:L19"/>
    <mergeCell ref="E18:I18"/>
    <mergeCell ref="J18:L18"/>
    <mergeCell ref="M35:O35"/>
  </mergeCells>
  <phoneticPr fontId="30" type="noConversion"/>
  <pageMargins left="0.25" right="0.25" top="0.75" bottom="0.75" header="0.3" footer="0.3"/>
  <pageSetup paperSize="9" scale="46" orientation="landscape" r:id="rId1"/>
  <headerFooter alignWithMargins="0">
    <oddFooter>&amp;L&amp;F&amp;C&amp;A&amp;RV1.0          &amp;D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G151"/>
  <sheetViews>
    <sheetView showGridLines="0" topLeftCell="A10" zoomScaleNormal="100" workbookViewId="0">
      <selection activeCell="E72" sqref="E72"/>
    </sheetView>
  </sheetViews>
  <sheetFormatPr defaultColWidth="11" defaultRowHeight="15"/>
  <cols>
    <col min="1" max="1" width="2.7109375" customWidth="1"/>
    <col min="2" max="2" width="44.7109375" customWidth="1"/>
    <col min="3" max="6" width="15.28515625" customWidth="1"/>
    <col min="7" max="7" width="15.28515625" style="503" customWidth="1"/>
    <col min="8" max="9" width="15.28515625" customWidth="1"/>
    <col min="10" max="11" width="15.28515625" style="430" customWidth="1"/>
    <col min="12" max="13" width="15.28515625" customWidth="1"/>
    <col min="14" max="14" width="15.28515625" style="35" customWidth="1"/>
    <col min="15" max="15" width="5.5703125" style="35" customWidth="1"/>
    <col min="16" max="16" width="10.28515625" style="35" customWidth="1"/>
    <col min="17" max="17" width="13.7109375" customWidth="1"/>
    <col min="18" max="18" width="13.42578125" customWidth="1"/>
    <col min="19" max="19" width="11.42578125" hidden="1" customWidth="1"/>
    <col min="20" max="20" width="15.5703125" customWidth="1"/>
    <col min="21" max="21" width="11.42578125" customWidth="1"/>
    <col min="22" max="22" width="2.28515625" customWidth="1"/>
    <col min="23" max="23" width="1.140625" customWidth="1"/>
    <col min="24" max="24" width="3.28515625" customWidth="1"/>
    <col min="25" max="25" width="17" customWidth="1"/>
    <col min="26" max="26" width="15" customWidth="1"/>
    <col min="27" max="27" width="11.42578125" customWidth="1"/>
    <col min="28" max="28" width="13.5703125" customWidth="1"/>
    <col min="29" max="29" width="16.85546875" customWidth="1"/>
    <col min="30" max="30" width="11.42578125" customWidth="1"/>
    <col min="31" max="31" width="2" style="35" customWidth="1"/>
    <col min="32" max="32" width="3.28515625" style="35" customWidth="1"/>
    <col min="33" max="33" width="2.28515625" style="35" customWidth="1"/>
    <col min="34" max="34" width="40.7109375" customWidth="1"/>
    <col min="35" max="35" width="15.42578125" customWidth="1"/>
  </cols>
  <sheetData>
    <row r="1" spans="1:13" ht="29.25" customHeight="1">
      <c r="A1" s="3"/>
      <c r="B1" s="3"/>
      <c r="C1" s="3"/>
      <c r="D1" s="3"/>
      <c r="E1" s="3"/>
      <c r="F1" s="3"/>
      <c r="G1" s="472"/>
      <c r="H1" s="3"/>
      <c r="I1" s="3"/>
      <c r="J1" s="392"/>
      <c r="K1" s="392"/>
      <c r="L1" s="3"/>
      <c r="M1" s="3"/>
    </row>
    <row r="2" spans="1:13" ht="15.75" customHeight="1">
      <c r="A2" s="3"/>
      <c r="B2" s="437" t="s">
        <v>403</v>
      </c>
      <c r="C2" s="437"/>
      <c r="D2" s="437"/>
      <c r="E2" s="437"/>
      <c r="F2" s="437"/>
      <c r="G2" s="473"/>
      <c r="H2" s="437"/>
      <c r="I2" s="437"/>
      <c r="J2" s="437"/>
      <c r="K2" s="393"/>
      <c r="L2" s="217"/>
      <c r="M2" s="217"/>
    </row>
    <row r="3" spans="1:13" ht="4.5" customHeight="1">
      <c r="A3" s="3"/>
      <c r="B3" s="3"/>
      <c r="C3" s="3"/>
      <c r="D3" s="3"/>
      <c r="E3" s="3"/>
      <c r="F3" s="3"/>
      <c r="G3" s="472"/>
      <c r="H3" s="3"/>
      <c r="I3" s="3"/>
      <c r="J3" s="392"/>
      <c r="K3" s="392"/>
      <c r="L3" s="3"/>
      <c r="M3" s="3"/>
    </row>
    <row r="4" spans="1:13" ht="28.5" customHeight="1">
      <c r="A4" s="3"/>
      <c r="B4" s="434" t="s">
        <v>460</v>
      </c>
      <c r="C4" s="435" t="s">
        <v>224</v>
      </c>
      <c r="D4" s="436"/>
      <c r="E4" s="434" t="s">
        <v>465</v>
      </c>
      <c r="F4" s="434"/>
      <c r="G4" s="639" t="s">
        <v>14</v>
      </c>
      <c r="H4" s="640"/>
      <c r="I4" s="640"/>
      <c r="J4" s="641"/>
      <c r="K4" s="432"/>
      <c r="L4" s="3"/>
      <c r="M4" s="3"/>
    </row>
    <row r="5" spans="1:13" ht="3" customHeight="1">
      <c r="A5" s="3"/>
      <c r="B5" s="434"/>
      <c r="C5" s="3"/>
      <c r="D5" s="3"/>
      <c r="E5" s="218"/>
      <c r="F5" s="218"/>
      <c r="G5" s="472"/>
      <c r="H5" s="3"/>
      <c r="I5" s="3"/>
      <c r="J5" s="392"/>
      <c r="K5" s="432"/>
      <c r="L5" s="3"/>
      <c r="M5" s="3"/>
    </row>
    <row r="6" spans="1:13">
      <c r="A6" s="3"/>
      <c r="B6" s="434" t="s">
        <v>461</v>
      </c>
      <c r="C6" s="435" t="s">
        <v>479</v>
      </c>
      <c r="D6" s="436"/>
      <c r="E6" s="434" t="s">
        <v>466</v>
      </c>
      <c r="F6" s="434"/>
      <c r="G6" s="474" t="s">
        <v>64</v>
      </c>
      <c r="H6" s="434" t="s">
        <v>393</v>
      </c>
      <c r="I6" s="468">
        <v>7434590.7199999997</v>
      </c>
      <c r="J6" s="469"/>
      <c r="K6" s="432"/>
      <c r="L6" s="3"/>
      <c r="M6" s="3"/>
    </row>
    <row r="7" spans="1:13" ht="3" customHeight="1">
      <c r="A7" s="3"/>
      <c r="B7" s="434"/>
      <c r="C7" s="3"/>
      <c r="D7" s="3"/>
      <c r="E7" s="218"/>
      <c r="F7" s="218"/>
      <c r="G7" s="472"/>
      <c r="H7" s="434"/>
      <c r="I7" s="3"/>
      <c r="J7" s="392"/>
      <c r="K7" s="432"/>
      <c r="L7" s="3"/>
      <c r="M7" s="3"/>
    </row>
    <row r="8" spans="1:13">
      <c r="A8" s="3"/>
      <c r="B8" s="434" t="s">
        <v>462</v>
      </c>
      <c r="C8" s="435" t="s">
        <v>395</v>
      </c>
      <c r="D8" s="436"/>
      <c r="E8" s="219"/>
      <c r="F8" s="450" t="s">
        <v>467</v>
      </c>
      <c r="G8" s="475" t="s">
        <v>44</v>
      </c>
      <c r="H8" s="450" t="s">
        <v>394</v>
      </c>
      <c r="I8" s="435" t="s">
        <v>45</v>
      </c>
      <c r="J8" s="436"/>
      <c r="K8" s="432"/>
      <c r="L8" s="3"/>
      <c r="M8" s="3"/>
    </row>
    <row r="9" spans="1:13" ht="3" customHeight="1">
      <c r="A9" s="3"/>
      <c r="B9" s="218"/>
      <c r="C9" s="3"/>
      <c r="D9" s="3"/>
      <c r="E9" s="218"/>
      <c r="F9" s="218"/>
      <c r="G9" s="472"/>
      <c r="H9" s="3"/>
      <c r="I9" s="3"/>
      <c r="J9" s="392"/>
      <c r="K9" s="392"/>
      <c r="L9" s="3"/>
      <c r="M9" s="3"/>
    </row>
    <row r="10" spans="1:13" ht="19.5" customHeight="1">
      <c r="A10" s="3"/>
      <c r="B10" s="434" t="s">
        <v>463</v>
      </c>
      <c r="C10" s="470" t="s">
        <v>398</v>
      </c>
      <c r="D10" s="471"/>
      <c r="E10" s="433" t="s">
        <v>468</v>
      </c>
      <c r="F10" s="451"/>
      <c r="G10" s="636" t="s">
        <v>86</v>
      </c>
      <c r="H10" s="637"/>
      <c r="I10" s="637"/>
      <c r="J10" s="638"/>
      <c r="K10" s="392"/>
      <c r="L10" s="3"/>
      <c r="M10" s="3"/>
    </row>
    <row r="11" spans="1:13" ht="5.25" customHeight="1">
      <c r="A11" s="3"/>
      <c r="B11" s="3"/>
      <c r="C11" s="3"/>
      <c r="D11" s="3"/>
      <c r="E11" s="3"/>
      <c r="F11" s="3"/>
      <c r="G11" s="472"/>
      <c r="H11" s="3"/>
      <c r="I11" s="3"/>
      <c r="J11" s="392"/>
      <c r="K11" s="392"/>
      <c r="L11" s="3"/>
      <c r="M11" s="3"/>
    </row>
    <row r="12" spans="1:13" ht="15" customHeight="1">
      <c r="A12" s="3"/>
      <c r="B12" s="434" t="s">
        <v>464</v>
      </c>
      <c r="C12" s="438" t="s">
        <v>74</v>
      </c>
      <c r="D12" s="438"/>
      <c r="E12" s="433" t="s">
        <v>302</v>
      </c>
      <c r="F12" s="434"/>
      <c r="G12" s="633" t="s">
        <v>399</v>
      </c>
      <c r="H12" s="634"/>
      <c r="I12" s="634"/>
      <c r="J12" s="635"/>
      <c r="K12" s="392"/>
      <c r="L12" s="3"/>
      <c r="M12" s="3"/>
    </row>
    <row r="13" spans="1:13" ht="5.25" customHeight="1">
      <c r="A13" s="3"/>
      <c r="B13" s="3"/>
      <c r="C13" s="3"/>
      <c r="D13" s="3"/>
      <c r="E13" s="3"/>
      <c r="F13" s="3"/>
      <c r="G13" s="472"/>
      <c r="H13" s="3"/>
      <c r="I13" s="3"/>
      <c r="J13" s="392"/>
      <c r="K13" s="392"/>
      <c r="L13" s="3"/>
      <c r="M13" s="3"/>
    </row>
    <row r="14" spans="1:13" ht="15.75" customHeight="1">
      <c r="A14" s="3"/>
      <c r="B14" s="437" t="s">
        <v>404</v>
      </c>
      <c r="C14" s="437"/>
      <c r="D14" s="437"/>
      <c r="E14" s="437"/>
      <c r="F14" s="437"/>
      <c r="G14" s="473"/>
      <c r="H14" s="437"/>
      <c r="I14" s="437"/>
      <c r="J14" s="437"/>
      <c r="K14" s="392"/>
      <c r="L14" s="3"/>
      <c r="M14" s="3"/>
    </row>
    <row r="15" spans="1:13" ht="3" customHeight="1">
      <c r="A15" s="3"/>
      <c r="B15" s="3"/>
      <c r="C15" s="3"/>
      <c r="D15" s="3"/>
      <c r="E15" s="3"/>
      <c r="F15" s="3"/>
      <c r="G15" s="472"/>
      <c r="H15" s="3"/>
      <c r="I15" s="3"/>
      <c r="J15" s="392"/>
      <c r="K15" s="392"/>
      <c r="L15" s="3"/>
      <c r="M15" s="3"/>
    </row>
    <row r="16" spans="1:13" ht="12.75" customHeight="1">
      <c r="A16" s="3"/>
      <c r="B16" s="434" t="s">
        <v>474</v>
      </c>
      <c r="C16" s="314" t="s">
        <v>143</v>
      </c>
      <c r="D16" s="450" t="s">
        <v>473</v>
      </c>
      <c r="E16" s="470">
        <v>41640</v>
      </c>
      <c r="F16" s="433" t="s">
        <v>472</v>
      </c>
      <c r="G16" s="476">
        <v>41820</v>
      </c>
      <c r="H16" s="364" t="s">
        <v>469</v>
      </c>
      <c r="I16" s="365"/>
      <c r="J16" s="394">
        <v>41905</v>
      </c>
      <c r="K16" s="392"/>
      <c r="L16" s="3"/>
      <c r="M16" s="3"/>
    </row>
    <row r="17" spans="1:32" ht="3" customHeight="1">
      <c r="A17" s="3"/>
      <c r="B17" s="3"/>
      <c r="C17" s="3"/>
      <c r="D17" s="3"/>
      <c r="E17" s="3"/>
      <c r="F17" s="3"/>
      <c r="G17" s="472"/>
      <c r="H17" s="3"/>
      <c r="I17" s="3"/>
      <c r="J17" s="392"/>
      <c r="K17" s="392"/>
      <c r="L17" s="3"/>
      <c r="M17" s="3"/>
    </row>
    <row r="18" spans="1:32" ht="15.75" customHeight="1">
      <c r="A18" s="3"/>
      <c r="B18" s="450" t="s">
        <v>475</v>
      </c>
      <c r="C18" s="451"/>
      <c r="D18" s="465" t="s">
        <v>395</v>
      </c>
      <c r="E18" s="466"/>
      <c r="F18" s="467"/>
      <c r="G18" s="477"/>
      <c r="H18" s="220"/>
      <c r="I18" s="220"/>
      <c r="J18" s="395"/>
      <c r="K18" s="392"/>
      <c r="L18" s="3"/>
      <c r="M18" s="3"/>
    </row>
    <row r="19" spans="1:32" ht="3" customHeight="1">
      <c r="A19" s="3"/>
      <c r="B19" s="3"/>
      <c r="C19" s="3"/>
      <c r="D19" s="3"/>
      <c r="E19" s="3"/>
      <c r="F19" s="3"/>
      <c r="G19" s="472"/>
      <c r="H19" s="3"/>
      <c r="I19" s="3"/>
      <c r="J19" s="392"/>
      <c r="K19" s="392"/>
      <c r="L19" s="3"/>
      <c r="M19" s="3"/>
    </row>
    <row r="20" spans="1:32" ht="5.25" customHeight="1">
      <c r="A20" s="3"/>
      <c r="B20" s="3"/>
      <c r="C20" s="3"/>
      <c r="D20" s="3"/>
      <c r="E20" s="3"/>
      <c r="F20" s="3"/>
      <c r="G20" s="472"/>
      <c r="H20" s="3"/>
      <c r="I20" s="3"/>
      <c r="J20" s="392"/>
      <c r="K20" s="392"/>
      <c r="L20" s="3"/>
      <c r="M20" s="3"/>
    </row>
    <row r="21" spans="1:32" ht="15.75" customHeight="1">
      <c r="A21" s="3"/>
      <c r="B21" s="437" t="s">
        <v>406</v>
      </c>
      <c r="C21" s="437"/>
      <c r="D21" s="437"/>
      <c r="E21" s="437"/>
      <c r="F21" s="437"/>
      <c r="G21" s="473"/>
      <c r="H21" s="437"/>
      <c r="I21" s="437"/>
      <c r="J21" s="437"/>
      <c r="K21" s="392"/>
      <c r="L21" s="3"/>
      <c r="M21" s="3"/>
    </row>
    <row r="22" spans="1:32">
      <c r="A22" s="3"/>
      <c r="B22" s="441" t="s">
        <v>405</v>
      </c>
      <c r="C22" s="441"/>
      <c r="D22" s="441"/>
      <c r="E22" s="441"/>
      <c r="F22" s="441"/>
      <c r="G22" s="472"/>
      <c r="H22" s="3"/>
      <c r="I22" s="221"/>
      <c r="J22" s="392"/>
      <c r="K22" s="392"/>
      <c r="L22" s="3"/>
      <c r="M22" s="3"/>
    </row>
    <row r="23" spans="1:32">
      <c r="A23" s="3"/>
      <c r="B23" s="3"/>
      <c r="C23" s="3"/>
      <c r="D23" s="3"/>
      <c r="E23" s="3"/>
      <c r="F23" s="3"/>
      <c r="G23" s="472"/>
      <c r="H23" s="3"/>
      <c r="I23" s="3"/>
      <c r="J23" s="392"/>
      <c r="K23" s="392"/>
      <c r="L23" s="3"/>
      <c r="M23" s="3"/>
    </row>
    <row r="24" spans="1:32" ht="58.5" customHeight="1" thickBot="1">
      <c r="A24" s="3"/>
      <c r="B24" s="478" t="s">
        <v>471</v>
      </c>
      <c r="C24" s="303"/>
      <c r="E24" s="478" t="s">
        <v>470</v>
      </c>
      <c r="F24" s="304"/>
      <c r="H24" s="478" t="s">
        <v>459</v>
      </c>
      <c r="I24" s="439"/>
      <c r="J24" s="440"/>
      <c r="K24" s="392"/>
      <c r="L24" s="3"/>
      <c r="M24" s="3"/>
      <c r="N24" s="20"/>
      <c r="O24" s="20"/>
    </row>
    <row r="25" spans="1:32" ht="19.5" thickBot="1">
      <c r="A25" s="3"/>
      <c r="B25" s="83" t="s">
        <v>365</v>
      </c>
      <c r="C25" s="84"/>
      <c r="D25" s="84"/>
      <c r="E25" s="84"/>
      <c r="F25" s="84"/>
      <c r="G25" s="479" t="s">
        <v>408</v>
      </c>
      <c r="H25" s="442" t="s">
        <v>409</v>
      </c>
      <c r="I25" s="442"/>
      <c r="J25" s="442"/>
      <c r="K25" s="442"/>
      <c r="L25" s="84"/>
      <c r="M25" s="84"/>
      <c r="N25" s="320"/>
      <c r="O25" s="363"/>
      <c r="P25" s="39"/>
      <c r="AF25" s="41"/>
    </row>
    <row r="26" spans="1:32">
      <c r="A26" s="3"/>
      <c r="B26" s="443" t="s">
        <v>407</v>
      </c>
      <c r="C26" s="444"/>
      <c r="D26" s="331" t="s">
        <v>43</v>
      </c>
      <c r="E26" s="86"/>
      <c r="F26" s="86"/>
      <c r="G26" s="480"/>
      <c r="H26" s="86"/>
      <c r="I26" s="86"/>
      <c r="J26" s="396"/>
      <c r="K26" s="397"/>
      <c r="L26" s="86"/>
      <c r="M26" s="86"/>
      <c r="N26" s="39"/>
      <c r="O26" s="39"/>
      <c r="P26" s="39"/>
      <c r="AF26" s="41"/>
    </row>
    <row r="27" spans="1:32" ht="18.75">
      <c r="A27" s="3"/>
      <c r="B27" s="85" t="s">
        <v>410</v>
      </c>
      <c r="C27" s="86"/>
      <c r="D27" s="86"/>
      <c r="E27" s="86"/>
      <c r="F27" s="86"/>
      <c r="G27" s="480"/>
      <c r="H27" s="86"/>
      <c r="I27" s="86"/>
      <c r="J27" s="396"/>
      <c r="K27" s="397"/>
      <c r="L27" s="86"/>
      <c r="M27" s="86"/>
      <c r="N27" s="39"/>
      <c r="O27" s="39"/>
      <c r="P27" s="39"/>
      <c r="AF27" s="41"/>
    </row>
    <row r="28" spans="1:32" ht="15.75" thickBot="1">
      <c r="A28" s="3"/>
      <c r="B28" s="3"/>
      <c r="C28" s="3"/>
      <c r="D28" s="3"/>
      <c r="E28" s="3"/>
      <c r="F28" s="3"/>
      <c r="G28" s="472"/>
      <c r="H28" s="3"/>
      <c r="I28" s="3"/>
      <c r="J28" s="392"/>
      <c r="K28" s="392"/>
      <c r="L28" s="3"/>
      <c r="M28" s="3"/>
    </row>
    <row r="29" spans="1:32" ht="15.75" thickBot="1">
      <c r="A29" s="3"/>
      <c r="B29" s="452" t="s">
        <v>89</v>
      </c>
      <c r="C29" s="453"/>
      <c r="D29" s="453"/>
      <c r="E29" s="453"/>
      <c r="F29" s="453"/>
      <c r="G29" s="481"/>
      <c r="H29" s="453"/>
      <c r="I29" s="453"/>
      <c r="J29" s="453"/>
      <c r="K29" s="453"/>
      <c r="L29" s="453"/>
      <c r="M29" s="453"/>
      <c r="N29" s="454"/>
      <c r="O29" s="99"/>
      <c r="Q29" s="168">
        <f>+C33</f>
        <v>0</v>
      </c>
      <c r="R29" s="167"/>
    </row>
    <row r="30" spans="1:32">
      <c r="A30" s="3"/>
      <c r="B30" s="87" t="s">
        <v>411</v>
      </c>
      <c r="C30" s="398"/>
      <c r="D30" s="302"/>
      <c r="E30" s="302"/>
      <c r="F30" s="302"/>
      <c r="G30" s="285"/>
      <c r="H30" s="302" t="s">
        <v>501</v>
      </c>
      <c r="I30" s="302" t="s">
        <v>140</v>
      </c>
      <c r="J30" s="302" t="s">
        <v>141</v>
      </c>
      <c r="K30" s="302" t="s">
        <v>142</v>
      </c>
      <c r="L30" s="302" t="s">
        <v>143</v>
      </c>
      <c r="M30" s="302" t="s">
        <v>144</v>
      </c>
      <c r="N30" s="302" t="s">
        <v>301</v>
      </c>
      <c r="O30" s="285"/>
      <c r="P30" s="286" t="s">
        <v>37</v>
      </c>
      <c r="Q30" s="168">
        <f>+D33</f>
        <v>0</v>
      </c>
      <c r="R30" s="167"/>
    </row>
    <row r="31" spans="1:32">
      <c r="A31" s="3"/>
      <c r="B31" s="215" t="str">
        <f>CONCATENATE("Buget (in ",'Introducerea datelor'!$D$26,")")</f>
        <v>Buget (in €)</v>
      </c>
      <c r="C31" s="399"/>
      <c r="D31" s="294"/>
      <c r="E31" s="294"/>
      <c r="F31" s="294"/>
      <c r="G31" s="482"/>
      <c r="H31" s="399">
        <v>4063058</v>
      </c>
      <c r="I31" s="294">
        <v>303817.76</v>
      </c>
      <c r="J31" s="294">
        <v>327052.76</v>
      </c>
      <c r="K31" s="294">
        <v>587460.52</v>
      </c>
      <c r="L31" s="294">
        <v>654470.92000000004</v>
      </c>
      <c r="M31" s="294"/>
      <c r="N31" s="294"/>
      <c r="O31" s="294"/>
      <c r="P31" s="630">
        <f>+SUM(C35:N35)</f>
        <v>1.1417858412909998</v>
      </c>
      <c r="Q31" s="168">
        <f>+E33</f>
        <v>0</v>
      </c>
      <c r="R31" s="167"/>
    </row>
    <row r="32" spans="1:32">
      <c r="A32" s="3"/>
      <c r="B32" s="87" t="str">
        <f>CONCATENATE("Debursări de către FG (in ", $D$26,")")</f>
        <v>Debursări de către FG (in €)</v>
      </c>
      <c r="C32" s="399"/>
      <c r="D32" s="294"/>
      <c r="E32" s="294"/>
      <c r="F32" s="294"/>
      <c r="G32" s="483"/>
      <c r="H32" s="399">
        <v>4063058</v>
      </c>
      <c r="I32" s="294">
        <v>303818</v>
      </c>
      <c r="J32" s="294">
        <v>1188387</v>
      </c>
      <c r="K32" s="294">
        <v>1222219</v>
      </c>
      <c r="L32" s="294">
        <v>0</v>
      </c>
      <c r="M32" s="294"/>
      <c r="N32" s="294"/>
      <c r="O32" s="294"/>
      <c r="P32" s="631"/>
      <c r="Q32" s="168">
        <f>+F33</f>
        <v>0</v>
      </c>
      <c r="R32" s="167"/>
    </row>
    <row r="33" spans="1:32">
      <c r="A33" s="3"/>
      <c r="B33" s="88" t="s">
        <v>412</v>
      </c>
      <c r="C33" s="400"/>
      <c r="D33" s="295"/>
      <c r="E33" s="295"/>
      <c r="F33" s="295"/>
      <c r="G33" s="295">
        <f t="shared" ref="G33" si="0">IF(AND(G31=0,G32=0),0,+F33+G31)</f>
        <v>0</v>
      </c>
      <c r="H33" s="400">
        <v>4063058</v>
      </c>
      <c r="I33" s="295">
        <f>IF(AND(I31=0,I32=0),0,+H33+I31)</f>
        <v>4366875.76</v>
      </c>
      <c r="J33" s="295">
        <f>IF(AND(J31=0,J32=0),0,+I33+J31)</f>
        <v>4693928.5199999996</v>
      </c>
      <c r="K33" s="295">
        <v>5281390.0399999991</v>
      </c>
      <c r="L33" s="295">
        <f>IF(AND(L31=0,L32=0),0,+K33+L31)</f>
        <v>5935860.959999999</v>
      </c>
      <c r="M33" s="295"/>
      <c r="N33" s="295">
        <f t="shared" ref="N33:O33" si="1">IF(AND(N31=0,N32=0),0,+M33+N31)</f>
        <v>0</v>
      </c>
      <c r="O33" s="295">
        <f t="shared" si="1"/>
        <v>0</v>
      </c>
      <c r="P33" s="631"/>
      <c r="Q33" s="168">
        <f>+G33</f>
        <v>0</v>
      </c>
      <c r="R33" s="167"/>
    </row>
    <row r="34" spans="1:32" ht="15.75" thickBot="1">
      <c r="A34" s="3"/>
      <c r="B34" s="89" t="s">
        <v>413</v>
      </c>
      <c r="C34" s="401"/>
      <c r="D34" s="296"/>
      <c r="E34" s="296"/>
      <c r="F34" s="296"/>
      <c r="G34" s="484"/>
      <c r="H34" s="401">
        <v>4063058</v>
      </c>
      <c r="I34" s="296">
        <f>IF(AND(I31=0,I32=0),0,+H34+I32)</f>
        <v>4366876</v>
      </c>
      <c r="J34" s="296">
        <f>IF(AND(J31=0,J32=0),0,+I34+J32)</f>
        <v>5555263</v>
      </c>
      <c r="K34" s="296">
        <f>IF(AND(K31=0,K32=0),0,+J34+K32)</f>
        <v>6777482</v>
      </c>
      <c r="L34" s="296">
        <f>IF(AND(L31=0,L32=0),0,+K34+L32)</f>
        <v>6777482</v>
      </c>
      <c r="M34" s="296"/>
      <c r="N34" s="484"/>
      <c r="O34" s="484"/>
      <c r="P34" s="632"/>
      <c r="Q34" s="168">
        <f>+H33</f>
        <v>4063058</v>
      </c>
      <c r="R34" s="167"/>
    </row>
    <row r="35" spans="1:32">
      <c r="A35" s="3"/>
      <c r="B35" s="3"/>
      <c r="C35" s="263">
        <f>+IF(AND(C30=$C$16,C33&lt;&gt;0),C34/C33,0)</f>
        <v>0</v>
      </c>
      <c r="D35" s="263">
        <f t="shared" ref="D35:N35" si="2">+IF(AND(D30=$C$16,D33&lt;&gt;0),D34/D33,0)</f>
        <v>0</v>
      </c>
      <c r="E35" s="263">
        <f t="shared" si="2"/>
        <v>0</v>
      </c>
      <c r="F35" s="263">
        <f t="shared" si="2"/>
        <v>0</v>
      </c>
      <c r="G35" s="485">
        <f t="shared" si="2"/>
        <v>0</v>
      </c>
      <c r="H35" s="263">
        <f t="shared" si="2"/>
        <v>0</v>
      </c>
      <c r="I35" s="263">
        <f t="shared" si="2"/>
        <v>0</v>
      </c>
      <c r="J35" s="402">
        <f t="shared" si="2"/>
        <v>0</v>
      </c>
      <c r="K35" s="402">
        <f t="shared" si="2"/>
        <v>0</v>
      </c>
      <c r="L35" s="263">
        <f t="shared" si="2"/>
        <v>1.1417858412909998</v>
      </c>
      <c r="M35" s="263">
        <f t="shared" si="2"/>
        <v>0</v>
      </c>
      <c r="N35" s="263">
        <f t="shared" si="2"/>
        <v>0</v>
      </c>
      <c r="O35" s="263"/>
      <c r="P35" s="222"/>
      <c r="Q35" s="168">
        <f>+I33</f>
        <v>4366875.76</v>
      </c>
      <c r="R35" s="167"/>
    </row>
    <row r="36" spans="1:32" ht="18.75">
      <c r="A36" s="3"/>
      <c r="B36" s="85" t="s">
        <v>414</v>
      </c>
      <c r="C36" s="3"/>
      <c r="D36" s="3"/>
      <c r="E36" s="276"/>
      <c r="F36" s="3"/>
      <c r="G36" s="486"/>
      <c r="H36" s="3"/>
      <c r="I36" s="3"/>
      <c r="J36" s="392"/>
      <c r="K36" s="392"/>
      <c r="L36" s="3"/>
      <c r="M36" s="3"/>
      <c r="N36" s="40"/>
      <c r="O36" s="40"/>
      <c r="P36" s="40"/>
      <c r="AF36" s="20"/>
    </row>
    <row r="37" spans="1:32" ht="9" customHeight="1" thickBot="1">
      <c r="A37" s="3"/>
      <c r="B37" s="3"/>
      <c r="C37" s="3"/>
      <c r="D37" s="3"/>
      <c r="E37" s="3"/>
      <c r="F37" s="3"/>
      <c r="G37" s="472"/>
      <c r="H37" s="3"/>
      <c r="I37" s="3"/>
      <c r="J37" s="392"/>
      <c r="K37" s="392"/>
      <c r="L37" s="3"/>
      <c r="M37" s="165"/>
      <c r="N37" s="38"/>
      <c r="O37" s="38"/>
      <c r="P37" s="38"/>
    </row>
    <row r="38" spans="1:32" ht="30" customHeight="1">
      <c r="A38" s="3"/>
      <c r="B38" s="307" t="s">
        <v>415</v>
      </c>
      <c r="C38" s="308" t="str">
        <f>CONCATENATE("Bugetul Cumulativ (in ",'Introducerea datelor'!$D$26,")")</f>
        <v>Bugetul Cumulativ (in €)</v>
      </c>
      <c r="D38" s="309" t="str">
        <f>CONCATENATE("Cheltuielile Cumulative (in ",'Introducerea datelor'!$D$26,")")</f>
        <v>Cheltuielile Cumulative (in €)</v>
      </c>
      <c r="E38" s="213"/>
      <c r="F38" s="224"/>
      <c r="G38" s="472"/>
      <c r="H38" s="3"/>
      <c r="I38" s="3"/>
      <c r="J38" s="403"/>
      <c r="K38" s="404"/>
      <c r="N38"/>
      <c r="O38"/>
      <c r="P38"/>
      <c r="AB38" s="20"/>
      <c r="AC38" s="35"/>
    </row>
    <row r="39" spans="1:32" ht="30" customHeight="1">
      <c r="A39" s="3"/>
      <c r="B39" s="376" t="s">
        <v>34</v>
      </c>
      <c r="C39" s="305">
        <v>1909544.5</v>
      </c>
      <c r="D39" s="310">
        <v>1933545.4861699881</v>
      </c>
      <c r="E39" s="15"/>
      <c r="F39" s="384"/>
      <c r="G39" s="472"/>
      <c r="H39" s="403"/>
      <c r="I39" s="403"/>
      <c r="J39" s="403"/>
      <c r="K39" s="513"/>
      <c r="N39"/>
      <c r="O39"/>
      <c r="P39"/>
      <c r="AB39" s="20"/>
      <c r="AC39" s="35"/>
    </row>
    <row r="40" spans="1:32" ht="45">
      <c r="A40" s="3"/>
      <c r="B40" s="376" t="s">
        <v>35</v>
      </c>
      <c r="C40" s="305">
        <v>1843562.83</v>
      </c>
      <c r="D40" s="310">
        <v>1646586.7180525055</v>
      </c>
      <c r="E40" s="15"/>
      <c r="F40" s="384"/>
      <c r="G40" s="472"/>
      <c r="H40" s="3"/>
      <c r="I40" s="405"/>
      <c r="J40" s="403"/>
      <c r="K40" s="513"/>
      <c r="N40"/>
      <c r="O40"/>
      <c r="P40"/>
      <c r="AB40" s="20"/>
      <c r="AC40" s="35"/>
    </row>
    <row r="41" spans="1:32" ht="30" customHeight="1">
      <c r="A41" s="3"/>
      <c r="B41" s="376" t="s">
        <v>16</v>
      </c>
      <c r="C41" s="306">
        <v>342209</v>
      </c>
      <c r="D41" s="310">
        <v>340362.61365853663</v>
      </c>
      <c r="E41" s="15"/>
      <c r="F41" s="384"/>
      <c r="G41" s="472"/>
      <c r="H41" s="3"/>
      <c r="I41" s="3"/>
      <c r="K41" s="513"/>
      <c r="N41"/>
      <c r="O41"/>
      <c r="P41"/>
      <c r="AB41" s="20"/>
      <c r="AC41" s="35"/>
    </row>
    <row r="42" spans="1:32" ht="30" customHeight="1">
      <c r="A42" s="3"/>
      <c r="B42" s="376" t="s">
        <v>15</v>
      </c>
      <c r="C42" s="305">
        <v>102080</v>
      </c>
      <c r="D42" s="310">
        <v>106798.33</v>
      </c>
      <c r="E42" s="15"/>
      <c r="F42" s="384"/>
      <c r="G42" s="472"/>
      <c r="H42" s="3"/>
      <c r="I42" s="3"/>
      <c r="N42"/>
      <c r="O42"/>
      <c r="P42"/>
      <c r="AB42" s="20"/>
      <c r="AC42" s="35"/>
    </row>
    <row r="43" spans="1:32" ht="31.5" customHeight="1">
      <c r="A43" s="3"/>
      <c r="B43" s="376" t="s">
        <v>17</v>
      </c>
      <c r="C43" s="306">
        <v>707986.41999999993</v>
      </c>
      <c r="D43" s="310">
        <v>671331.6</v>
      </c>
      <c r="E43" s="15"/>
      <c r="F43" s="384"/>
      <c r="G43" s="487"/>
      <c r="H43" s="3"/>
      <c r="I43" s="3"/>
      <c r="K43" s="514"/>
      <c r="N43"/>
      <c r="O43"/>
      <c r="P43"/>
      <c r="AB43" s="20"/>
      <c r="AC43" s="35"/>
    </row>
    <row r="44" spans="1:32" ht="15" customHeight="1">
      <c r="A44" s="3"/>
      <c r="B44" s="376" t="s">
        <v>18</v>
      </c>
      <c r="C44" s="306">
        <v>19227</v>
      </c>
      <c r="D44" s="310">
        <v>18754.98</v>
      </c>
      <c r="E44" s="15"/>
      <c r="F44" s="384"/>
      <c r="G44" s="487"/>
      <c r="H44" s="3"/>
      <c r="I44" s="3"/>
      <c r="N44"/>
      <c r="O44"/>
      <c r="P44"/>
      <c r="AB44" s="20"/>
      <c r="AC44" s="35"/>
    </row>
    <row r="45" spans="1:32">
      <c r="A45" s="3"/>
      <c r="B45" s="376" t="s">
        <v>19</v>
      </c>
      <c r="C45" s="306">
        <v>1011251.25</v>
      </c>
      <c r="D45" s="310">
        <v>1111298.5820276607</v>
      </c>
      <c r="E45" s="15"/>
      <c r="F45" s="384"/>
      <c r="G45" s="472"/>
      <c r="H45" s="3"/>
      <c r="I45" s="3"/>
      <c r="J45" s="392"/>
      <c r="K45" s="515"/>
      <c r="N45"/>
      <c r="O45"/>
      <c r="P45"/>
      <c r="AB45" s="20"/>
      <c r="AC45" s="35"/>
    </row>
    <row r="46" spans="1:32" ht="0.75" customHeight="1" thickBot="1">
      <c r="A46" s="3"/>
      <c r="B46" s="377"/>
      <c r="C46" s="305"/>
      <c r="D46" s="310"/>
      <c r="E46" s="15"/>
      <c r="F46" s="384"/>
      <c r="G46" s="472"/>
      <c r="H46" s="3"/>
      <c r="I46" s="3"/>
      <c r="J46" s="392"/>
      <c r="K46" s="406"/>
      <c r="N46"/>
      <c r="O46"/>
      <c r="P46"/>
      <c r="AB46" s="20"/>
      <c r="AC46" s="35"/>
    </row>
    <row r="47" spans="1:32" ht="15.75" thickBot="1">
      <c r="A47" s="3"/>
      <c r="B47" s="311" t="s">
        <v>88</v>
      </c>
      <c r="C47" s="312">
        <f>SUM(C39:C46)</f>
        <v>5935861</v>
      </c>
      <c r="D47" s="313">
        <f>SUM(D39:D46)</f>
        <v>5828678.3099086918</v>
      </c>
      <c r="E47" s="222"/>
      <c r="F47" s="648" t="str">
        <f ca="1">+IF((ROUND(C47,0)=ROUND(OFFSET(B33,0,RIGHT('Introducerea datelor'!$C$16,LEN('Introducerea datelor'!$C$16)-1),1,1),0)),"OK: Datele coincid","Atentie: Datele nu coincid")</f>
        <v>OK: Datele coincid</v>
      </c>
      <c r="G47" s="649"/>
      <c r="H47" s="649"/>
      <c r="I47" s="650"/>
      <c r="J47" s="407"/>
      <c r="K47" s="407"/>
      <c r="L47" s="165"/>
      <c r="M47" s="169"/>
      <c r="N47" s="170"/>
      <c r="O47" s="170"/>
      <c r="P47" s="168"/>
      <c r="AB47" s="35"/>
      <c r="AC47" s="35"/>
    </row>
    <row r="48" spans="1:32">
      <c r="A48" s="3"/>
      <c r="B48" s="3"/>
      <c r="C48" s="165"/>
      <c r="D48" s="165"/>
      <c r="E48" s="211"/>
      <c r="F48" s="165"/>
      <c r="G48" s="488"/>
      <c r="H48" s="165"/>
      <c r="I48" s="165"/>
      <c r="J48" s="407"/>
      <c r="K48" s="407"/>
      <c r="L48" s="165"/>
      <c r="M48" s="165"/>
      <c r="N48" s="165"/>
      <c r="O48" s="165"/>
      <c r="P48" s="165"/>
      <c r="Q48" s="168"/>
      <c r="R48" s="167"/>
    </row>
    <row r="49" spans="1:32" ht="18.75">
      <c r="A49" s="3"/>
      <c r="B49" s="85" t="s">
        <v>416</v>
      </c>
      <c r="C49" s="3"/>
      <c r="D49" s="3"/>
      <c r="E49" s="3"/>
      <c r="F49" s="3"/>
      <c r="G49" s="472"/>
      <c r="H49" s="3"/>
      <c r="I49" s="3"/>
      <c r="J49" s="392"/>
      <c r="K49" s="407"/>
      <c r="L49" s="3"/>
      <c r="M49" s="3"/>
      <c r="Q49" s="168">
        <f>+J33</f>
        <v>4693928.5199999996</v>
      </c>
      <c r="R49" s="167"/>
    </row>
    <row r="50" spans="1:32" ht="15.75" thickBot="1">
      <c r="A50" s="3"/>
      <c r="B50" s="3"/>
      <c r="C50" s="3"/>
      <c r="D50" s="3"/>
      <c r="E50" s="3"/>
      <c r="F50" s="3"/>
      <c r="G50" s="472"/>
      <c r="H50" s="3"/>
      <c r="I50" s="3"/>
      <c r="J50" s="392"/>
      <c r="K50" s="407"/>
      <c r="L50" s="3"/>
      <c r="M50" s="3"/>
      <c r="Q50" s="168">
        <f>+K33</f>
        <v>5281390.0399999991</v>
      </c>
      <c r="R50" s="167"/>
    </row>
    <row r="51" spans="1:32" ht="35.25" customHeight="1">
      <c r="A51" s="3"/>
      <c r="B51" s="227"/>
      <c r="C51" s="228" t="s">
        <v>378</v>
      </c>
      <c r="D51" s="228" t="s">
        <v>379</v>
      </c>
      <c r="E51" s="325" t="str">
        <f>CONCATENATE("Total Cheltuit și debursat (in ",D26,")")</f>
        <v>Total Cheltuit și debursat (in €)</v>
      </c>
      <c r="F51" s="3"/>
      <c r="G51" s="472"/>
      <c r="H51" s="224"/>
      <c r="I51" s="216"/>
      <c r="J51" s="408"/>
      <c r="K51" s="407"/>
      <c r="L51" s="216"/>
      <c r="M51" s="21"/>
      <c r="N51" s="21"/>
      <c r="O51" s="21"/>
      <c r="P51" s="167"/>
      <c r="Q51" s="167"/>
      <c r="AE51" s="20"/>
    </row>
    <row r="52" spans="1:32">
      <c r="A52" s="3"/>
      <c r="B52" s="225" t="s">
        <v>417</v>
      </c>
      <c r="C52" s="297">
        <v>6777481.9000000004</v>
      </c>
      <c r="D52" s="298">
        <v>0</v>
      </c>
      <c r="E52" s="299">
        <f>+D52+C52</f>
        <v>6777481.9000000004</v>
      </c>
      <c r="F52" s="3"/>
      <c r="G52" s="472"/>
      <c r="H52" s="90"/>
      <c r="I52" s="90"/>
      <c r="J52" s="409"/>
      <c r="K52" s="407"/>
      <c r="L52" s="91"/>
      <c r="M52" s="36"/>
      <c r="N52" s="36"/>
      <c r="O52" s="36"/>
      <c r="P52" s="167"/>
      <c r="Q52" s="167"/>
      <c r="AE52" s="20"/>
    </row>
    <row r="53" spans="1:32">
      <c r="A53" s="3"/>
      <c r="B53" s="225" t="s">
        <v>418</v>
      </c>
      <c r="C53" s="297">
        <v>5250145.53</v>
      </c>
      <c r="D53" s="297">
        <v>632433.25990869093</v>
      </c>
      <c r="E53" s="299">
        <f>+D53+C53</f>
        <v>5882578.7899086913</v>
      </c>
      <c r="F53" s="3"/>
      <c r="G53" s="472"/>
      <c r="H53" s="90"/>
      <c r="I53" s="90"/>
      <c r="J53" s="409"/>
      <c r="K53" s="407"/>
      <c r="L53" s="91"/>
      <c r="M53" s="37"/>
      <c r="N53" s="37"/>
      <c r="O53" s="37"/>
      <c r="P53" s="167"/>
      <c r="Q53" s="167"/>
      <c r="AE53" s="20"/>
    </row>
    <row r="54" spans="1:32">
      <c r="A54" s="3"/>
      <c r="B54" s="225" t="s">
        <v>419</v>
      </c>
      <c r="C54" s="297">
        <v>2737382.59</v>
      </c>
      <c r="D54" s="297">
        <v>358205.25</v>
      </c>
      <c r="E54" s="299">
        <f>+D54+C54</f>
        <v>3095587.84</v>
      </c>
      <c r="F54" s="3"/>
      <c r="G54" s="472"/>
      <c r="H54" s="90"/>
      <c r="I54" s="90"/>
      <c r="J54" s="409"/>
      <c r="K54" s="407"/>
      <c r="L54" s="91"/>
      <c r="M54" s="36"/>
      <c r="N54" s="36"/>
      <c r="O54" s="36"/>
      <c r="P54"/>
      <c r="AE54" s="20"/>
    </row>
    <row r="55" spans="1:32" ht="15.75" thickBot="1">
      <c r="A55" s="3"/>
      <c r="B55" s="226" t="s">
        <v>420</v>
      </c>
      <c r="C55" s="300">
        <v>2683482.0999999996</v>
      </c>
      <c r="D55" s="300">
        <v>316902.34999999998</v>
      </c>
      <c r="E55" s="301">
        <f>+D55+C55</f>
        <v>3000384.4499999997</v>
      </c>
      <c r="F55" s="3"/>
      <c r="G55" s="472"/>
      <c r="H55" s="230"/>
      <c r="I55" s="92"/>
      <c r="J55" s="410"/>
      <c r="K55" s="410"/>
      <c r="L55" s="91"/>
      <c r="M55" s="92"/>
      <c r="N55" s="37"/>
      <c r="O55" s="37"/>
      <c r="P55"/>
      <c r="AE55" s="20"/>
    </row>
    <row r="56" spans="1:32" ht="10.5" customHeight="1">
      <c r="A56" s="3"/>
      <c r="B56" s="3"/>
      <c r="C56" s="3"/>
      <c r="D56" s="3"/>
      <c r="E56" s="3"/>
      <c r="F56" s="3"/>
      <c r="G56" s="472"/>
      <c r="H56" s="3"/>
      <c r="I56" s="3"/>
      <c r="J56" s="392"/>
      <c r="K56" s="392"/>
      <c r="L56" s="3"/>
      <c r="M56" s="3"/>
      <c r="AF56" s="20"/>
    </row>
    <row r="57" spans="1:32" ht="10.5" customHeight="1">
      <c r="A57" s="3"/>
      <c r="B57" s="3"/>
      <c r="C57" s="3"/>
      <c r="D57" s="214"/>
      <c r="E57" s="3"/>
      <c r="F57" s="3"/>
      <c r="G57" s="472"/>
      <c r="H57" s="3"/>
      <c r="I57" s="3"/>
      <c r="J57" s="392"/>
      <c r="K57" s="392"/>
      <c r="L57" s="3"/>
      <c r="M57" s="3"/>
    </row>
    <row r="58" spans="1:32" ht="18.75">
      <c r="A58" s="3"/>
      <c r="B58" s="85" t="s">
        <v>421</v>
      </c>
      <c r="C58" s="3"/>
      <c r="D58" s="3"/>
      <c r="E58" s="3"/>
      <c r="F58" s="3"/>
      <c r="G58" s="472"/>
      <c r="H58" s="3"/>
      <c r="I58" s="3"/>
      <c r="J58" s="392"/>
      <c r="K58" s="392"/>
      <c r="L58" s="3"/>
      <c r="M58" s="3"/>
    </row>
    <row r="59" spans="1:32" ht="15.75" thickBot="1">
      <c r="A59" s="3"/>
      <c r="B59" s="3"/>
      <c r="C59" s="3"/>
      <c r="D59" s="3"/>
      <c r="E59" s="3"/>
      <c r="F59" s="3"/>
      <c r="G59" s="472"/>
      <c r="H59" s="3"/>
      <c r="I59" s="3"/>
      <c r="J59" s="392"/>
      <c r="K59" s="392"/>
      <c r="L59" s="3"/>
      <c r="M59" s="3"/>
    </row>
    <row r="60" spans="1:32" ht="45">
      <c r="A60" s="3"/>
      <c r="B60" s="455" t="s">
        <v>422</v>
      </c>
      <c r="C60" s="456"/>
      <c r="D60" s="457"/>
      <c r="E60" s="3"/>
      <c r="F60" s="3"/>
      <c r="G60" s="472"/>
      <c r="H60" s="3"/>
      <c r="I60" s="3"/>
      <c r="J60" s="392"/>
      <c r="K60" s="392"/>
      <c r="L60" s="3"/>
      <c r="M60" s="35"/>
      <c r="P60"/>
    </row>
    <row r="61" spans="1:32" ht="45">
      <c r="A61" s="3"/>
      <c r="B61" s="93"/>
      <c r="C61" s="369" t="s">
        <v>426</v>
      </c>
      <c r="D61" s="382" t="s">
        <v>427</v>
      </c>
      <c r="E61" s="3"/>
      <c r="F61" s="3"/>
      <c r="G61" s="472"/>
      <c r="H61" s="3"/>
      <c r="I61" s="3"/>
      <c r="J61" s="392"/>
      <c r="K61" s="392"/>
      <c r="L61" s="3"/>
      <c r="M61" s="35"/>
      <c r="P61"/>
    </row>
    <row r="62" spans="1:32" ht="45">
      <c r="A62" s="3"/>
      <c r="B62" s="366" t="s">
        <v>423</v>
      </c>
      <c r="C62" s="283">
        <v>45</v>
      </c>
      <c r="D62" s="378">
        <v>42</v>
      </c>
      <c r="E62" s="3"/>
      <c r="F62" s="3"/>
      <c r="G62" s="472"/>
      <c r="H62" s="3"/>
      <c r="I62" s="3"/>
      <c r="J62" s="392"/>
      <c r="K62" s="392"/>
      <c r="L62" s="3"/>
      <c r="M62" s="35"/>
      <c r="P62"/>
    </row>
    <row r="63" spans="1:32" ht="30">
      <c r="A63" s="3"/>
      <c r="B63" s="367" t="s">
        <v>424</v>
      </c>
      <c r="C63" s="283">
        <v>45</v>
      </c>
      <c r="D63" s="378">
        <v>45</v>
      </c>
      <c r="E63" s="3"/>
      <c r="F63" s="3"/>
      <c r="G63" s="472"/>
      <c r="H63" s="229"/>
      <c r="I63" s="229"/>
      <c r="J63" s="392"/>
      <c r="K63" s="392"/>
      <c r="L63" s="3"/>
      <c r="M63" s="35"/>
      <c r="P63"/>
    </row>
    <row r="64" spans="1:32" ht="30.75" thickBot="1">
      <c r="A64" s="3"/>
      <c r="B64" s="368" t="s">
        <v>425</v>
      </c>
      <c r="C64" s="284">
        <v>20</v>
      </c>
      <c r="D64" s="379">
        <v>5</v>
      </c>
      <c r="E64" s="3"/>
      <c r="F64" s="3"/>
      <c r="G64" s="472"/>
      <c r="H64" s="229"/>
      <c r="I64" s="229"/>
      <c r="J64" s="392"/>
      <c r="K64" s="392"/>
      <c r="L64" s="3"/>
      <c r="M64" s="35"/>
      <c r="P64"/>
    </row>
    <row r="65" spans="1:27">
      <c r="A65" s="3"/>
      <c r="B65" s="3"/>
      <c r="C65" s="3"/>
      <c r="D65" s="3"/>
      <c r="E65" s="3"/>
      <c r="F65" s="3"/>
      <c r="G65" s="472"/>
      <c r="H65" s="3"/>
      <c r="I65" s="3"/>
      <c r="J65" s="392"/>
      <c r="K65" s="392"/>
      <c r="L65" s="3"/>
      <c r="M65" s="3"/>
    </row>
    <row r="66" spans="1:27" ht="10.5" customHeight="1" thickBot="1">
      <c r="A66" s="3"/>
      <c r="B66" s="3"/>
      <c r="C66" s="3"/>
      <c r="D66" s="3"/>
      <c r="E66" s="3"/>
      <c r="F66" s="3"/>
      <c r="G66" s="472"/>
      <c r="H66" s="3"/>
      <c r="I66" s="3"/>
      <c r="J66" s="392"/>
      <c r="K66" s="392"/>
      <c r="L66" s="321"/>
      <c r="M66" s="3"/>
      <c r="Z66" s="19"/>
      <c r="AA66" s="19"/>
    </row>
    <row r="67" spans="1:27" ht="19.5" thickBot="1">
      <c r="A67" s="3"/>
      <c r="B67" s="94" t="s">
        <v>428</v>
      </c>
      <c r="C67" s="95"/>
      <c r="D67" s="95"/>
      <c r="E67" s="95" t="s">
        <v>377</v>
      </c>
      <c r="F67" s="95" t="s">
        <v>429</v>
      </c>
      <c r="G67" s="489"/>
      <c r="H67" s="370" t="s">
        <v>430</v>
      </c>
      <c r="I67" s="95"/>
      <c r="J67" s="411"/>
      <c r="K67" s="411"/>
      <c r="L67" s="322"/>
      <c r="M67" s="323"/>
      <c r="N67" s="80"/>
      <c r="O67" s="80"/>
      <c r="P67" s="80"/>
      <c r="R67" s="41"/>
      <c r="Z67" s="19"/>
      <c r="AA67" s="19"/>
    </row>
    <row r="68" spans="1:27" ht="18.75">
      <c r="A68" s="3"/>
      <c r="B68" s="97"/>
      <c r="C68" s="96"/>
      <c r="D68" s="96"/>
      <c r="E68" s="96"/>
      <c r="F68" s="96"/>
      <c r="G68" s="490"/>
      <c r="H68" s="96"/>
      <c r="I68" s="96"/>
      <c r="J68" s="412"/>
      <c r="K68" s="413"/>
      <c r="L68" s="98"/>
      <c r="M68" s="96"/>
      <c r="N68" s="80"/>
      <c r="O68" s="80"/>
      <c r="P68" s="80"/>
      <c r="R68" s="41"/>
      <c r="Z68" s="19"/>
      <c r="AA68" s="19"/>
    </row>
    <row r="69" spans="1:27" ht="18.75">
      <c r="A69" s="3"/>
      <c r="B69" s="97" t="s">
        <v>431</v>
      </c>
      <c r="C69" s="96"/>
      <c r="D69" s="96"/>
      <c r="E69" s="96"/>
      <c r="F69" s="96"/>
      <c r="G69" s="490"/>
      <c r="H69" s="96"/>
      <c r="I69" s="96"/>
      <c r="J69" s="412"/>
      <c r="K69" s="413"/>
      <c r="L69" s="98"/>
      <c r="M69" s="96"/>
      <c r="N69" s="80"/>
      <c r="O69" s="80"/>
      <c r="P69" s="80"/>
      <c r="R69" s="41"/>
      <c r="Z69" s="19"/>
      <c r="AA69" s="19"/>
    </row>
    <row r="70" spans="1:27" ht="15.75" thickBot="1">
      <c r="A70" s="3"/>
      <c r="B70" s="2"/>
      <c r="C70" s="99"/>
      <c r="D70" s="99"/>
      <c r="E70" s="99"/>
      <c r="F70" s="99"/>
      <c r="G70" s="491"/>
      <c r="H70" s="2"/>
      <c r="I70" s="99"/>
      <c r="J70" s="395"/>
      <c r="K70" s="395"/>
      <c r="L70" s="2"/>
      <c r="M70" s="2"/>
      <c r="N70" s="20"/>
      <c r="O70" s="20"/>
      <c r="P70" s="19"/>
      <c r="Q70" s="19"/>
      <c r="R70" s="19"/>
      <c r="AA70" s="19"/>
    </row>
    <row r="71" spans="1:27" ht="105">
      <c r="A71" s="3"/>
      <c r="B71" s="463"/>
      <c r="C71" s="464"/>
      <c r="D71" s="387" t="s">
        <v>434</v>
      </c>
      <c r="E71" s="387" t="s">
        <v>435</v>
      </c>
      <c r="F71" s="387" t="s">
        <v>436</v>
      </c>
      <c r="G71" s="388" t="s">
        <v>88</v>
      </c>
      <c r="H71" s="238"/>
      <c r="I71" s="239"/>
      <c r="J71" s="405"/>
      <c r="K71" s="395"/>
      <c r="L71" s="2"/>
      <c r="M71" s="2"/>
      <c r="N71" s="20"/>
      <c r="O71" s="20"/>
      <c r="P71" s="19"/>
      <c r="Q71" s="19"/>
      <c r="R71" s="19"/>
    </row>
    <row r="72" spans="1:27">
      <c r="A72" s="3"/>
      <c r="B72" s="448" t="s">
        <v>432</v>
      </c>
      <c r="C72" s="449"/>
      <c r="D72" s="205">
        <v>3</v>
      </c>
      <c r="E72" s="205">
        <v>0</v>
      </c>
      <c r="F72" s="205"/>
      <c r="G72" s="492">
        <f>SUM(D72:F72)</f>
        <v>3</v>
      </c>
      <c r="H72" s="223"/>
      <c r="I72" s="237"/>
      <c r="J72" s="414"/>
      <c r="K72" s="395"/>
      <c r="L72" s="2"/>
      <c r="M72" s="2"/>
      <c r="N72" s="20"/>
      <c r="O72" s="20"/>
      <c r="P72" s="19"/>
      <c r="Q72" s="19"/>
      <c r="R72" s="19"/>
    </row>
    <row r="73" spans="1:27" ht="15.75" thickBot="1">
      <c r="A73" s="3"/>
      <c r="B73" s="458" t="s">
        <v>433</v>
      </c>
      <c r="C73" s="459"/>
      <c r="D73" s="206"/>
      <c r="E73" s="206"/>
      <c r="F73" s="206"/>
      <c r="G73" s="493">
        <f>SUM(D73:F73)</f>
        <v>0</v>
      </c>
      <c r="H73" s="223"/>
      <c r="I73" s="15"/>
      <c r="J73" s="405"/>
      <c r="K73" s="395"/>
      <c r="L73" s="2"/>
      <c r="M73" s="2"/>
      <c r="N73" s="19"/>
      <c r="O73" s="19"/>
      <c r="P73" s="19"/>
      <c r="Q73" s="19"/>
      <c r="R73" s="19"/>
    </row>
    <row r="74" spans="1:27">
      <c r="A74" s="3"/>
      <c r="B74" s="2"/>
      <c r="C74" s="2"/>
      <c r="D74" s="2"/>
      <c r="E74" s="2"/>
      <c r="F74" s="2"/>
      <c r="G74" s="477"/>
      <c r="H74" s="2"/>
      <c r="I74" s="2"/>
      <c r="J74" s="395"/>
      <c r="K74" s="395"/>
      <c r="L74" s="2"/>
      <c r="M74" s="2"/>
      <c r="N74" s="19"/>
      <c r="O74" s="19"/>
      <c r="P74" s="19"/>
      <c r="Q74" s="19"/>
      <c r="R74" s="19"/>
    </row>
    <row r="75" spans="1:27" ht="4.5" customHeight="1">
      <c r="A75" s="3"/>
      <c r="B75" s="2"/>
      <c r="C75" s="2"/>
      <c r="D75" s="2"/>
      <c r="E75" s="2"/>
      <c r="F75" s="2"/>
      <c r="G75" s="477"/>
      <c r="H75" s="2"/>
      <c r="I75" s="2"/>
      <c r="J75" s="395"/>
      <c r="K75" s="395"/>
      <c r="L75" s="2"/>
      <c r="M75" s="2"/>
      <c r="N75" s="19"/>
      <c r="O75" s="19"/>
      <c r="P75" s="19"/>
      <c r="R75" s="19"/>
    </row>
    <row r="76" spans="1:27" ht="18.75">
      <c r="A76" s="3"/>
      <c r="B76" s="97" t="s">
        <v>437</v>
      </c>
      <c r="C76" s="2"/>
      <c r="D76" s="2"/>
      <c r="E76" s="2"/>
      <c r="F76" s="2"/>
      <c r="G76" s="477"/>
      <c r="H76" s="2"/>
      <c r="I76" s="2"/>
      <c r="J76" s="395"/>
      <c r="K76" s="395"/>
      <c r="L76" s="2"/>
      <c r="M76" s="2"/>
      <c r="N76" s="19"/>
      <c r="O76" s="19"/>
      <c r="P76" s="19"/>
      <c r="R76" s="19"/>
    </row>
    <row r="77" spans="1:27" ht="15.75" thickBot="1">
      <c r="A77" s="3"/>
      <c r="B77" s="2"/>
      <c r="C77" s="2"/>
      <c r="D77" s="2"/>
      <c r="E77" s="2"/>
      <c r="F77" s="2"/>
      <c r="G77" s="477"/>
      <c r="H77" s="2"/>
      <c r="I77" s="2"/>
      <c r="J77" s="395"/>
      <c r="K77" s="395"/>
      <c r="L77" s="2"/>
      <c r="M77" s="2"/>
      <c r="N77" s="19"/>
      <c r="O77" s="19"/>
      <c r="P77" s="19"/>
      <c r="R77" s="19"/>
    </row>
    <row r="78" spans="1:27" ht="30">
      <c r="A78" s="3"/>
      <c r="B78" s="102"/>
      <c r="C78" s="385" t="s">
        <v>438</v>
      </c>
      <c r="D78" s="385" t="s">
        <v>439</v>
      </c>
      <c r="E78" s="386" t="s">
        <v>440</v>
      </c>
      <c r="F78" s="15"/>
      <c r="G78" s="494"/>
      <c r="H78" s="15"/>
      <c r="I78" s="239"/>
      <c r="J78" s="395"/>
      <c r="K78" s="395"/>
      <c r="L78" s="2"/>
      <c r="M78" s="2"/>
      <c r="N78" s="19"/>
      <c r="O78" s="19"/>
      <c r="P78" s="19"/>
      <c r="R78" s="19"/>
    </row>
    <row r="79" spans="1:27" ht="15.75" thickBot="1">
      <c r="A79" s="3"/>
      <c r="B79" s="103" t="s">
        <v>400</v>
      </c>
      <c r="C79" s="277">
        <v>14</v>
      </c>
      <c r="D79" s="277">
        <v>14</v>
      </c>
      <c r="E79" s="278">
        <v>0</v>
      </c>
      <c r="F79" s="208"/>
      <c r="G79" s="495"/>
      <c r="H79" s="15"/>
      <c r="I79" s="237"/>
      <c r="J79" s="395"/>
      <c r="K79" s="395"/>
      <c r="L79" s="2"/>
      <c r="M79" s="2"/>
      <c r="N79" s="19"/>
      <c r="O79" s="19"/>
      <c r="P79" s="19"/>
      <c r="R79" s="19"/>
    </row>
    <row r="80" spans="1:27">
      <c r="A80" s="3"/>
      <c r="B80" s="2"/>
      <c r="C80" s="2"/>
      <c r="D80" s="2"/>
      <c r="E80" s="2"/>
      <c r="F80" s="2"/>
      <c r="G80" s="477"/>
      <c r="H80" s="2"/>
      <c r="I80" s="2"/>
      <c r="J80" s="395"/>
      <c r="K80" s="395"/>
      <c r="L80" s="2"/>
      <c r="M80" s="2"/>
      <c r="N80" s="19"/>
      <c r="O80" s="19"/>
      <c r="P80" s="19"/>
      <c r="R80" s="19"/>
    </row>
    <row r="81" spans="1:33" ht="18.75">
      <c r="A81" s="3"/>
      <c r="B81" s="97" t="s">
        <v>441</v>
      </c>
      <c r="C81" s="2"/>
      <c r="D81" s="2"/>
      <c r="E81" s="2"/>
      <c r="F81" s="2"/>
      <c r="G81" s="477"/>
      <c r="H81" s="2"/>
      <c r="I81" s="2"/>
      <c r="J81" s="395"/>
      <c r="K81" s="395"/>
      <c r="L81" s="2"/>
      <c r="M81" s="2"/>
      <c r="N81" s="19"/>
      <c r="O81" s="19"/>
      <c r="P81" s="19"/>
      <c r="R81" s="19"/>
    </row>
    <row r="82" spans="1:33" ht="15.75" thickBot="1">
      <c r="A82" s="3"/>
      <c r="B82" s="2"/>
      <c r="C82" s="2"/>
      <c r="D82" s="2"/>
      <c r="E82" s="2"/>
      <c r="F82" s="2"/>
      <c r="G82" s="477"/>
      <c r="H82" s="2"/>
      <c r="I82" s="2"/>
      <c r="J82" s="395"/>
      <c r="K82" s="395"/>
      <c r="L82" s="2"/>
      <c r="M82" s="2"/>
      <c r="N82" s="19"/>
      <c r="O82" s="19"/>
      <c r="P82" s="19"/>
      <c r="R82" s="19"/>
    </row>
    <row r="83" spans="1:33" ht="60">
      <c r="A83" s="3"/>
      <c r="B83" s="102"/>
      <c r="C83" s="385" t="s">
        <v>442</v>
      </c>
      <c r="D83" s="385" t="s">
        <v>30</v>
      </c>
      <c r="E83" s="385" t="s">
        <v>443</v>
      </c>
      <c r="F83" s="385" t="s">
        <v>444</v>
      </c>
      <c r="G83" s="386" t="s">
        <v>31</v>
      </c>
      <c r="H83" s="212"/>
      <c r="I83" s="239"/>
      <c r="J83" s="395"/>
      <c r="K83" s="395"/>
      <c r="L83" s="2"/>
      <c r="M83" s="2"/>
      <c r="N83" s="19"/>
      <c r="O83" s="19"/>
      <c r="P83" s="19"/>
      <c r="R83" s="19"/>
    </row>
    <row r="84" spans="1:33" ht="15.75" thickBot="1">
      <c r="A84" s="3"/>
      <c r="B84" s="103" t="s">
        <v>145</v>
      </c>
      <c r="C84" s="277">
        <v>3</v>
      </c>
      <c r="D84" s="277">
        <v>2</v>
      </c>
      <c r="E84" s="277">
        <v>3</v>
      </c>
      <c r="F84" s="277">
        <v>3</v>
      </c>
      <c r="G84" s="496">
        <v>3</v>
      </c>
      <c r="H84" s="240"/>
      <c r="I84" s="223"/>
      <c r="J84" s="395"/>
      <c r="K84" s="395"/>
      <c r="L84" s="2"/>
      <c r="M84" s="2"/>
      <c r="N84" s="19"/>
      <c r="O84" s="19"/>
      <c r="P84" s="19"/>
      <c r="R84" s="19"/>
    </row>
    <row r="85" spans="1:33">
      <c r="A85" s="3"/>
      <c r="B85" s="2"/>
      <c r="C85" s="2"/>
      <c r="D85" s="2"/>
      <c r="E85" s="2"/>
      <c r="F85" s="2"/>
      <c r="G85" s="477"/>
      <c r="H85" s="2"/>
      <c r="J85" s="395"/>
      <c r="K85" s="395"/>
      <c r="L85" s="2"/>
      <c r="M85" s="2"/>
      <c r="N85" s="19"/>
      <c r="O85" s="19"/>
      <c r="P85" s="19"/>
      <c r="R85" s="19"/>
    </row>
    <row r="86" spans="1:33" ht="18.75">
      <c r="A86" s="3"/>
      <c r="B86" s="97" t="s">
        <v>445</v>
      </c>
      <c r="C86" s="2"/>
      <c r="D86" s="2"/>
      <c r="E86" s="2"/>
      <c r="F86" s="2"/>
      <c r="G86" s="477"/>
      <c r="H86" s="2"/>
      <c r="I86" s="2"/>
      <c r="J86" s="395"/>
      <c r="K86" s="395"/>
      <c r="L86" s="2"/>
      <c r="M86" s="2"/>
      <c r="N86" s="19"/>
      <c r="O86" s="19"/>
      <c r="P86" s="19"/>
      <c r="R86" s="19"/>
    </row>
    <row r="87" spans="1:33" ht="15.75" thickBot="1">
      <c r="A87" s="3"/>
      <c r="B87" s="2"/>
      <c r="C87" s="2"/>
      <c r="D87" s="2"/>
      <c r="E87" s="2"/>
      <c r="F87" s="2"/>
      <c r="G87" s="477"/>
      <c r="H87" s="2"/>
      <c r="I87" s="2"/>
      <c r="J87" s="395"/>
      <c r="K87" s="395"/>
      <c r="L87" s="2"/>
      <c r="M87" s="2"/>
      <c r="N87" s="19"/>
      <c r="O87" s="19"/>
      <c r="P87" s="19"/>
      <c r="R87" s="19"/>
    </row>
    <row r="88" spans="1:33" ht="25.5">
      <c r="A88" s="3"/>
      <c r="B88" s="102"/>
      <c r="C88" s="389" t="s">
        <v>446</v>
      </c>
      <c r="D88" s="389" t="s">
        <v>447</v>
      </c>
      <c r="E88" s="390" t="s">
        <v>448</v>
      </c>
      <c r="F88" s="2"/>
      <c r="G88" s="477"/>
      <c r="H88" s="2"/>
      <c r="I88" s="2"/>
      <c r="J88" s="415"/>
      <c r="K88" s="415"/>
      <c r="L88" s="19"/>
      <c r="N88"/>
      <c r="O88"/>
      <c r="P88" s="19"/>
      <c r="AD88" s="35"/>
      <c r="AG88"/>
    </row>
    <row r="89" spans="1:33">
      <c r="A89" s="3"/>
      <c r="B89" s="100" t="s">
        <v>359</v>
      </c>
      <c r="C89" s="205">
        <v>8</v>
      </c>
      <c r="D89" s="391">
        <v>8</v>
      </c>
      <c r="E89" s="241">
        <f>C89-D89</f>
        <v>0</v>
      </c>
      <c r="F89" s="2"/>
      <c r="G89" s="477"/>
      <c r="H89" s="2"/>
      <c r="I89" s="2"/>
      <c r="J89" s="415"/>
      <c r="K89" s="415"/>
      <c r="L89" s="19"/>
      <c r="N89"/>
      <c r="O89"/>
      <c r="P89" s="19"/>
      <c r="AD89" s="35"/>
      <c r="AG89"/>
    </row>
    <row r="90" spans="1:33" ht="15.75" thickBot="1">
      <c r="A90" s="3"/>
      <c r="B90" s="101" t="s">
        <v>360</v>
      </c>
      <c r="C90" s="206">
        <v>3</v>
      </c>
      <c r="D90" s="242">
        <v>3</v>
      </c>
      <c r="E90" s="355">
        <f>C90-D90</f>
        <v>0</v>
      </c>
      <c r="F90" s="2"/>
      <c r="G90" s="477"/>
      <c r="H90" s="2"/>
      <c r="I90" s="2"/>
      <c r="J90" s="415"/>
      <c r="K90" s="415"/>
      <c r="L90" s="19"/>
      <c r="N90"/>
      <c r="O90"/>
      <c r="P90" s="19"/>
      <c r="AD90" s="35"/>
      <c r="AG90"/>
    </row>
    <row r="91" spans="1:33">
      <c r="A91" s="3"/>
      <c r="B91" s="2"/>
      <c r="C91" s="2"/>
      <c r="D91" s="2"/>
      <c r="E91" s="2"/>
      <c r="F91" s="2"/>
      <c r="G91" s="477"/>
      <c r="H91" s="2"/>
      <c r="I91" s="2"/>
      <c r="J91" s="395"/>
      <c r="K91" s="395"/>
      <c r="L91" s="2"/>
      <c r="M91" s="2"/>
      <c r="N91" s="19"/>
      <c r="O91" s="19"/>
      <c r="P91" s="19"/>
      <c r="R91" s="19"/>
    </row>
    <row r="92" spans="1:33" ht="18.75" hidden="1">
      <c r="A92" s="3"/>
      <c r="B92" s="97" t="s">
        <v>449</v>
      </c>
      <c r="C92" s="2"/>
      <c r="D92" s="2"/>
      <c r="E92" s="2"/>
      <c r="F92" s="2"/>
      <c r="G92" s="477"/>
      <c r="H92" s="2"/>
      <c r="I92" s="2"/>
      <c r="J92" s="395"/>
      <c r="K92" s="395"/>
      <c r="L92" s="2"/>
      <c r="M92" s="2"/>
      <c r="N92" s="19"/>
      <c r="O92" s="19"/>
      <c r="P92" s="19"/>
      <c r="R92" s="19"/>
    </row>
    <row r="93" spans="1:33" ht="15.75" hidden="1" thickBot="1">
      <c r="A93" s="3"/>
      <c r="B93" s="2"/>
      <c r="C93" s="2"/>
      <c r="D93" s="2"/>
      <c r="E93" s="2"/>
      <c r="F93" s="2"/>
      <c r="G93" s="477"/>
      <c r="H93" s="2"/>
      <c r="I93" s="15"/>
      <c r="J93" s="405"/>
      <c r="K93" s="405"/>
      <c r="L93" s="15"/>
      <c r="M93" s="15"/>
      <c r="N93" s="20"/>
      <c r="O93" s="20"/>
      <c r="P93" s="20"/>
      <c r="R93" s="19"/>
    </row>
    <row r="94" spans="1:33" hidden="1">
      <c r="A94" s="3"/>
      <c r="B94" s="178"/>
      <c r="C94" s="287" t="s">
        <v>127</v>
      </c>
      <c r="D94" s="287" t="s">
        <v>128</v>
      </c>
      <c r="E94" s="287" t="s">
        <v>129</v>
      </c>
      <c r="F94" s="287" t="s">
        <v>130</v>
      </c>
      <c r="G94" s="497" t="s">
        <v>138</v>
      </c>
      <c r="H94" s="287" t="s">
        <v>139</v>
      </c>
      <c r="I94" s="287" t="s">
        <v>140</v>
      </c>
      <c r="J94" s="416" t="s">
        <v>141</v>
      </c>
      <c r="K94" s="416" t="s">
        <v>142</v>
      </c>
      <c r="L94" s="287" t="s">
        <v>143</v>
      </c>
      <c r="M94" s="287" t="s">
        <v>144</v>
      </c>
      <c r="N94" s="288" t="s">
        <v>301</v>
      </c>
      <c r="O94" s="288" t="s">
        <v>396</v>
      </c>
      <c r="P94" s="20"/>
      <c r="R94" s="19"/>
    </row>
    <row r="95" spans="1:33" ht="15" hidden="1" customHeight="1">
      <c r="A95" s="3"/>
      <c r="B95" s="289" t="s">
        <v>450</v>
      </c>
      <c r="C95" s="279"/>
      <c r="D95" s="279"/>
      <c r="E95" s="279"/>
      <c r="F95" s="279"/>
      <c r="G95" s="279"/>
      <c r="H95" s="279"/>
      <c r="I95" s="279"/>
      <c r="J95" s="279"/>
      <c r="K95" s="279"/>
      <c r="L95" s="279"/>
      <c r="M95" s="279"/>
      <c r="N95" s="356"/>
      <c r="O95" s="356"/>
      <c r="P95" s="20"/>
      <c r="R95" s="19"/>
    </row>
    <row r="96" spans="1:33" ht="15" hidden="1" customHeight="1">
      <c r="A96" s="3"/>
      <c r="B96" s="289" t="s">
        <v>451</v>
      </c>
      <c r="C96" s="279"/>
      <c r="D96" s="279"/>
      <c r="E96" s="279"/>
      <c r="F96" s="279"/>
      <c r="G96" s="279"/>
      <c r="H96" s="279"/>
      <c r="I96" s="279"/>
      <c r="J96" s="279"/>
      <c r="K96" s="279"/>
      <c r="L96" s="279"/>
      <c r="M96" s="279"/>
      <c r="N96" s="356"/>
      <c r="O96" s="356"/>
      <c r="P96" s="20"/>
      <c r="R96" s="19"/>
    </row>
    <row r="97" spans="1:18" ht="15" hidden="1" customHeight="1">
      <c r="A97" s="3"/>
      <c r="B97" s="289" t="s">
        <v>452</v>
      </c>
      <c r="C97" s="279"/>
      <c r="D97" s="279"/>
      <c r="E97" s="279"/>
      <c r="F97" s="279"/>
      <c r="G97" s="279"/>
      <c r="H97" s="279"/>
      <c r="I97" s="279"/>
      <c r="J97" s="279"/>
      <c r="K97" s="279"/>
      <c r="L97" s="279"/>
      <c r="M97" s="279"/>
      <c r="N97" s="356"/>
      <c r="O97" s="356"/>
      <c r="P97" s="20"/>
      <c r="R97" s="19"/>
    </row>
    <row r="98" spans="1:18" ht="15" hidden="1" customHeight="1">
      <c r="A98" s="3"/>
      <c r="B98" s="243" t="s">
        <v>453</v>
      </c>
      <c r="C98" s="280"/>
      <c r="D98" s="280"/>
      <c r="E98" s="280"/>
      <c r="F98" s="280"/>
      <c r="G98" s="280"/>
      <c r="H98" s="280"/>
      <c r="I98" s="280"/>
      <c r="J98" s="280"/>
      <c r="K98" s="280"/>
      <c r="L98" s="280"/>
      <c r="M98" s="280"/>
      <c r="N98" s="357"/>
      <c r="O98" s="357"/>
      <c r="P98" s="20"/>
      <c r="R98" s="19"/>
    </row>
    <row r="99" spans="1:18" ht="15" hidden="1" customHeight="1">
      <c r="A99" s="3"/>
      <c r="B99" s="243" t="s">
        <v>454</v>
      </c>
      <c r="C99" s="280"/>
      <c r="D99" s="280"/>
      <c r="E99" s="280"/>
      <c r="F99" s="280"/>
      <c r="G99" s="280"/>
      <c r="H99" s="280"/>
      <c r="I99" s="280"/>
      <c r="J99" s="280"/>
      <c r="K99" s="280"/>
      <c r="L99" s="280"/>
      <c r="M99" s="280"/>
      <c r="N99" s="357"/>
      <c r="O99" s="357"/>
      <c r="P99" s="20"/>
      <c r="R99" s="19"/>
    </row>
    <row r="100" spans="1:18" ht="30.75" hidden="1" thickBot="1">
      <c r="A100" s="3"/>
      <c r="B100" s="352" t="s">
        <v>455</v>
      </c>
      <c r="C100" s="353"/>
      <c r="D100" s="354"/>
      <c r="E100" s="354"/>
      <c r="F100" s="354"/>
      <c r="G100" s="354"/>
      <c r="H100" s="354"/>
      <c r="I100" s="354"/>
      <c r="J100" s="354"/>
      <c r="K100" s="354"/>
      <c r="L100" s="354"/>
      <c r="M100" s="354"/>
      <c r="N100" s="358"/>
      <c r="O100" s="358"/>
      <c r="P100" s="20"/>
      <c r="R100" s="19"/>
    </row>
    <row r="101" spans="1:18" hidden="1">
      <c r="A101" s="3"/>
      <c r="B101" s="3"/>
      <c r="C101" s="2"/>
      <c r="D101" s="2"/>
      <c r="E101" s="2"/>
      <c r="F101" s="2"/>
      <c r="G101" s="477"/>
      <c r="H101" s="2"/>
      <c r="I101" s="15"/>
      <c r="J101" s="417"/>
      <c r="K101" s="418"/>
      <c r="L101" s="15"/>
      <c r="M101" s="104"/>
      <c r="N101" s="20"/>
      <c r="O101" s="20"/>
      <c r="P101" s="20"/>
      <c r="R101" s="19"/>
    </row>
    <row r="102" spans="1:18" hidden="1">
      <c r="A102" s="3"/>
      <c r="B102" s="2" t="s">
        <v>456</v>
      </c>
      <c r="C102" s="2"/>
      <c r="D102" s="2"/>
      <c r="E102" s="2"/>
      <c r="F102" s="2"/>
      <c r="G102" s="477"/>
      <c r="H102" s="2"/>
      <c r="I102" s="15"/>
      <c r="J102" s="417"/>
      <c r="K102" s="418"/>
      <c r="L102" s="15"/>
      <c r="M102" s="104"/>
      <c r="N102" s="20"/>
      <c r="O102" s="20"/>
      <c r="P102" s="20"/>
      <c r="R102" s="19"/>
    </row>
    <row r="103" spans="1:18" ht="11.25" hidden="1" customHeight="1">
      <c r="A103" s="3"/>
      <c r="C103" s="2"/>
      <c r="D103" s="2"/>
      <c r="E103" s="2"/>
      <c r="F103" s="2"/>
      <c r="G103" s="477"/>
      <c r="H103" s="2"/>
      <c r="I103" s="15"/>
      <c r="J103" s="417"/>
      <c r="K103" s="419"/>
      <c r="L103" s="15"/>
      <c r="M103" s="104"/>
      <c r="N103" s="20"/>
      <c r="O103" s="20"/>
      <c r="P103" s="20"/>
      <c r="R103" s="19"/>
    </row>
    <row r="104" spans="1:18" ht="3" hidden="1" customHeight="1">
      <c r="A104" s="3"/>
      <c r="B104" s="3"/>
      <c r="C104" s="3"/>
      <c r="D104" s="3"/>
      <c r="E104" s="3"/>
      <c r="F104" s="3"/>
      <c r="G104" s="472"/>
      <c r="H104" s="3"/>
      <c r="I104" s="15"/>
      <c r="J104" s="405"/>
      <c r="K104" s="405"/>
      <c r="L104" s="15"/>
      <c r="M104" s="15"/>
      <c r="N104" s="20"/>
      <c r="O104" s="20"/>
      <c r="P104" s="20"/>
    </row>
    <row r="105" spans="1:18" ht="18.75" hidden="1">
      <c r="A105" s="3"/>
      <c r="B105" s="97" t="s">
        <v>457</v>
      </c>
      <c r="C105" s="3"/>
      <c r="D105" s="3"/>
      <c r="E105" s="3"/>
      <c r="F105" s="3"/>
      <c r="G105" s="472"/>
      <c r="H105" s="3"/>
      <c r="I105" s="15"/>
      <c r="J105" s="405"/>
      <c r="K105" s="405"/>
      <c r="L105" s="15"/>
      <c r="M105" s="15"/>
      <c r="N105" s="20"/>
      <c r="O105" s="20"/>
      <c r="P105" s="20"/>
    </row>
    <row r="106" spans="1:18" ht="15.75" hidden="1" thickBot="1">
      <c r="A106" s="3"/>
      <c r="B106" s="3"/>
      <c r="C106" s="15"/>
      <c r="D106" s="15"/>
      <c r="E106" s="15"/>
      <c r="F106" s="15"/>
      <c r="G106" s="477"/>
      <c r="H106" s="2"/>
      <c r="I106" s="2"/>
      <c r="J106" s="405"/>
      <c r="K106" s="395"/>
      <c r="L106" s="15"/>
      <c r="M106" s="15"/>
      <c r="N106" s="20"/>
      <c r="O106" s="20"/>
      <c r="P106" s="20"/>
      <c r="R106" s="20"/>
    </row>
    <row r="107" spans="1:18" ht="90.75" hidden="1" customHeight="1">
      <c r="A107" s="3"/>
      <c r="B107" s="244" t="s">
        <v>458</v>
      </c>
      <c r="C107" s="245" t="s">
        <v>380</v>
      </c>
      <c r="D107" s="247" t="s">
        <v>381</v>
      </c>
      <c r="E107" s="247" t="s">
        <v>382</v>
      </c>
      <c r="F107" s="246" t="s">
        <v>383</v>
      </c>
      <c r="G107" s="246" t="s">
        <v>384</v>
      </c>
      <c r="H107" s="247" t="s">
        <v>385</v>
      </c>
      <c r="I107" s="247" t="s">
        <v>386</v>
      </c>
      <c r="J107" s="420" t="s">
        <v>387</v>
      </c>
      <c r="K107" s="421" t="s">
        <v>388</v>
      </c>
      <c r="L107" s="2"/>
      <c r="M107" s="20"/>
      <c r="N107" s="20"/>
      <c r="O107" s="20"/>
      <c r="P107" s="20"/>
      <c r="Q107" s="20"/>
    </row>
    <row r="108" spans="1:18" hidden="1">
      <c r="A108" s="3"/>
      <c r="B108" s="445" t="s">
        <v>64</v>
      </c>
      <c r="C108" s="315" t="s">
        <v>357</v>
      </c>
      <c r="D108" s="316"/>
      <c r="E108" s="317" t="str">
        <f>IF(ISBLANK(D108),"",D108*30)</f>
        <v/>
      </c>
      <c r="F108" s="281"/>
      <c r="G108" s="498" t="str">
        <f>IF(AND(E108&gt;0,F108&gt;0),(F108*E108),"")</f>
        <v/>
      </c>
      <c r="H108" s="281"/>
      <c r="I108" s="328" t="str">
        <f>IF(AND(G108&gt;0,H108&gt;0),H108/G108,"")</f>
        <v/>
      </c>
      <c r="J108" s="422"/>
      <c r="K108" s="423" t="str">
        <f>IF(AND(I108&gt;0,J108&gt;0),I108-J108,"")</f>
        <v/>
      </c>
      <c r="L108" s="2"/>
      <c r="M108" s="20"/>
      <c r="N108" s="20"/>
      <c r="O108" s="20"/>
      <c r="P108" s="20"/>
      <c r="Q108" s="20"/>
    </row>
    <row r="109" spans="1:18" hidden="1">
      <c r="A109" s="3"/>
      <c r="B109" s="446"/>
      <c r="C109" s="315" t="s">
        <v>357</v>
      </c>
      <c r="D109" s="316"/>
      <c r="E109" s="317" t="str">
        <f>IF(ISBLANK(D109),"",D109*30)</f>
        <v/>
      </c>
      <c r="F109" s="281"/>
      <c r="G109" s="498" t="str">
        <f>IF(AND(E109&gt;0,F109&gt;0),(F109*E109),"")</f>
        <v/>
      </c>
      <c r="H109" s="281"/>
      <c r="I109" s="328" t="str">
        <f>IF(AND(G109&gt;0,H109&gt;0),H109/G109,"")</f>
        <v/>
      </c>
      <c r="J109" s="422"/>
      <c r="K109" s="423" t="str">
        <f>IF(AND(I109&gt;0,J109&gt;0),I109-J109,"")</f>
        <v/>
      </c>
      <c r="L109" s="2"/>
      <c r="M109" s="20"/>
      <c r="N109" s="20"/>
      <c r="O109" s="20"/>
      <c r="P109" s="20"/>
    </row>
    <row r="110" spans="1:18" hidden="1">
      <c r="A110" s="3"/>
      <c r="B110" s="446"/>
      <c r="C110" s="315" t="s">
        <v>357</v>
      </c>
      <c r="D110" s="316"/>
      <c r="E110" s="317" t="str">
        <f>IF(ISBLANK(D110),"",D110*30)</f>
        <v/>
      </c>
      <c r="F110" s="281"/>
      <c r="G110" s="498" t="str">
        <f>IF(AND(E110&gt;0,F110&gt;0),(F110*E110),"")</f>
        <v/>
      </c>
      <c r="H110" s="281"/>
      <c r="I110" s="328" t="str">
        <f>IF(AND(G110&gt;0,H110&gt;0),H110/G110,"")</f>
        <v/>
      </c>
      <c r="J110" s="422"/>
      <c r="K110" s="423" t="str">
        <f>IF(AND(I110&gt;0,J110&gt;0),I110-J110,"")</f>
        <v/>
      </c>
      <c r="L110" s="2"/>
      <c r="M110" s="20"/>
      <c r="N110" s="20"/>
      <c r="O110" s="20"/>
      <c r="P110" s="20"/>
      <c r="Q110" s="20"/>
    </row>
    <row r="111" spans="1:18" ht="15.75" hidden="1" thickBot="1">
      <c r="A111" s="3"/>
      <c r="B111" s="447"/>
      <c r="C111" s="318" t="s">
        <v>357</v>
      </c>
      <c r="D111" s="319"/>
      <c r="E111" s="350" t="str">
        <f>IF(ISBLANK(D111),"",D111*30)</f>
        <v/>
      </c>
      <c r="F111" s="282"/>
      <c r="G111" s="499" t="str">
        <f>IF(AND(E111&gt;0,F111&gt;0),(F111*E111),"")</f>
        <v/>
      </c>
      <c r="H111" s="282"/>
      <c r="I111" s="351" t="str">
        <f>IF(AND(G111&gt;0,H111&gt;0),H111/G111,"")</f>
        <v/>
      </c>
      <c r="J111" s="424"/>
      <c r="K111" s="425" t="str">
        <f>IF(AND(I111&gt;0,J111&gt;0),I111-J111,"")</f>
        <v/>
      </c>
      <c r="L111" s="2"/>
      <c r="M111" s="20"/>
      <c r="N111" s="20"/>
      <c r="O111" s="20"/>
      <c r="P111" s="20"/>
      <c r="Q111" s="20"/>
    </row>
    <row r="112" spans="1:18" hidden="1">
      <c r="A112" s="3"/>
      <c r="B112" s="3"/>
      <c r="C112" s="3"/>
      <c r="D112" s="3"/>
      <c r="E112" s="3"/>
      <c r="F112" s="3"/>
      <c r="G112" s="477"/>
      <c r="H112" s="2"/>
      <c r="I112" s="2"/>
      <c r="J112" s="392"/>
      <c r="K112" s="392"/>
      <c r="L112" s="2"/>
      <c r="M112" s="2"/>
      <c r="N112" s="20"/>
      <c r="O112" s="20"/>
      <c r="P112" s="20"/>
      <c r="R112" s="20"/>
    </row>
    <row r="113" spans="1:19" ht="2.25" customHeight="1">
      <c r="A113" s="3"/>
      <c r="B113" s="3"/>
      <c r="C113" s="3"/>
      <c r="D113" s="3"/>
      <c r="E113" s="3"/>
      <c r="F113" s="3"/>
      <c r="G113" s="472"/>
      <c r="H113" s="3"/>
      <c r="I113" s="2"/>
      <c r="J113" s="412"/>
      <c r="K113" s="412"/>
      <c r="L113" s="3"/>
      <c r="M113" s="3"/>
    </row>
    <row r="114" spans="1:19" ht="19.5" thickBot="1">
      <c r="A114" s="3"/>
      <c r="B114" s="196" t="s">
        <v>459</v>
      </c>
      <c r="C114" s="105"/>
      <c r="D114" s="105"/>
      <c r="E114" s="106"/>
      <c r="F114" s="106"/>
      <c r="G114" s="500"/>
      <c r="H114" s="202"/>
      <c r="I114" s="197"/>
      <c r="J114" s="426"/>
      <c r="K114" s="427" t="s">
        <v>355</v>
      </c>
      <c r="L114" s="106"/>
      <c r="M114" s="261"/>
      <c r="N114" s="262"/>
      <c r="O114" s="262"/>
      <c r="P114" s="262"/>
    </row>
    <row r="115" spans="1:19" ht="15.75" thickBot="1">
      <c r="A115" s="3"/>
      <c r="B115" s="3"/>
      <c r="C115" s="3"/>
      <c r="D115" s="3"/>
      <c r="E115" s="3"/>
      <c r="F115" s="3"/>
      <c r="G115" s="472"/>
      <c r="H115" s="3"/>
      <c r="I115" s="3"/>
      <c r="J115" s="392"/>
      <c r="K115" s="392"/>
      <c r="L115" s="3"/>
      <c r="M115" s="3"/>
      <c r="N115"/>
      <c r="O115"/>
      <c r="P115"/>
    </row>
    <row r="116" spans="1:19" ht="38.25">
      <c r="A116" s="3"/>
      <c r="B116" s="460" t="s">
        <v>389</v>
      </c>
      <c r="C116" s="461"/>
      <c r="D116" s="462"/>
      <c r="E116" s="248" t="s">
        <v>375</v>
      </c>
      <c r="F116" s="362" t="s">
        <v>390</v>
      </c>
      <c r="G116" s="501"/>
      <c r="H116" s="302" t="s">
        <v>138</v>
      </c>
      <c r="I116" s="302" t="s">
        <v>139</v>
      </c>
      <c r="J116" s="302" t="s">
        <v>140</v>
      </c>
      <c r="K116" s="302" t="s">
        <v>141</v>
      </c>
      <c r="L116" s="302" t="s">
        <v>142</v>
      </c>
      <c r="M116" s="302" t="s">
        <v>143</v>
      </c>
      <c r="N116" s="20"/>
      <c r="O116" s="20"/>
      <c r="P116" s="20"/>
      <c r="S116" s="302" t="s">
        <v>401</v>
      </c>
    </row>
    <row r="117" spans="1:19" ht="26.25" customHeight="1">
      <c r="A117" s="629" t="s">
        <v>358</v>
      </c>
      <c r="B117" s="642" t="s">
        <v>20</v>
      </c>
      <c r="C117" s="642"/>
      <c r="D117" s="642"/>
      <c r="E117" s="643">
        <v>3.3</v>
      </c>
      <c r="F117" s="643" t="s">
        <v>136</v>
      </c>
      <c r="G117" s="511" t="s">
        <v>107</v>
      </c>
      <c r="H117" s="374">
        <v>562</v>
      </c>
      <c r="I117" s="374">
        <v>1125</v>
      </c>
      <c r="J117" s="374">
        <v>562</v>
      </c>
      <c r="K117" s="374">
        <v>1125</v>
      </c>
      <c r="L117" s="374">
        <v>552</v>
      </c>
      <c r="M117" s="374">
        <v>1105</v>
      </c>
      <c r="N117" s="20"/>
      <c r="O117" s="20"/>
      <c r="P117" s="20"/>
    </row>
    <row r="118" spans="1:19" ht="25.5" customHeight="1">
      <c r="A118" s="629"/>
      <c r="B118" s="642"/>
      <c r="C118" s="642"/>
      <c r="D118" s="642"/>
      <c r="E118" s="643"/>
      <c r="F118" s="643"/>
      <c r="G118" s="511" t="s">
        <v>108</v>
      </c>
      <c r="H118" s="374">
        <v>341</v>
      </c>
      <c r="I118" s="374">
        <f>H118+896</f>
        <v>1237</v>
      </c>
      <c r="J118" s="374">
        <v>555</v>
      </c>
      <c r="K118" s="374">
        <v>1003</v>
      </c>
      <c r="L118" s="375">
        <v>441</v>
      </c>
      <c r="M118" s="375">
        <f>L118+550</f>
        <v>991</v>
      </c>
      <c r="N118" s="20"/>
      <c r="O118" s="20"/>
      <c r="P118" s="20"/>
    </row>
    <row r="119" spans="1:19" ht="25.5" customHeight="1">
      <c r="A119" s="629"/>
      <c r="B119" s="644" t="s">
        <v>24</v>
      </c>
      <c r="C119" s="644"/>
      <c r="D119" s="644"/>
      <c r="E119" s="645">
        <v>3.2</v>
      </c>
      <c r="F119" s="646" t="s">
        <v>136</v>
      </c>
      <c r="G119" s="516" t="s">
        <v>373</v>
      </c>
      <c r="H119" s="506">
        <v>142</v>
      </c>
      <c r="I119" s="373">
        <v>285</v>
      </c>
      <c r="J119" s="428">
        <v>142</v>
      </c>
      <c r="K119" s="428">
        <v>285</v>
      </c>
      <c r="L119" s="428">
        <v>140</v>
      </c>
      <c r="M119" s="428">
        <v>280</v>
      </c>
      <c r="N119" s="20"/>
      <c r="O119" s="20"/>
      <c r="P119" s="20"/>
    </row>
    <row r="120" spans="1:19" ht="25.5" customHeight="1">
      <c r="A120" s="629"/>
      <c r="B120" s="644"/>
      <c r="C120" s="644"/>
      <c r="D120" s="644"/>
      <c r="E120" s="645"/>
      <c r="F120" s="646"/>
      <c r="G120" s="516" t="s">
        <v>374</v>
      </c>
      <c r="H120" s="506">
        <v>63</v>
      </c>
      <c r="I120" s="373">
        <f>H120+225</f>
        <v>288</v>
      </c>
      <c r="J120" s="428">
        <v>152</v>
      </c>
      <c r="K120" s="428">
        <v>290</v>
      </c>
      <c r="L120" s="428">
        <v>137</v>
      </c>
      <c r="M120" s="428">
        <f>L120+146</f>
        <v>283</v>
      </c>
      <c r="N120" s="20"/>
      <c r="O120" s="20"/>
      <c r="P120" s="20"/>
    </row>
    <row r="121" spans="1:19" ht="25.5" customHeight="1">
      <c r="A121" s="629"/>
      <c r="B121" s="647" t="s">
        <v>21</v>
      </c>
      <c r="C121" s="647"/>
      <c r="D121" s="647"/>
      <c r="E121" s="643">
        <v>2.2000000000000002</v>
      </c>
      <c r="F121" s="643" t="s">
        <v>136</v>
      </c>
      <c r="G121" s="516" t="s">
        <v>373</v>
      </c>
      <c r="H121" s="374">
        <v>40</v>
      </c>
      <c r="I121" s="374">
        <v>80</v>
      </c>
      <c r="J121" s="374">
        <v>15</v>
      </c>
      <c r="K121" s="374">
        <v>55</v>
      </c>
      <c r="L121" s="374">
        <v>40</v>
      </c>
      <c r="M121" s="374">
        <v>80</v>
      </c>
      <c r="N121" s="20"/>
      <c r="O121" s="20"/>
      <c r="P121" s="20"/>
    </row>
    <row r="122" spans="1:19" ht="25.5" customHeight="1">
      <c r="A122" s="629"/>
      <c r="B122" s="647"/>
      <c r="C122" s="647"/>
      <c r="D122" s="647"/>
      <c r="E122" s="643"/>
      <c r="F122" s="643"/>
      <c r="G122" s="516" t="s">
        <v>374</v>
      </c>
      <c r="H122" s="374">
        <v>23</v>
      </c>
      <c r="I122" s="374">
        <f>H122+62</f>
        <v>85</v>
      </c>
      <c r="J122" s="374">
        <v>15</v>
      </c>
      <c r="K122" s="374">
        <v>69</v>
      </c>
      <c r="L122" s="374">
        <v>40</v>
      </c>
      <c r="M122" s="374">
        <f>L122+45</f>
        <v>85</v>
      </c>
      <c r="N122" s="20"/>
      <c r="O122" s="20"/>
      <c r="P122" s="20"/>
    </row>
    <row r="123" spans="1:19" ht="21.75" customHeight="1">
      <c r="A123" s="383"/>
      <c r="B123" s="644" t="s">
        <v>29</v>
      </c>
      <c r="C123" s="644"/>
      <c r="D123" s="644"/>
      <c r="E123" s="645">
        <v>2.1</v>
      </c>
      <c r="F123" s="645" t="s">
        <v>136</v>
      </c>
      <c r="G123" s="516" t="s">
        <v>373</v>
      </c>
      <c r="H123" s="428" t="s">
        <v>402</v>
      </c>
      <c r="I123" s="428" t="s">
        <v>402</v>
      </c>
      <c r="J123" s="428" t="s">
        <v>402</v>
      </c>
      <c r="K123" s="504">
        <v>0.1</v>
      </c>
      <c r="L123" s="428" t="s">
        <v>402</v>
      </c>
      <c r="M123" s="428" t="s">
        <v>402</v>
      </c>
      <c r="N123" s="20"/>
      <c r="O123" s="20"/>
      <c r="P123" s="20"/>
    </row>
    <row r="124" spans="1:19" ht="25.5">
      <c r="A124" s="383"/>
      <c r="B124" s="644"/>
      <c r="C124" s="644"/>
      <c r="D124" s="644"/>
      <c r="E124" s="645"/>
      <c r="F124" s="645"/>
      <c r="G124" s="516" t="s">
        <v>374</v>
      </c>
      <c r="H124" s="428" t="s">
        <v>402</v>
      </c>
      <c r="I124" s="428" t="s">
        <v>402</v>
      </c>
      <c r="J124" s="428" t="s">
        <v>402</v>
      </c>
      <c r="K124" s="504">
        <v>4.82E-2</v>
      </c>
      <c r="L124" s="428" t="s">
        <v>402</v>
      </c>
      <c r="M124" s="428" t="s">
        <v>402</v>
      </c>
      <c r="N124" s="20"/>
      <c r="O124" s="20"/>
      <c r="P124" s="20"/>
    </row>
    <row r="125" spans="1:19" ht="18.75" customHeight="1">
      <c r="A125" s="383"/>
      <c r="B125" s="647" t="s">
        <v>27</v>
      </c>
      <c r="C125" s="647"/>
      <c r="D125" s="647"/>
      <c r="E125" s="643">
        <v>2.2999999999999998</v>
      </c>
      <c r="F125" s="651" t="s">
        <v>136</v>
      </c>
      <c r="G125" s="516" t="s">
        <v>373</v>
      </c>
      <c r="H125" s="509">
        <v>168</v>
      </c>
      <c r="I125" s="375">
        <v>337</v>
      </c>
      <c r="J125" s="374">
        <v>168</v>
      </c>
      <c r="K125" s="374">
        <v>337</v>
      </c>
      <c r="L125" s="505">
        <v>165</v>
      </c>
      <c r="M125" s="374">
        <v>331</v>
      </c>
      <c r="N125" s="20"/>
      <c r="O125" s="20"/>
      <c r="P125" s="20"/>
    </row>
    <row r="126" spans="1:19" ht="30.75" customHeight="1">
      <c r="A126" s="383"/>
      <c r="B126" s="647"/>
      <c r="C126" s="647"/>
      <c r="D126" s="647"/>
      <c r="E126" s="643"/>
      <c r="F126" s="651"/>
      <c r="G126" s="516" t="s">
        <v>374</v>
      </c>
      <c r="H126" s="509">
        <v>151</v>
      </c>
      <c r="I126" s="375">
        <f>H126+162</f>
        <v>313</v>
      </c>
      <c r="J126" s="374">
        <v>190</v>
      </c>
      <c r="K126" s="374">
        <v>351</v>
      </c>
      <c r="L126" s="505">
        <v>210</v>
      </c>
      <c r="M126" s="374">
        <f>L126+247</f>
        <v>457</v>
      </c>
      <c r="N126" s="20"/>
      <c r="O126" s="20"/>
      <c r="P126" s="20"/>
    </row>
    <row r="127" spans="1:19" ht="26.25" customHeight="1">
      <c r="A127" s="383"/>
      <c r="B127" s="652" t="s">
        <v>22</v>
      </c>
      <c r="C127" s="652"/>
      <c r="D127" s="652"/>
      <c r="E127" s="645">
        <v>2.4</v>
      </c>
      <c r="F127" s="646" t="s">
        <v>136</v>
      </c>
      <c r="G127" s="516" t="s">
        <v>373</v>
      </c>
      <c r="H127" s="506">
        <v>100</v>
      </c>
      <c r="I127" s="372">
        <v>200</v>
      </c>
      <c r="J127" s="506">
        <v>100</v>
      </c>
      <c r="K127" s="506">
        <v>200</v>
      </c>
      <c r="L127" s="506">
        <v>100</v>
      </c>
      <c r="M127" s="506">
        <v>200</v>
      </c>
      <c r="N127" s="20"/>
      <c r="O127" s="20"/>
      <c r="P127" s="20"/>
    </row>
    <row r="128" spans="1:19" ht="21.75" customHeight="1">
      <c r="A128" s="383"/>
      <c r="B128" s="652"/>
      <c r="C128" s="652"/>
      <c r="D128" s="652"/>
      <c r="E128" s="645"/>
      <c r="F128" s="646"/>
      <c r="G128" s="516" t="s">
        <v>374</v>
      </c>
      <c r="H128" s="506">
        <v>40</v>
      </c>
      <c r="I128" s="372">
        <f>H128+160</f>
        <v>200</v>
      </c>
      <c r="J128" s="506">
        <v>102</v>
      </c>
      <c r="K128" s="506">
        <v>202</v>
      </c>
      <c r="L128" s="506">
        <v>100</v>
      </c>
      <c r="M128" s="506">
        <v>199</v>
      </c>
      <c r="N128" s="20"/>
      <c r="O128" s="20"/>
      <c r="P128" s="20"/>
    </row>
    <row r="129" spans="1:18" ht="15" customHeight="1">
      <c r="A129" s="3"/>
      <c r="B129" s="647" t="s">
        <v>23</v>
      </c>
      <c r="C129" s="647"/>
      <c r="D129" s="647"/>
      <c r="E129" s="643">
        <v>2.5</v>
      </c>
      <c r="F129" s="643" t="s">
        <v>136</v>
      </c>
      <c r="G129" s="516" t="s">
        <v>373</v>
      </c>
      <c r="H129" s="374">
        <v>60</v>
      </c>
      <c r="I129" s="374">
        <v>135</v>
      </c>
      <c r="J129" s="374">
        <v>50</v>
      </c>
      <c r="K129" s="374">
        <v>150</v>
      </c>
      <c r="L129" s="374">
        <v>60</v>
      </c>
      <c r="M129" s="374">
        <v>135</v>
      </c>
      <c r="N129" s="20"/>
      <c r="O129" s="20"/>
      <c r="P129" s="20"/>
    </row>
    <row r="130" spans="1:18" ht="29.25" customHeight="1">
      <c r="A130" s="3"/>
      <c r="B130" s="647"/>
      <c r="C130" s="647"/>
      <c r="D130" s="647"/>
      <c r="E130" s="643"/>
      <c r="F130" s="643"/>
      <c r="G130" s="516" t="s">
        <v>374</v>
      </c>
      <c r="H130" s="374">
        <v>509</v>
      </c>
      <c r="I130" s="374">
        <f>H130+249</f>
        <v>758</v>
      </c>
      <c r="J130" s="374">
        <v>80</v>
      </c>
      <c r="K130" s="374">
        <v>176</v>
      </c>
      <c r="L130" s="374">
        <v>125</v>
      </c>
      <c r="M130" s="374">
        <f>L130+25</f>
        <v>150</v>
      </c>
      <c r="N130" s="20"/>
      <c r="O130" s="20"/>
      <c r="P130" s="20"/>
    </row>
    <row r="131" spans="1:18" ht="14.25" customHeight="1">
      <c r="A131" s="3"/>
      <c r="B131" s="653" t="s">
        <v>25</v>
      </c>
      <c r="C131" s="653"/>
      <c r="D131" s="653"/>
      <c r="E131" s="654">
        <v>3.1</v>
      </c>
      <c r="F131" s="654" t="s">
        <v>136</v>
      </c>
      <c r="G131" s="516" t="s">
        <v>373</v>
      </c>
      <c r="H131" s="510">
        <v>0</v>
      </c>
      <c r="I131" s="373">
        <v>25</v>
      </c>
      <c r="J131" s="428">
        <v>0</v>
      </c>
      <c r="K131" s="429">
        <v>25</v>
      </c>
      <c r="L131" s="507">
        <v>0</v>
      </c>
      <c r="M131" s="507">
        <v>25</v>
      </c>
      <c r="N131" s="20"/>
      <c r="O131" s="20"/>
      <c r="P131" s="20"/>
    </row>
    <row r="132" spans="1:18" ht="25.5">
      <c r="A132" s="3"/>
      <c r="B132" s="653"/>
      <c r="C132" s="653"/>
      <c r="D132" s="653"/>
      <c r="E132" s="654"/>
      <c r="F132" s="654"/>
      <c r="G132" s="516" t="s">
        <v>374</v>
      </c>
      <c r="H132" s="510">
        <v>0</v>
      </c>
      <c r="I132" s="373">
        <v>115</v>
      </c>
      <c r="J132" s="428">
        <v>0</v>
      </c>
      <c r="K132" s="428">
        <v>52</v>
      </c>
      <c r="L132" s="428">
        <v>0</v>
      </c>
      <c r="M132" s="428">
        <v>24</v>
      </c>
      <c r="N132" s="20"/>
      <c r="O132" s="20"/>
      <c r="P132" s="20"/>
    </row>
    <row r="133" spans="1:18" ht="14.25" customHeight="1">
      <c r="A133" s="3"/>
      <c r="B133" s="655" t="s">
        <v>26</v>
      </c>
      <c r="C133" s="655"/>
      <c r="D133" s="655"/>
      <c r="E133" s="643">
        <v>3.4</v>
      </c>
      <c r="F133" s="651" t="s">
        <v>136</v>
      </c>
      <c r="G133" s="516" t="s">
        <v>373</v>
      </c>
      <c r="H133" s="508" t="s">
        <v>402</v>
      </c>
      <c r="I133" s="371">
        <v>0.95</v>
      </c>
      <c r="J133" s="508" t="s">
        <v>402</v>
      </c>
      <c r="K133" s="371">
        <v>0.95</v>
      </c>
      <c r="L133" s="508" t="s">
        <v>402</v>
      </c>
      <c r="M133" s="371">
        <v>0.95</v>
      </c>
      <c r="N133" s="20"/>
      <c r="O133" s="20"/>
      <c r="P133" s="20"/>
    </row>
    <row r="134" spans="1:18" ht="30.75" customHeight="1">
      <c r="A134" s="3"/>
      <c r="B134" s="655"/>
      <c r="C134" s="655"/>
      <c r="D134" s="655"/>
      <c r="E134" s="643"/>
      <c r="F134" s="651"/>
      <c r="G134" s="516" t="s">
        <v>374</v>
      </c>
      <c r="H134" s="508" t="s">
        <v>402</v>
      </c>
      <c r="I134" s="371">
        <v>1</v>
      </c>
      <c r="J134" s="508" t="s">
        <v>402</v>
      </c>
      <c r="K134" s="371">
        <v>1</v>
      </c>
      <c r="L134" s="508" t="s">
        <v>402</v>
      </c>
      <c r="M134" s="371">
        <v>1</v>
      </c>
      <c r="N134" s="20"/>
      <c r="O134" s="20"/>
      <c r="P134" s="20"/>
    </row>
    <row r="135" spans="1:18" ht="30" customHeight="1">
      <c r="A135" s="3"/>
      <c r="B135" s="656" t="s">
        <v>28</v>
      </c>
      <c r="C135" s="656"/>
      <c r="D135" s="656"/>
      <c r="E135" s="654">
        <v>3.5</v>
      </c>
      <c r="F135" s="654" t="s">
        <v>136</v>
      </c>
      <c r="G135" s="516" t="s">
        <v>373</v>
      </c>
      <c r="H135" s="510">
        <v>25</v>
      </c>
      <c r="I135" s="373">
        <v>50</v>
      </c>
      <c r="J135" s="428">
        <v>25</v>
      </c>
      <c r="K135" s="429">
        <v>75</v>
      </c>
      <c r="L135" s="507">
        <v>25</v>
      </c>
      <c r="M135" s="507">
        <v>25</v>
      </c>
      <c r="N135" s="20"/>
      <c r="O135" s="20"/>
      <c r="P135" s="20"/>
    </row>
    <row r="136" spans="1:18" ht="25.5" customHeight="1">
      <c r="A136" s="3"/>
      <c r="B136" s="656"/>
      <c r="C136" s="656"/>
      <c r="D136" s="656"/>
      <c r="E136" s="654"/>
      <c r="F136" s="654"/>
      <c r="G136" s="516" t="s">
        <v>374</v>
      </c>
      <c r="H136" s="510">
        <v>0</v>
      </c>
      <c r="I136" s="373">
        <v>24</v>
      </c>
      <c r="J136" s="428">
        <v>0</v>
      </c>
      <c r="K136" s="428">
        <v>104</v>
      </c>
      <c r="L136" s="428">
        <v>26</v>
      </c>
      <c r="M136" s="428">
        <f>26+26</f>
        <v>52</v>
      </c>
      <c r="N136" s="20"/>
      <c r="O136" s="20"/>
      <c r="P136" s="20"/>
    </row>
    <row r="137" spans="1:18" ht="11.25" customHeight="1">
      <c r="A137" s="3"/>
      <c r="F137" s="3"/>
      <c r="G137" s="477"/>
      <c r="H137" s="3"/>
      <c r="I137" s="3"/>
      <c r="J137" s="392"/>
      <c r="K137" s="392"/>
      <c r="L137" s="3"/>
      <c r="M137" s="3"/>
      <c r="N137" s="20"/>
      <c r="O137" s="20"/>
      <c r="P137" s="20"/>
      <c r="Q137" s="35"/>
      <c r="R137" s="35"/>
    </row>
    <row r="138" spans="1:18" ht="10.5" customHeight="1">
      <c r="A138" s="3"/>
      <c r="F138" s="3"/>
      <c r="G138" s="477"/>
      <c r="H138" s="3"/>
      <c r="I138" s="3"/>
      <c r="J138" s="392"/>
      <c r="K138" s="392"/>
      <c r="L138" s="3"/>
      <c r="M138" s="3"/>
      <c r="N138" s="20"/>
      <c r="O138" s="20"/>
      <c r="P138" s="20"/>
      <c r="Q138" s="35"/>
      <c r="R138" s="35"/>
    </row>
    <row r="139" spans="1:18" ht="10.5" customHeight="1">
      <c r="A139" s="3"/>
      <c r="B139" s="3"/>
      <c r="C139" s="3"/>
      <c r="D139" s="3"/>
      <c r="E139" s="3"/>
      <c r="F139" s="3"/>
      <c r="G139" s="477"/>
      <c r="H139" s="3"/>
      <c r="I139" s="3"/>
      <c r="J139" s="392"/>
      <c r="K139" s="392"/>
      <c r="L139" s="3"/>
      <c r="M139" s="3"/>
      <c r="N139" s="20"/>
      <c r="O139" s="20"/>
      <c r="P139" s="20"/>
      <c r="Q139" s="35"/>
      <c r="R139" s="35"/>
    </row>
    <row r="140" spans="1:18" ht="7.5" customHeight="1" thickBot="1">
      <c r="A140" s="3"/>
      <c r="B140" s="249"/>
      <c r="C140" s="3"/>
      <c r="D140" s="3"/>
      <c r="E140" s="3"/>
      <c r="F140" s="3"/>
      <c r="G140" s="477"/>
      <c r="H140" s="3"/>
      <c r="I140" s="3"/>
      <c r="J140" s="392"/>
      <c r="K140" s="392"/>
      <c r="L140" s="3"/>
      <c r="M140" s="3"/>
      <c r="N140" s="20"/>
      <c r="O140" s="20"/>
      <c r="P140" s="20"/>
      <c r="Q140" s="35"/>
      <c r="R140" s="35"/>
    </row>
    <row r="141" spans="1:18" ht="38.25">
      <c r="A141" s="3"/>
      <c r="B141" s="3" t="s">
        <v>391</v>
      </c>
      <c r="C141" s="3"/>
      <c r="D141" s="3"/>
      <c r="E141" s="380" t="s">
        <v>327</v>
      </c>
      <c r="F141" s="381" t="s">
        <v>392</v>
      </c>
      <c r="G141" s="502"/>
      <c r="H141" s="302" t="s">
        <v>138</v>
      </c>
      <c r="I141" s="302" t="s">
        <v>139</v>
      </c>
      <c r="J141" s="302" t="s">
        <v>140</v>
      </c>
      <c r="K141" s="302" t="s">
        <v>141</v>
      </c>
      <c r="L141" s="302" t="s">
        <v>142</v>
      </c>
      <c r="M141" s="302" t="s">
        <v>143</v>
      </c>
      <c r="N141" s="20"/>
      <c r="O141" s="20"/>
      <c r="P141" s="20"/>
    </row>
    <row r="142" spans="1:18" ht="22.5" customHeight="1">
      <c r="A142" s="3"/>
      <c r="B142" s="657" t="s">
        <v>20</v>
      </c>
      <c r="C142" s="657"/>
      <c r="D142" s="657"/>
      <c r="E142" s="658">
        <v>3.3</v>
      </c>
      <c r="F142" s="659" t="str">
        <f>IF(ISBLANK(F121),"",(F121))</f>
        <v>Yes</v>
      </c>
      <c r="G142" s="511" t="s">
        <v>107</v>
      </c>
      <c r="H142" s="327">
        <f t="shared" ref="H142:M147" si="3">H117</f>
        <v>562</v>
      </c>
      <c r="I142" s="327">
        <f t="shared" si="3"/>
        <v>1125</v>
      </c>
      <c r="J142" s="327">
        <f t="shared" si="3"/>
        <v>562</v>
      </c>
      <c r="K142" s="327">
        <f t="shared" si="3"/>
        <v>1125</v>
      </c>
      <c r="L142" s="327">
        <f t="shared" si="3"/>
        <v>552</v>
      </c>
      <c r="M142" s="327">
        <f t="shared" si="3"/>
        <v>1105</v>
      </c>
      <c r="N142" s="20"/>
      <c r="O142" s="20"/>
      <c r="P142" s="20"/>
    </row>
    <row r="143" spans="1:18" ht="23.25" customHeight="1">
      <c r="A143" s="3"/>
      <c r="B143" s="657"/>
      <c r="C143" s="657"/>
      <c r="D143" s="657"/>
      <c r="E143" s="659"/>
      <c r="F143" s="659"/>
      <c r="G143" s="511" t="s">
        <v>108</v>
      </c>
      <c r="H143" s="327">
        <f t="shared" si="3"/>
        <v>341</v>
      </c>
      <c r="I143" s="327">
        <f t="shared" si="3"/>
        <v>1237</v>
      </c>
      <c r="J143" s="327">
        <f t="shared" si="3"/>
        <v>555</v>
      </c>
      <c r="K143" s="327">
        <f t="shared" si="3"/>
        <v>1003</v>
      </c>
      <c r="L143" s="327">
        <f t="shared" si="3"/>
        <v>441</v>
      </c>
      <c r="M143" s="327">
        <f t="shared" si="3"/>
        <v>991</v>
      </c>
      <c r="N143" s="20"/>
      <c r="O143" s="20"/>
      <c r="P143" s="20"/>
    </row>
    <row r="144" spans="1:18" ht="21.75" customHeight="1">
      <c r="A144" s="3"/>
      <c r="B144" s="660" t="s">
        <v>24</v>
      </c>
      <c r="C144" s="660"/>
      <c r="D144" s="660"/>
      <c r="E144" s="661">
        <v>3.2</v>
      </c>
      <c r="F144" s="662" t="str">
        <f>IF(ISBLANK(F125),"",(F125))</f>
        <v>Yes</v>
      </c>
      <c r="G144" s="512" t="s">
        <v>107</v>
      </c>
      <c r="H144" s="348">
        <f t="shared" si="3"/>
        <v>142</v>
      </c>
      <c r="I144" s="348">
        <f t="shared" si="3"/>
        <v>285</v>
      </c>
      <c r="J144" s="348">
        <f t="shared" si="3"/>
        <v>142</v>
      </c>
      <c r="K144" s="348">
        <f t="shared" si="3"/>
        <v>285</v>
      </c>
      <c r="L144" s="348">
        <f t="shared" si="3"/>
        <v>140</v>
      </c>
      <c r="M144" s="348">
        <f t="shared" si="3"/>
        <v>280</v>
      </c>
      <c r="N144" s="20"/>
      <c r="O144" s="20"/>
      <c r="P144" s="20"/>
    </row>
    <row r="145" spans="1:18" ht="34.5" customHeight="1">
      <c r="A145" s="3"/>
      <c r="B145" s="660"/>
      <c r="C145" s="660"/>
      <c r="D145" s="660"/>
      <c r="E145" s="662"/>
      <c r="F145" s="662"/>
      <c r="G145" s="512" t="s">
        <v>108</v>
      </c>
      <c r="H145" s="348">
        <f t="shared" si="3"/>
        <v>63</v>
      </c>
      <c r="I145" s="348">
        <f t="shared" si="3"/>
        <v>288</v>
      </c>
      <c r="J145" s="348">
        <f t="shared" si="3"/>
        <v>152</v>
      </c>
      <c r="K145" s="348">
        <f t="shared" si="3"/>
        <v>290</v>
      </c>
      <c r="L145" s="348">
        <f t="shared" si="3"/>
        <v>137</v>
      </c>
      <c r="M145" s="348">
        <f t="shared" si="3"/>
        <v>283</v>
      </c>
      <c r="N145" s="20"/>
      <c r="O145" s="20"/>
      <c r="P145" s="20"/>
    </row>
    <row r="146" spans="1:18" ht="23.25" customHeight="1">
      <c r="A146" s="3"/>
      <c r="B146" s="663" t="s">
        <v>21</v>
      </c>
      <c r="C146" s="663"/>
      <c r="D146" s="663"/>
      <c r="E146" s="659">
        <v>2.2000000000000002</v>
      </c>
      <c r="F146" s="659" t="str">
        <f>IF(ISBLANK(F117),"",(F117))</f>
        <v>Yes</v>
      </c>
      <c r="G146" s="511" t="s">
        <v>107</v>
      </c>
      <c r="H146" s="327">
        <f t="shared" si="3"/>
        <v>40</v>
      </c>
      <c r="I146" s="327">
        <f t="shared" si="3"/>
        <v>80</v>
      </c>
      <c r="J146" s="327">
        <f t="shared" si="3"/>
        <v>15</v>
      </c>
      <c r="K146" s="327">
        <f t="shared" si="3"/>
        <v>55</v>
      </c>
      <c r="L146" s="327">
        <f t="shared" si="3"/>
        <v>40</v>
      </c>
      <c r="M146" s="327">
        <f t="shared" si="3"/>
        <v>80</v>
      </c>
      <c r="N146" s="20"/>
      <c r="O146" s="20"/>
      <c r="P146" s="20"/>
    </row>
    <row r="147" spans="1:18" ht="23.25" customHeight="1" thickBot="1">
      <c r="A147" s="3"/>
      <c r="B147" s="663"/>
      <c r="C147" s="663"/>
      <c r="D147" s="663"/>
      <c r="E147" s="659"/>
      <c r="F147" s="659"/>
      <c r="G147" s="511" t="s">
        <v>108</v>
      </c>
      <c r="H147" s="327">
        <f t="shared" si="3"/>
        <v>23</v>
      </c>
      <c r="I147" s="327">
        <f t="shared" si="3"/>
        <v>85</v>
      </c>
      <c r="J147" s="327">
        <f t="shared" si="3"/>
        <v>15</v>
      </c>
      <c r="K147" s="327">
        <f t="shared" si="3"/>
        <v>69</v>
      </c>
      <c r="L147" s="327">
        <f t="shared" si="3"/>
        <v>40</v>
      </c>
      <c r="M147" s="327">
        <f t="shared" si="3"/>
        <v>85</v>
      </c>
      <c r="N147" s="20"/>
      <c r="O147" s="20"/>
      <c r="P147" s="20"/>
    </row>
    <row r="148" spans="1:18">
      <c r="A148" s="3"/>
      <c r="B148" s="3"/>
      <c r="C148" s="3"/>
      <c r="D148" s="3"/>
      <c r="E148" s="3"/>
      <c r="F148" s="3"/>
      <c r="G148" s="472"/>
      <c r="H148" s="3"/>
      <c r="I148" s="3"/>
      <c r="J148" s="392"/>
      <c r="K148" s="392"/>
      <c r="L148" s="3"/>
      <c r="M148" s="3"/>
      <c r="N148" s="20"/>
      <c r="O148" s="20"/>
      <c r="P148" s="20"/>
      <c r="R148" s="349"/>
    </row>
    <row r="149" spans="1:18">
      <c r="N149" s="20"/>
      <c r="O149" s="20"/>
      <c r="P149" s="20"/>
    </row>
    <row r="150" spans="1:18">
      <c r="N150" s="20"/>
      <c r="O150" s="20"/>
      <c r="P150" s="20"/>
    </row>
    <row r="151" spans="1:18">
      <c r="N151" s="20"/>
      <c r="O151" s="20"/>
      <c r="P151" s="20"/>
    </row>
  </sheetData>
  <mergeCells count="45">
    <mergeCell ref="B144:D145"/>
    <mergeCell ref="E144:E145"/>
    <mergeCell ref="F144:F145"/>
    <mergeCell ref="B146:D147"/>
    <mergeCell ref="E146:E147"/>
    <mergeCell ref="F146:F147"/>
    <mergeCell ref="B135:D136"/>
    <mergeCell ref="E135:E136"/>
    <mergeCell ref="F135:F136"/>
    <mergeCell ref="B142:D143"/>
    <mergeCell ref="E142:E143"/>
    <mergeCell ref="F142:F143"/>
    <mergeCell ref="B131:D132"/>
    <mergeCell ref="E131:E132"/>
    <mergeCell ref="F131:F132"/>
    <mergeCell ref="B133:D134"/>
    <mergeCell ref="E133:E134"/>
    <mergeCell ref="F133:F134"/>
    <mergeCell ref="B127:D128"/>
    <mergeCell ref="E127:E128"/>
    <mergeCell ref="F127:F128"/>
    <mergeCell ref="B129:D130"/>
    <mergeCell ref="E129:E130"/>
    <mergeCell ref="F129:F130"/>
    <mergeCell ref="B123:D124"/>
    <mergeCell ref="E123:E124"/>
    <mergeCell ref="F123:F124"/>
    <mergeCell ref="B125:D126"/>
    <mergeCell ref="E125:E126"/>
    <mergeCell ref="F125:F126"/>
    <mergeCell ref="A117:A122"/>
    <mergeCell ref="P31:P34"/>
    <mergeCell ref="G12:J12"/>
    <mergeCell ref="G10:J10"/>
    <mergeCell ref="G4:J4"/>
    <mergeCell ref="B117:D118"/>
    <mergeCell ref="E117:E118"/>
    <mergeCell ref="F117:F118"/>
    <mergeCell ref="B119:D120"/>
    <mergeCell ref="E119:E120"/>
    <mergeCell ref="F119:F120"/>
    <mergeCell ref="B121:D122"/>
    <mergeCell ref="E121:E122"/>
    <mergeCell ref="F121:F122"/>
    <mergeCell ref="F47:I47"/>
  </mergeCells>
  <phoneticPr fontId="30" type="noConversion"/>
  <conditionalFormatting sqref="B34 B32 G32:H32 G33:I33 N33:O33">
    <cfRule type="expression" dxfId="54" priority="22" stopIfTrue="1">
      <formula>+AND(B31&gt;=#REF!,B31&lt;=#REF!)</formula>
    </cfRule>
  </conditionalFormatting>
  <conditionalFormatting sqref="G34:I34 N34:O34">
    <cfRule type="expression" dxfId="53" priority="23" stopIfTrue="1">
      <formula>+AND(G32&gt;=#REF!,G32&lt;=#REF!)</formula>
    </cfRule>
  </conditionalFormatting>
  <conditionalFormatting sqref="C94:O94 C30:O30">
    <cfRule type="cellIs" dxfId="52" priority="26" stopIfTrue="1" operator="equal">
      <formula>$C$16</formula>
    </cfRule>
  </conditionalFormatting>
  <conditionalFormatting sqref="C12:D12">
    <cfRule type="cellIs" dxfId="51" priority="28" stopIfTrue="1" operator="equal">
      <formula>"C"</formula>
    </cfRule>
    <cfRule type="cellIs" dxfId="50" priority="29" stopIfTrue="1" operator="equal">
      <formula>"B2"</formula>
    </cfRule>
    <cfRule type="cellIs" dxfId="49" priority="30" stopIfTrue="1" operator="equal">
      <formula>"B1"</formula>
    </cfRule>
  </conditionalFormatting>
  <conditionalFormatting sqref="S116 C94:H94 C30:N30 H116:M116 H141:M141">
    <cfRule type="cellIs" dxfId="48" priority="37" stopIfTrue="1" operator="equal">
      <formula>$C$16</formula>
    </cfRule>
  </conditionalFormatting>
  <conditionalFormatting sqref="F47">
    <cfRule type="expression" dxfId="47" priority="38" stopIfTrue="1">
      <formula>LEFT($F$47,2)="OK"</formula>
    </cfRule>
  </conditionalFormatting>
  <conditionalFormatting sqref="B34">
    <cfRule type="expression" dxfId="46" priority="17" stopIfTrue="1">
      <formula>+AND(B33&gt;=#REF!,B33&lt;=#REF!)</formula>
    </cfRule>
  </conditionalFormatting>
  <conditionalFormatting sqref="K35 G32:I33 N33:O33">
    <cfRule type="expression" dxfId="45" priority="14" stopIfTrue="1">
      <formula>+AND(G31&gt;=#REF!,G31&lt;=#REF!)</formula>
    </cfRule>
  </conditionalFormatting>
  <conditionalFormatting sqref="G34:I34 N34:O34">
    <cfRule type="expression" dxfId="44" priority="13" stopIfTrue="1">
      <formula>+AND(G32&gt;=#REF!,G32&lt;=#REF!)</formula>
    </cfRule>
  </conditionalFormatting>
  <conditionalFormatting sqref="H34:L34">
    <cfRule type="expression" dxfId="43" priority="1" stopIfTrue="1">
      <formula>+AND(H32&gt;=#REF!,H32&lt;=#REF!)</formula>
    </cfRule>
  </conditionalFormatting>
  <conditionalFormatting sqref="C33:F33">
    <cfRule type="expression" dxfId="42" priority="9" stopIfTrue="1">
      <formula>+AND(C32&gt;=#REF!,C32&lt;=#REF!)</formula>
    </cfRule>
  </conditionalFormatting>
  <conditionalFormatting sqref="C34:F34">
    <cfRule type="expression" dxfId="41" priority="10" stopIfTrue="1">
      <formula>+AND(C32&gt;=#REF!,C32&lt;=#REF!)</formula>
    </cfRule>
  </conditionalFormatting>
  <conditionalFormatting sqref="C33:E33">
    <cfRule type="expression" dxfId="40" priority="8" stopIfTrue="1">
      <formula>+AND(C32&gt;=#REF!,C32&lt;=#REF!)</formula>
    </cfRule>
  </conditionalFormatting>
  <conditionalFormatting sqref="C34:E34">
    <cfRule type="expression" dxfId="39" priority="7" stopIfTrue="1">
      <formula>+AND(C32&gt;=#REF!,C32&lt;=#REF!)</formula>
    </cfRule>
  </conditionalFormatting>
  <conditionalFormatting sqref="H33:M33">
    <cfRule type="expression" dxfId="38" priority="3" stopIfTrue="1">
      <formula>+AND(H32&gt;=#REF!,H32&lt;=#REF!)</formula>
    </cfRule>
  </conditionalFormatting>
  <conditionalFormatting sqref="H34:M34">
    <cfRule type="expression" dxfId="37" priority="4" stopIfTrue="1">
      <formula>+AND(H32&gt;=#REF!,H32&lt;=#REF!)</formula>
    </cfRule>
  </conditionalFormatting>
  <conditionalFormatting sqref="H33:L33">
    <cfRule type="expression" dxfId="36" priority="2" stopIfTrue="1">
      <formula>+AND(H32&gt;=#REF!,H32&lt;=#REF!)</formula>
    </cfRule>
  </conditionalFormatting>
  <dataValidations count="9">
    <dataValidation type="list" allowBlank="1" showInputMessage="1" showErrorMessage="1" sqref="B108 G6">
      <formula1>Component</formula1>
    </dataValidation>
    <dataValidation type="list" allowBlank="1" showInputMessage="1" showErrorMessage="1" sqref="C108:C111">
      <formula1>Medicaments</formula1>
    </dataValidation>
    <dataValidation type="list" allowBlank="1" showInputMessage="1" showErrorMessage="1" sqref="C16">
      <formula1>PERIOD</formula1>
    </dataValidation>
    <dataValidation type="list" allowBlank="1" showInputMessage="1" showErrorMessage="1" sqref="G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s>
  <pageMargins left="0.70866141732283472" right="0.70866141732283472" top="0.74803149606299213" bottom="0.74803149606299213" header="0.31496062992125984" footer="0.31496062992125984"/>
  <pageSetup paperSize="8" scale="90" orientation="landscape" r:id="rId1"/>
  <headerFooter>
    <oddFooter>&amp;L&amp;F&amp;C&amp;A&amp;RV1.0          &amp;D</oddFooter>
  </headerFooter>
  <rowBreaks count="1" manualBreakCount="1">
    <brk id="48"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topLeftCell="A4" zoomScale="110" zoomScaleNormal="110" zoomScaleSheetLayoutView="100" workbookViewId="0">
      <selection activeCell="E30" sqref="E30"/>
    </sheetView>
  </sheetViews>
  <sheetFormatPr defaultColWidth="11.42578125" defaultRowHeight="15"/>
  <cols>
    <col min="1" max="1" width="21.140625" style="3" customWidth="1"/>
    <col min="2" max="2" width="12.5703125" style="3" customWidth="1"/>
    <col min="3" max="3" width="20.5703125" style="3" customWidth="1"/>
    <col min="4" max="4" width="15.28515625" style="3" customWidth="1"/>
    <col min="5" max="5" width="11.7109375" style="3" customWidth="1"/>
    <col min="6" max="6" width="10.7109375" style="3" customWidth="1"/>
    <col min="7" max="7" width="16.140625" style="3" customWidth="1"/>
    <col min="8" max="8" width="11.5703125" style="3" customWidth="1"/>
    <col min="9" max="9" width="7.28515625" style="3" customWidth="1"/>
    <col min="10" max="10" width="13"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10"/>
      <c r="H1" s="2"/>
      <c r="I1" s="2"/>
      <c r="J1" s="2"/>
    </row>
    <row r="2" spans="1:24" ht="25.5" customHeight="1"/>
    <row r="3" spans="1:24" ht="36">
      <c r="B3" s="669" t="str">
        <f>+"Dashboard: "&amp;" "&amp;+IF('Introducerea datelor'!C4="Please Select","",'Introducerea datelor'!C4&amp;" - ")&amp;+IF('Introducerea datelor'!G6="Please Select","",'Introducerea datelor'!G6)</f>
        <v>Dashboard:  Moldova - TB</v>
      </c>
      <c r="C3" s="669"/>
      <c r="D3" s="669"/>
      <c r="E3" s="669"/>
      <c r="F3" s="669"/>
      <c r="G3" s="669"/>
      <c r="H3" s="669"/>
      <c r="I3" s="669"/>
      <c r="J3" s="669"/>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07" t="s">
        <v>55</v>
      </c>
      <c r="B6" s="670" t="str">
        <f>+IF('Introducerea datelor'!C4="Please Select","",'Introducerea datelor'!C4)</f>
        <v>Moldova</v>
      </c>
      <c r="C6" s="670"/>
      <c r="D6" s="673" t="s">
        <v>41</v>
      </c>
      <c r="E6" s="673"/>
      <c r="F6" s="674" t="str">
        <f>+'Introducerea datelor'!G4</f>
        <v>Empowerment of people with TB and Communities in Moldova</v>
      </c>
      <c r="G6" s="674"/>
      <c r="H6" s="674"/>
      <c r="I6" s="674"/>
      <c r="J6" s="674"/>
      <c r="K6" s="47"/>
      <c r="L6" s="78"/>
      <c r="M6" s="47"/>
      <c r="N6" s="47"/>
      <c r="O6" s="47"/>
      <c r="P6" s="48"/>
      <c r="Q6" s="17"/>
      <c r="R6" s="17"/>
      <c r="S6" s="17"/>
      <c r="T6" s="17"/>
      <c r="U6" s="17"/>
    </row>
    <row r="7" spans="1:24" ht="8.25" customHeight="1">
      <c r="B7" s="6"/>
      <c r="C7" s="7"/>
      <c r="D7" s="7"/>
      <c r="E7" s="8"/>
      <c r="F7" s="8"/>
      <c r="G7" s="9"/>
      <c r="H7" s="9"/>
      <c r="K7" s="47"/>
      <c r="L7" s="47"/>
      <c r="M7" s="47"/>
      <c r="N7" s="47"/>
      <c r="O7" s="47"/>
      <c r="P7" s="48"/>
      <c r="Q7" s="17"/>
      <c r="R7" s="17"/>
      <c r="S7" s="17"/>
      <c r="T7" s="17"/>
      <c r="U7" s="17"/>
    </row>
    <row r="8" spans="1:24" ht="3.75" customHeight="1">
      <c r="C8" s="10"/>
      <c r="D8" s="10"/>
      <c r="E8" s="10"/>
      <c r="F8" s="10"/>
      <c r="G8" s="10"/>
      <c r="H8" s="10"/>
      <c r="I8" s="10"/>
      <c r="J8" s="10"/>
      <c r="K8" s="47"/>
      <c r="L8" s="47"/>
      <c r="M8" s="47"/>
      <c r="N8" s="47"/>
      <c r="O8" s="49"/>
      <c r="P8" s="48"/>
      <c r="Q8" s="49"/>
      <c r="R8" s="50"/>
      <c r="S8" s="17"/>
      <c r="T8" s="17"/>
      <c r="U8" s="17"/>
    </row>
    <row r="9" spans="1:24" ht="25.5" customHeight="1">
      <c r="A9" s="292" t="s">
        <v>56</v>
      </c>
      <c r="B9" s="264" t="str">
        <f>+IF('Introducerea datelor'!G6="Please Select","",'Introducerea datelor'!G6)</f>
        <v>TB</v>
      </c>
      <c r="C9" s="183" t="s">
        <v>328</v>
      </c>
      <c r="D9" s="265" t="str">
        <f>+'Introducerea datelor'!C6</f>
        <v>MOL-T-PAS</v>
      </c>
      <c r="E9" s="672" t="s">
        <v>42</v>
      </c>
      <c r="F9" s="672"/>
      <c r="G9" s="266" t="str">
        <f>+IF(ISBLANK('Introducerea datelor'!C10),"",'Introducerea datelor'!C10)</f>
        <v>January 01, 2010</v>
      </c>
      <c r="H9" s="292" t="s">
        <v>329</v>
      </c>
      <c r="I9" s="671">
        <f>+IF(ISBLANK('Introducerea datelor'!I6),"",'Introducerea datelor'!I6)</f>
        <v>7434590.7199999997</v>
      </c>
      <c r="J9" s="671"/>
      <c r="K9" s="47"/>
      <c r="L9" s="47"/>
      <c r="M9" s="47"/>
      <c r="N9" s="47"/>
      <c r="O9" s="49"/>
      <c r="P9" s="48"/>
      <c r="Q9" s="49"/>
      <c r="R9" s="50"/>
      <c r="S9" s="17"/>
      <c r="T9" s="11"/>
      <c r="U9" s="11"/>
      <c r="V9" s="10"/>
      <c r="W9" s="10"/>
      <c r="X9" s="10"/>
    </row>
    <row r="10" spans="1:24" ht="25.5" customHeight="1">
      <c r="A10" s="292" t="s">
        <v>326</v>
      </c>
      <c r="B10" s="267" t="str">
        <f>+IF('Introducerea datelor'!G8="Please Select","",'Introducerea datelor'!G8)</f>
        <v>Round 9</v>
      </c>
      <c r="C10" s="183" t="s">
        <v>325</v>
      </c>
      <c r="D10" s="268" t="str">
        <f>+IF('Introducerea datelor'!I8="Please Select","",'Introducerea datelor'!I8)</f>
        <v>Phase 2</v>
      </c>
      <c r="E10" s="665" t="s">
        <v>284</v>
      </c>
      <c r="F10" s="665"/>
      <c r="G10" s="664" t="str">
        <f>+'Introducerea datelor'!C8</f>
        <v>PAS Center</v>
      </c>
      <c r="H10" s="664"/>
      <c r="I10" s="664"/>
      <c r="J10" s="664"/>
      <c r="K10" s="51"/>
      <c r="L10" s="51"/>
      <c r="M10" s="47"/>
      <c r="N10" s="51"/>
      <c r="O10" s="49"/>
      <c r="P10" s="48"/>
      <c r="Q10" s="11"/>
      <c r="R10" s="50"/>
      <c r="S10" s="17"/>
      <c r="T10" s="11"/>
      <c r="U10" s="11"/>
    </row>
    <row r="11" spans="1:24" ht="25.5" customHeight="1">
      <c r="A11" s="292" t="s">
        <v>50</v>
      </c>
      <c r="B11" s="269" t="str">
        <f>+'Introducerea datelor'!C16</f>
        <v>P10</v>
      </c>
      <c r="C11" s="252" t="s">
        <v>283</v>
      </c>
      <c r="D11" s="270">
        <f>+IF(ISBLANK('Introducerea datelor'!E16),"",'Introducerea datelor'!E16)</f>
        <v>41640</v>
      </c>
      <c r="E11" s="672" t="s">
        <v>51</v>
      </c>
      <c r="F11" s="672"/>
      <c r="G11" s="270">
        <f>+IF(ISBLANK('Introducerea datelor'!G16),"",'Introducerea datelor'!G16)</f>
        <v>41820</v>
      </c>
      <c r="H11" s="292" t="s">
        <v>58</v>
      </c>
      <c r="I11" s="666" t="str">
        <f>+IF('Introducerea datelor'!C12="Please Select","",'Introducerea datelor'!C12)</f>
        <v>A2</v>
      </c>
      <c r="J11" s="666"/>
      <c r="K11" s="209"/>
      <c r="L11" s="51"/>
      <c r="M11" s="47"/>
      <c r="N11" s="51"/>
      <c r="O11" s="51"/>
      <c r="P11" s="48"/>
      <c r="Q11" s="11"/>
      <c r="R11" s="50"/>
      <c r="S11" s="17"/>
      <c r="T11" s="12"/>
      <c r="U11" s="11"/>
    </row>
    <row r="12" spans="1:24" ht="25.5" customHeight="1">
      <c r="A12" s="292" t="s">
        <v>60</v>
      </c>
      <c r="B12" s="664" t="str">
        <f>+IF('Introducerea datelor'!G10="Please Select","",'Introducerea datelor'!G10)</f>
        <v>PwC (PricewaterhouseCoopers)</v>
      </c>
      <c r="C12" s="664"/>
      <c r="D12" s="664"/>
      <c r="E12" s="665" t="s">
        <v>302</v>
      </c>
      <c r="F12" s="665"/>
      <c r="G12" s="664" t="str">
        <f>+'Introducerea datelor'!G12</f>
        <v>Tatiana Vinichenko</v>
      </c>
      <c r="H12" s="664"/>
      <c r="I12" s="664"/>
      <c r="J12" s="664"/>
      <c r="K12" s="51"/>
      <c r="L12" s="51"/>
      <c r="M12" s="47"/>
      <c r="N12" s="51"/>
      <c r="O12" s="17"/>
      <c r="P12" s="48"/>
      <c r="Q12" s="11"/>
      <c r="R12" s="50"/>
      <c r="S12" s="17"/>
      <c r="T12" s="11"/>
      <c r="U12" s="52"/>
      <c r="V12" s="11"/>
      <c r="W12" s="12"/>
      <c r="X12" s="11"/>
    </row>
    <row r="13" spans="1:24" ht="25.5" customHeight="1">
      <c r="A13" s="292" t="s">
        <v>61</v>
      </c>
      <c r="B13" s="664" t="str">
        <f>+'Introducerea datelor'!D18</f>
        <v>PAS Center</v>
      </c>
      <c r="C13" s="664"/>
      <c r="D13" s="664"/>
      <c r="E13" s="665" t="s">
        <v>59</v>
      </c>
      <c r="F13" s="665"/>
      <c r="G13" s="667">
        <f>+IF(ISBLANK('Introducerea datelor'!J16),"",'Introducerea datelor'!J16)</f>
        <v>41905</v>
      </c>
      <c r="H13" s="668"/>
      <c r="I13" s="668"/>
      <c r="J13" s="668"/>
      <c r="K13" s="17"/>
      <c r="L13" s="18"/>
      <c r="M13" s="18"/>
      <c r="N13" s="18"/>
      <c r="O13" s="17"/>
      <c r="P13" s="18"/>
      <c r="Q13" s="18"/>
      <c r="R13" s="50"/>
      <c r="S13" s="17"/>
      <c r="T13" s="18"/>
      <c r="U13" s="53"/>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190"/>
      <c r="D16" s="16"/>
      <c r="E16" s="293"/>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35" priority="1" stopIfTrue="1" operator="equal">
      <formula>"C"</formula>
    </cfRule>
    <cfRule type="cellIs" dxfId="34" priority="2" stopIfTrue="1" operator="equal">
      <formula>"B2"</formula>
    </cfRule>
    <cfRule type="cellIs" dxfId="33"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topLeftCell="A31" zoomScale="148" zoomScaleNormal="148" workbookViewId="0">
      <selection activeCell="I9" sqref="I9:K9"/>
    </sheetView>
  </sheetViews>
  <sheetFormatPr defaultColWidth="11" defaultRowHeight="15"/>
  <cols>
    <col min="1" max="1" width="3.5703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18.75" customHeight="1">
      <c r="B2" s="696" t="str">
        <f>+"Dashboard:  "&amp;"  "&amp;IF(+'Introducerea datelor'!C4="Please Select","",'Introducerea datelor'!C4&amp;" - ")&amp;IF('Introducerea datelor'!G6="Please Select","",'Introducerea datelor'!G6)</f>
        <v>Dashboard:    Moldova - TB</v>
      </c>
      <c r="C2" s="696"/>
      <c r="D2" s="696"/>
      <c r="E2" s="696"/>
      <c r="F2" s="696"/>
      <c r="G2" s="696"/>
      <c r="H2" s="696"/>
      <c r="I2" s="696"/>
      <c r="J2" s="696"/>
      <c r="K2" s="696"/>
      <c r="L2" s="1"/>
      <c r="M2" s="1"/>
      <c r="N2" s="1"/>
      <c r="O2" s="1"/>
    </row>
    <row r="3" spans="2:15" ht="11.25" customHeight="1">
      <c r="B3" s="107" t="str">
        <f>+IF('Introducerea datelor'!G8="Please Select","",'Introducerea datelor'!G8)</f>
        <v>Round 9</v>
      </c>
      <c r="C3" s="701" t="str">
        <f>+IF('Introducerea datelor'!I8="Please Select","",'Introducerea datelor'!I8)</f>
        <v>Phase 2</v>
      </c>
      <c r="D3" s="701"/>
      <c r="E3" s="700"/>
      <c r="F3" s="700"/>
      <c r="G3" s="700"/>
      <c r="H3" s="700"/>
      <c r="I3" s="698" t="str">
        <f>+'Introducerea datelor'!B16</f>
        <v>Report Period(Perioada de Raportare):</v>
      </c>
      <c r="J3" s="698"/>
      <c r="K3" s="161" t="str">
        <f>+'Introducerea datelor'!C16</f>
        <v>P10</v>
      </c>
      <c r="L3" s="79"/>
    </row>
    <row r="4" spans="2:15">
      <c r="B4" s="107" t="str">
        <f>+'Introducerea datelor'!B12</f>
        <v>Latest Rating (Ultimul Rating):</v>
      </c>
      <c r="C4" s="702" t="str">
        <f>+IF('Introducerea datelor'!C12="Please Select","",'Introducerea datelor'!C12)</f>
        <v>A2</v>
      </c>
      <c r="D4" s="702"/>
      <c r="E4" s="700" t="str">
        <f>+'Introducerea datelor'!C8</f>
        <v>PAS Center</v>
      </c>
      <c r="F4" s="700"/>
      <c r="G4" s="700"/>
      <c r="H4" s="700"/>
      <c r="I4" s="698" t="str">
        <f>+'Introducerea datelor'!D16</f>
        <v>From(De la):</v>
      </c>
      <c r="J4" s="699"/>
      <c r="K4" s="163">
        <f>+IF(ISBLANK('Introducerea datelor'!E16),"",'Introducerea datelor'!E16)</f>
        <v>41640</v>
      </c>
    </row>
    <row r="5" spans="2:15" ht="18.75" customHeight="1">
      <c r="B5" s="107"/>
      <c r="C5" s="107"/>
      <c r="D5" s="697" t="str">
        <f>+'Introducerea datelor'!G4</f>
        <v>Empowerment of people with TB and Communities in Moldova</v>
      </c>
      <c r="E5" s="697"/>
      <c r="F5" s="697"/>
      <c r="G5" s="697"/>
      <c r="H5" s="697"/>
      <c r="I5" s="697"/>
      <c r="J5" s="107" t="str">
        <f>+'Introducerea datelor'!F16</f>
        <v>To(Pînă la):</v>
      </c>
      <c r="K5" s="163">
        <f>+IF(ISBLANK('Introducerea datelor'!G16),"",'Introducerea datelor'!G16)</f>
        <v>41820</v>
      </c>
    </row>
    <row r="6" spans="2:15" ht="18.75">
      <c r="B6" s="111"/>
      <c r="C6" s="107"/>
      <c r="D6" s="108"/>
      <c r="E6" s="675" t="s">
        <v>92</v>
      </c>
      <c r="F6" s="675"/>
      <c r="G6" s="675"/>
      <c r="H6" s="675"/>
      <c r="I6" s="3"/>
      <c r="J6" s="3"/>
      <c r="K6" s="3"/>
    </row>
    <row r="7" spans="2:15" ht="10.5" customHeight="1">
      <c r="B7" s="112"/>
      <c r="C7" s="113"/>
      <c r="D7" s="114"/>
      <c r="E7" s="115"/>
      <c r="F7" s="115"/>
      <c r="G7" s="116"/>
      <c r="H7" s="116"/>
      <c r="I7" s="110"/>
      <c r="J7" s="110"/>
      <c r="K7" s="109"/>
    </row>
    <row r="8" spans="2:15" ht="27" customHeight="1">
      <c r="B8" s="678" t="str">
        <f>+'Introducerea datelor'!B27&amp; " - in ("&amp;'Introducerea datelor'!D26&amp;")         "&amp;+I3&amp;" "&amp;+K3</f>
        <v>F1:  Budget and disbursements by Global Fund (Bugetul și debursările de către Fondul Global) - in (€)         Report Period(Perioada de Raportare): P10</v>
      </c>
      <c r="C8" s="678"/>
      <c r="D8" s="678"/>
      <c r="E8" s="678"/>
      <c r="F8" s="678"/>
      <c r="H8" s="678" t="str">
        <f>+'Introducerea datelor'!B49&amp; " - in ("&amp;'Introducerea datelor'!D26&amp;")         "&amp;+I3&amp;" "&amp;+K3</f>
        <v>F3:Disbursements and expenditures (Debursări și cheltuieli) - in (€)         Report Period(Perioada de Raportare): P10</v>
      </c>
      <c r="I8" s="678"/>
      <c r="J8" s="678"/>
      <c r="K8" s="678"/>
    </row>
    <row r="9" spans="2:15" ht="29.25" customHeight="1">
      <c r="B9" s="273" t="s">
        <v>39</v>
      </c>
      <c r="C9" s="682" t="s">
        <v>502</v>
      </c>
      <c r="D9" s="683"/>
      <c r="E9" s="683"/>
      <c r="F9" s="684"/>
      <c r="H9" s="274" t="s">
        <v>39</v>
      </c>
      <c r="I9" s="688" t="s">
        <v>503</v>
      </c>
      <c r="J9" s="683"/>
      <c r="K9" s="684"/>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ht="27" customHeight="1">
      <c r="A21" s="19"/>
      <c r="B21" s="19"/>
      <c r="C21" s="19"/>
      <c r="D21" s="19"/>
      <c r="E21" s="19"/>
      <c r="F21" s="19"/>
      <c r="G21" s="19"/>
      <c r="H21" s="19"/>
      <c r="I21" s="19"/>
      <c r="J21" s="19"/>
      <c r="K21" s="19"/>
    </row>
    <row r="22" spans="1:11" ht="39" customHeight="1">
      <c r="B22" s="681" t="str">
        <f>+'Introducerea datelor'!B36&amp; " - in ("&amp;'Introducerea datelor'!D26&amp;")  "&amp;+I3&amp;" "&amp;+K3</f>
        <v>F2:  Budget and actual expenditures by Grant Objective (Bugetul și cheltuielile actuale după Obiectivele Grantului) - in (€)  Report Period(Perioada de Raportare): P10</v>
      </c>
      <c r="C22" s="681"/>
      <c r="D22" s="681"/>
      <c r="E22" s="681"/>
      <c r="F22" s="681"/>
      <c r="H22" s="681" t="str">
        <f>+'Introducerea datelor'!B58&amp;"      "&amp;+I3&amp;" "&amp;+K3</f>
        <v>F4:  Latest PR reporting and disbursement cycle (Ultima perioadă de raportare și debursare a RP)       Report Period(Perioada de Raportare): P10</v>
      </c>
      <c r="I22" s="681"/>
      <c r="J22" s="681"/>
      <c r="K22" s="681"/>
    </row>
    <row r="23" spans="1:11" ht="21" customHeight="1">
      <c r="B23" s="274" t="s">
        <v>40</v>
      </c>
      <c r="C23" s="688" t="s">
        <v>504</v>
      </c>
      <c r="D23" s="689"/>
      <c r="E23" s="689"/>
      <c r="F23" s="690"/>
      <c r="G23" s="290"/>
      <c r="H23" s="274" t="s">
        <v>39</v>
      </c>
      <c r="I23" s="685" t="s">
        <v>497</v>
      </c>
      <c r="J23" s="686"/>
      <c r="K23" s="687"/>
    </row>
    <row r="24" spans="1:11" ht="10.5" customHeight="1" thickBot="1">
      <c r="B24" s="171"/>
      <c r="C24" s="171"/>
      <c r="D24" s="171"/>
      <c r="E24" s="171"/>
      <c r="F24" s="171"/>
      <c r="G24" s="171"/>
      <c r="H24" s="172"/>
      <c r="I24" s="172"/>
      <c r="J24" s="171"/>
      <c r="K24" s="171"/>
    </row>
    <row r="25" spans="1:11" ht="25.5" customHeight="1" thickBot="1">
      <c r="B25" s="3"/>
      <c r="C25" s="3"/>
      <c r="D25" s="3"/>
      <c r="E25" s="3"/>
      <c r="F25" s="3"/>
      <c r="G25" s="250"/>
      <c r="H25" s="691" t="s">
        <v>315</v>
      </c>
      <c r="I25" s="692"/>
      <c r="J25" s="692"/>
      <c r="K25" s="693"/>
    </row>
    <row r="26" spans="1:11" ht="18.75" customHeight="1">
      <c r="B26" s="3"/>
      <c r="C26" s="3"/>
      <c r="D26" s="3"/>
      <c r="E26" s="3"/>
      <c r="F26" s="3"/>
      <c r="G26" s="220"/>
      <c r="H26" s="694"/>
      <c r="I26" s="695"/>
      <c r="J26" s="232" t="s">
        <v>90</v>
      </c>
      <c r="K26" s="233" t="s">
        <v>91</v>
      </c>
    </row>
    <row r="27" spans="1:11" ht="23.25" customHeight="1">
      <c r="B27" s="3"/>
      <c r="C27" s="3"/>
      <c r="D27" s="3"/>
      <c r="E27" s="3"/>
      <c r="F27" s="3"/>
      <c r="G27" s="251"/>
      <c r="H27" s="676" t="str">
        <f>'Introducerea datelor'!B62</f>
        <v>Days taken to submit final PU/DR to LFA (Zile necesare pentru remiterea PU/DR final către ALF)</v>
      </c>
      <c r="I27" s="677"/>
      <c r="J27" s="234">
        <f>+'Introducerea datelor'!C62</f>
        <v>45</v>
      </c>
      <c r="K27" s="231">
        <f>+'Introducerea datelor'!D62</f>
        <v>42</v>
      </c>
    </row>
    <row r="28" spans="1:11" ht="21" customHeight="1">
      <c r="B28" s="3"/>
      <c r="C28" s="3"/>
      <c r="D28" s="3"/>
      <c r="E28" s="3"/>
      <c r="F28" s="3"/>
      <c r="G28" s="251"/>
      <c r="H28" s="676" t="str">
        <f>'Introducerea datelor'!B63</f>
        <v>Days taken for disbursement to reach PR (Zile necesare pentru debursare către RP)</v>
      </c>
      <c r="I28" s="677"/>
      <c r="J28" s="234">
        <f>+'Introducerea datelor'!C63</f>
        <v>45</v>
      </c>
      <c r="K28" s="231">
        <f>+'Introducerea datelor'!D63</f>
        <v>45</v>
      </c>
    </row>
    <row r="29" spans="1:11" ht="21" customHeight="1" thickBot="1">
      <c r="B29" s="3"/>
      <c r="C29" s="3"/>
      <c r="D29" s="3"/>
      <c r="E29" s="3"/>
      <c r="F29" s="3"/>
      <c r="G29" s="251"/>
      <c r="H29" s="679" t="str">
        <f>'Introducerea datelor'!B64</f>
        <v>Days taken for disbursement to reach SRs  (Zile necesare pentru debursare către SR)</v>
      </c>
      <c r="I29" s="680"/>
      <c r="J29" s="235">
        <f>+'Introducerea datelor'!C64</f>
        <v>20</v>
      </c>
      <c r="K29" s="236">
        <f>+'Introducerea datelor'!D64</f>
        <v>5</v>
      </c>
    </row>
    <row r="30" spans="1:11">
      <c r="B30" s="3"/>
      <c r="C30" s="3"/>
      <c r="D30" s="3"/>
      <c r="E30" s="3"/>
      <c r="F30" s="3"/>
      <c r="G30" s="3"/>
      <c r="H30" s="3"/>
      <c r="I30" s="3"/>
      <c r="J30" s="3"/>
      <c r="K30" s="3"/>
    </row>
    <row r="31" spans="1:11">
      <c r="B31" s="3"/>
      <c r="C31" s="15"/>
      <c r="D31" s="191"/>
      <c r="E31" s="3"/>
      <c r="F31" s="3"/>
      <c r="G31" s="3"/>
      <c r="H31" s="3"/>
      <c r="I31" s="3"/>
      <c r="J31" s="3"/>
      <c r="K31" s="3"/>
    </row>
    <row r="32" spans="1:11">
      <c r="B32" s="3"/>
      <c r="C32" s="15"/>
      <c r="D32" s="191"/>
      <c r="E32" s="3"/>
      <c r="F32" s="3"/>
      <c r="G32" s="3"/>
      <c r="H32" s="3"/>
      <c r="I32" s="3"/>
      <c r="J32" s="3"/>
      <c r="K32" s="3"/>
    </row>
    <row r="34" spans="5:5">
      <c r="E34" s="19"/>
    </row>
  </sheetData>
  <mergeCells count="22">
    <mergeCell ref="B2:K2"/>
    <mergeCell ref="D5:I5"/>
    <mergeCell ref="I4:J4"/>
    <mergeCell ref="I3:J3"/>
    <mergeCell ref="E3:H3"/>
    <mergeCell ref="C3:D3"/>
    <mergeCell ref="C4:D4"/>
    <mergeCell ref="E4:H4"/>
    <mergeCell ref="E6:H6"/>
    <mergeCell ref="H27:I27"/>
    <mergeCell ref="H8:K8"/>
    <mergeCell ref="H29:I29"/>
    <mergeCell ref="H28:I28"/>
    <mergeCell ref="B22:F22"/>
    <mergeCell ref="H22:K22"/>
    <mergeCell ref="B8:F8"/>
    <mergeCell ref="C9:F9"/>
    <mergeCell ref="I23:K23"/>
    <mergeCell ref="C23:F23"/>
    <mergeCell ref="I9:K9"/>
    <mergeCell ref="H25:K25"/>
    <mergeCell ref="H26:I26"/>
  </mergeCells>
  <phoneticPr fontId="30" type="noConversion"/>
  <conditionalFormatting sqref="K27:K29">
    <cfRule type="cellIs" dxfId="32" priority="4" stopIfTrue="1" operator="greaterThan">
      <formula>J27</formula>
    </cfRule>
    <cfRule type="cellIs" dxfId="31" priority="5" stopIfTrue="1" operator="between">
      <formula>J27</formula>
      <formula>1</formula>
    </cfRule>
    <cfRule type="cellIs" dxfId="30" priority="6" stopIfTrue="1" operator="equal">
      <formula>0</formula>
    </cfRule>
  </conditionalFormatting>
  <conditionalFormatting sqref="C4:D4">
    <cfRule type="cellIs" dxfId="29" priority="1" stopIfTrue="1" operator="equal">
      <formula>"C"</formula>
    </cfRule>
    <cfRule type="cellIs" dxfId="28" priority="2" stopIfTrue="1" operator="equal">
      <formula>"B2"</formula>
    </cfRule>
    <cfRule type="cellIs" dxfId="27"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r:id="rId1"/>
  <headerFooter>
    <oddFooter>&amp;L&amp;F&amp;C&amp;A&amp;RV1.0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opLeftCell="A4" zoomScaleNormal="100" workbookViewId="0">
      <selection activeCell="C8" sqref="C8:F8"/>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5703125" customWidth="1"/>
    <col min="12" max="12" width="14.140625" customWidth="1"/>
  </cols>
  <sheetData>
    <row r="1" spans="1:16" ht="28.5" customHeight="1">
      <c r="C1" s="187"/>
      <c r="E1" s="188"/>
    </row>
    <row r="2" spans="1:16" ht="27.75" customHeight="1">
      <c r="B2" s="715" t="str">
        <f>+"Dashboard:  "&amp;"  "&amp;IF(+'Introducerea datelor'!C4="Please Select","",'Introducerea datelor'!C4&amp;" - ")&amp;IF('Introducerea datelor'!G6="Please Select","",'Introducerea datelor'!G6)</f>
        <v>Dashboard:    Moldova - TB</v>
      </c>
      <c r="C2" s="715"/>
      <c r="D2" s="715"/>
      <c r="E2" s="715"/>
      <c r="F2" s="715"/>
      <c r="G2" s="715"/>
      <c r="H2" s="715"/>
      <c r="I2" s="715"/>
      <c r="J2" s="715"/>
      <c r="K2" s="715"/>
      <c r="L2" s="715"/>
      <c r="M2" s="25"/>
      <c r="N2" s="25"/>
      <c r="O2" s="25"/>
      <c r="P2" s="25"/>
    </row>
    <row r="3" spans="1:16">
      <c r="B3" s="23" t="str">
        <f>+IF('Introducerea datelor'!G8="Please Select","",'Introducerea datelor'!G8)</f>
        <v>Round 9</v>
      </c>
      <c r="C3" s="707" t="str">
        <f>+IF('Introducerea datelor'!I8="Please Select","",'Introducerea datelor'!I8)</f>
        <v>Phase 2</v>
      </c>
      <c r="D3" s="707"/>
      <c r="E3" s="708"/>
      <c r="F3" s="708"/>
      <c r="G3" s="708"/>
      <c r="H3" s="708"/>
      <c r="I3" s="708"/>
      <c r="J3" s="717" t="str">
        <f>+'Introducerea datelor'!B16</f>
        <v>Report Period(Perioada de Raportare):</v>
      </c>
      <c r="K3" s="717"/>
      <c r="L3" s="161" t="str">
        <f>+'Introducerea datelor'!C16</f>
        <v>P10</v>
      </c>
    </row>
    <row r="4" spans="1:16">
      <c r="B4" s="23" t="str">
        <f>+'Introducerea datelor'!B12</f>
        <v>Latest Rating (Ultimul Rating):</v>
      </c>
      <c r="C4" s="702" t="str">
        <f>+IF('Introducerea datelor'!C12="Please Select","",'Introducerea datelor'!C12)</f>
        <v>A2</v>
      </c>
      <c r="D4" s="702"/>
      <c r="E4" s="708" t="str">
        <f>+'Introducerea datelor'!C8</f>
        <v>PAS Center</v>
      </c>
      <c r="F4" s="708"/>
      <c r="G4" s="708"/>
      <c r="H4" s="708"/>
      <c r="I4" s="708"/>
      <c r="J4" s="717" t="str">
        <f>+'Introducerea datelor'!D16</f>
        <v>From(De la):</v>
      </c>
      <c r="K4" s="718"/>
      <c r="L4" s="163">
        <f>+IF(ISBLANK('Introducerea datelor'!E16),"",'Introducerea datelor'!E16)</f>
        <v>41640</v>
      </c>
    </row>
    <row r="5" spans="1:16" ht="18.75" customHeight="1">
      <c r="B5" s="23"/>
      <c r="C5" s="23"/>
      <c r="D5" s="708" t="str">
        <f>+'Introducerea datelor'!G4</f>
        <v>Empowerment of people with TB and Communities in Moldova</v>
      </c>
      <c r="E5" s="708"/>
      <c r="F5" s="708"/>
      <c r="G5" s="708"/>
      <c r="H5" s="708"/>
      <c r="I5" s="708"/>
      <c r="J5" s="708"/>
      <c r="K5" s="23" t="str">
        <f>+'Introducerea datelor'!F16</f>
        <v>To(Pînă la):</v>
      </c>
      <c r="L5" s="163">
        <f>+IF(ISBLANK('Introducerea datelor'!G16),"",'Introducerea datelor'!G16)</f>
        <v>41820</v>
      </c>
    </row>
    <row r="6" spans="1:16" ht="18.75">
      <c r="B6" s="22"/>
      <c r="C6" s="23"/>
      <c r="D6" s="24"/>
      <c r="E6" s="716" t="s">
        <v>93</v>
      </c>
      <c r="F6" s="716"/>
      <c r="G6" s="716"/>
      <c r="H6" s="716"/>
      <c r="I6" s="716"/>
    </row>
    <row r="7" spans="1:16" ht="42.75" customHeight="1">
      <c r="B7" s="703" t="str">
        <f>+'Introducerea datelor'!B69&amp;"                "&amp;+J3&amp;" "&amp;+L3</f>
        <v>M1:  Status of Conditions Precedent (CPs) and Time Bound Actions (TBAs) (Statutul Condițiilor Precedente și a Acțiunilor Prestabilite în Timp)                 Report Period(Perioada de Raportare): P10</v>
      </c>
      <c r="C7" s="703"/>
      <c r="D7" s="703"/>
      <c r="E7" s="703"/>
      <c r="F7" s="703"/>
      <c r="H7" s="703" t="str">
        <f>+'Introducerea datelor'!B76&amp;"                                                                             "&amp;+J3&amp;"  "&amp;+L3</f>
        <v>M2:  Status of key PR management positions (Statutul pozițiilor cheie a RP)                                                                              Report Period(Perioada de Raportare):  P10</v>
      </c>
      <c r="I7" s="703"/>
      <c r="J7" s="703"/>
      <c r="K7" s="703"/>
      <c r="L7" s="703"/>
    </row>
    <row r="8" spans="1:16">
      <c r="B8" s="275" t="s">
        <v>39</v>
      </c>
      <c r="C8" s="685" t="s">
        <v>498</v>
      </c>
      <c r="D8" s="686"/>
      <c r="E8" s="686"/>
      <c r="F8" s="687"/>
      <c r="G8" s="291"/>
      <c r="H8" s="274" t="s">
        <v>39</v>
      </c>
      <c r="I8" s="688" t="s">
        <v>499</v>
      </c>
      <c r="J8" s="705"/>
      <c r="K8" s="705"/>
      <c r="L8" s="706"/>
    </row>
    <row r="9" spans="1:16">
      <c r="B9" s="19"/>
      <c r="C9" s="19"/>
      <c r="D9" s="19"/>
      <c r="E9" s="19"/>
      <c r="F9" s="19"/>
      <c r="G9" s="19"/>
      <c r="H9" s="19"/>
    </row>
    <row r="10" spans="1:16">
      <c r="A10" s="44"/>
      <c r="B10" s="19"/>
      <c r="C10" s="19"/>
      <c r="D10" s="712"/>
      <c r="E10" s="535"/>
      <c r="F10" s="535"/>
      <c r="G10" s="166"/>
      <c r="H10" s="19"/>
      <c r="N10" s="46"/>
      <c r="O10" s="46"/>
      <c r="P10" s="45"/>
    </row>
    <row r="11" spans="1:16">
      <c r="B11" s="19"/>
      <c r="C11" s="27"/>
      <c r="D11" s="712"/>
      <c r="E11" s="27"/>
      <c r="F11" s="27"/>
      <c r="G11" s="27"/>
      <c r="H11" s="27"/>
      <c r="N11" s="19"/>
      <c r="O11" s="19"/>
    </row>
    <row r="12" spans="1:16">
      <c r="B12" s="27"/>
      <c r="C12" s="75"/>
      <c r="D12" s="76"/>
      <c r="E12" s="76"/>
      <c r="F12" s="76"/>
      <c r="G12" s="76"/>
      <c r="H12" s="77"/>
    </row>
    <row r="13" spans="1:16">
      <c r="B13" s="27"/>
      <c r="C13" s="75"/>
      <c r="D13" s="76"/>
      <c r="E13" s="76"/>
      <c r="F13" s="76"/>
      <c r="G13" s="76"/>
      <c r="H13" s="77"/>
    </row>
    <row r="15" spans="1:16" ht="27.75" customHeight="1">
      <c r="B15" s="703" t="str">
        <f>+'Introducerea datelor'!B81&amp;"                                                                                                  "&amp;+J3&amp;" "&amp;+L3</f>
        <v>M3:  Contractual arrangements (SRs)  (Aranjamente contractuale (SR))                                                                                                   Report Period(Perioada de Raportare): P10</v>
      </c>
      <c r="C15" s="703"/>
      <c r="D15" s="703"/>
      <c r="E15" s="703"/>
      <c r="F15" s="703"/>
      <c r="H15" s="703" t="str">
        <f>+'Introducerea datelor'!B86&amp;"                                                             "&amp;+J3&amp;" "&amp;+L3</f>
        <v>M4: Number of complete reports received on time (Numărul rapoartelor complete recepționate la timp)                                                             Report Period(Perioada de Raportare): P10</v>
      </c>
      <c r="I15" s="703"/>
      <c r="J15" s="703"/>
      <c r="K15" s="703"/>
      <c r="L15" s="703"/>
      <c r="M15" s="703"/>
    </row>
    <row r="16" spans="1:16" ht="26.25" customHeight="1">
      <c r="B16" s="275" t="s">
        <v>39</v>
      </c>
      <c r="C16" s="685" t="s">
        <v>500</v>
      </c>
      <c r="D16" s="713"/>
      <c r="E16" s="713"/>
      <c r="F16" s="714"/>
      <c r="G16" s="291"/>
      <c r="H16" s="274" t="s">
        <v>39</v>
      </c>
      <c r="I16" s="685" t="s">
        <v>505</v>
      </c>
      <c r="J16" s="686"/>
      <c r="K16" s="686"/>
      <c r="L16" s="687"/>
    </row>
    <row r="17" spans="2:13">
      <c r="B17" s="28"/>
      <c r="H17" s="29"/>
    </row>
    <row r="18" spans="2:13">
      <c r="M18" s="79"/>
    </row>
    <row r="26" spans="2:13" ht="53.25" customHeight="1">
      <c r="B26" s="703" t="str">
        <f>+'Introducerea datelor'!B92</f>
        <v>M5: Budget and Procurement of health products, health equipment, medicines and pharmaceuticals (Bugetul și Procurarea produselor medicale, echipamentului medical, medicamentelor și produselor farmaceutice )</v>
      </c>
      <c r="C26" s="703"/>
      <c r="D26" s="703"/>
      <c r="E26" s="703"/>
      <c r="F26" s="703"/>
      <c r="H26" s="703" t="str">
        <f>+'Introducerea datelor'!B105&amp;"                                                                "&amp;+J3&amp;"  "&amp;+L3</f>
        <v>M6: Difference between current and safety stock (Diferență între stocul curent și stocul de siguranță)                                                                Report Period(Perioada de Raportare):  P10</v>
      </c>
      <c r="I26" s="703"/>
      <c r="J26" s="703"/>
      <c r="K26" s="703"/>
      <c r="L26" s="703"/>
      <c r="M26" s="703"/>
    </row>
    <row r="27" spans="2:13" ht="33.75" customHeight="1">
      <c r="B27" s="273" t="s">
        <v>39</v>
      </c>
      <c r="C27" s="682"/>
      <c r="D27" s="705"/>
      <c r="E27" s="705"/>
      <c r="F27" s="706"/>
      <c r="G27" s="291"/>
      <c r="H27" s="274" t="s">
        <v>39</v>
      </c>
      <c r="I27" s="685"/>
      <c r="J27" s="686"/>
      <c r="K27" s="686"/>
      <c r="L27" s="687"/>
    </row>
    <row r="28" spans="2:13" ht="15.75" thickBot="1"/>
    <row r="29" spans="2:13" ht="44.25" customHeight="1">
      <c r="F29" s="257"/>
      <c r="G29" s="257"/>
      <c r="H29" s="177" t="s">
        <v>62</v>
      </c>
      <c r="I29" s="253" t="s">
        <v>103</v>
      </c>
      <c r="J29" s="272" t="s">
        <v>336</v>
      </c>
      <c r="K29" s="176" t="s">
        <v>331</v>
      </c>
      <c r="L29" s="254" t="s">
        <v>330</v>
      </c>
    </row>
    <row r="30" spans="2:13" ht="15" customHeight="1">
      <c r="F30" s="257"/>
      <c r="G30" s="257"/>
      <c r="H30" s="709" t="str">
        <f>+'Introducerea datelor'!B108</f>
        <v>TB</v>
      </c>
      <c r="I30" s="255" t="str">
        <f>+'Introducerea datelor'!C108</f>
        <v>Please Select</v>
      </c>
      <c r="J30" s="344" t="str">
        <f>+'Introducerea datelor'!I108</f>
        <v/>
      </c>
      <c r="K30" s="345">
        <f>+'Introducerea datelor'!J108</f>
        <v>0</v>
      </c>
      <c r="L30" s="329" t="str">
        <f>+'Introducerea datelor'!K108</f>
        <v/>
      </c>
    </row>
    <row r="31" spans="2:13">
      <c r="F31" s="257"/>
      <c r="G31" s="257"/>
      <c r="H31" s="710"/>
      <c r="I31" s="255" t="str">
        <f>+'Introducerea datelor'!C109</f>
        <v>Please Select</v>
      </c>
      <c r="J31" s="344" t="str">
        <f>+'Introducerea datelor'!I109</f>
        <v/>
      </c>
      <c r="K31" s="345">
        <f>+'Introducerea datelor'!J109</f>
        <v>0</v>
      </c>
      <c r="L31" s="330" t="str">
        <f>+'Introducerea datelor'!K109</f>
        <v/>
      </c>
    </row>
    <row r="32" spans="2:13">
      <c r="F32" s="257"/>
      <c r="G32" s="257"/>
      <c r="H32" s="710"/>
      <c r="I32" s="255" t="str">
        <f>+'Introducerea datelor'!C110</f>
        <v>Please Select</v>
      </c>
      <c r="J32" s="344" t="str">
        <f>+'Introducerea datelor'!I110</f>
        <v/>
      </c>
      <c r="K32" s="345">
        <f>+'Introducerea datelor'!J110</f>
        <v>0</v>
      </c>
      <c r="L32" s="329" t="str">
        <f>+'Introducerea datelor'!K110</f>
        <v/>
      </c>
    </row>
    <row r="33" spans="2:12" ht="15.75" thickBot="1">
      <c r="F33" s="257"/>
      <c r="G33" s="257"/>
      <c r="H33" s="711"/>
      <c r="I33" s="256" t="str">
        <f>+'Introducerea datelor'!C111</f>
        <v>Please Select</v>
      </c>
      <c r="J33" s="346" t="str">
        <f>+'Introducerea datelor'!I111</f>
        <v/>
      </c>
      <c r="K33" s="347">
        <f>+'Introducerea datelor'!J111</f>
        <v>0</v>
      </c>
      <c r="L33" s="329" t="str">
        <f>+'Introducerea datelor'!K111</f>
        <v/>
      </c>
    </row>
    <row r="34" spans="2:12" ht="24.75" customHeight="1">
      <c r="B34" s="704" t="str">
        <f>+'Introducerea datelor'!B102</f>
        <v>* Includes only EFR category 4 and 5  (Health products and health equipment &amp; Medicines and Pharmaceuticals) (* Include numai EFR categoriile 4 și 5  (Produse medicale și Echipamente medicale &amp; Medicamente și Produse farmaceutice))</v>
      </c>
      <c r="C34" s="704"/>
      <c r="D34" s="704"/>
      <c r="E34" s="704"/>
      <c r="F34" s="19"/>
      <c r="G34" s="19"/>
      <c r="H34" s="173"/>
      <c r="I34" s="174"/>
      <c r="J34" s="175"/>
      <c r="K34" s="166"/>
      <c r="L34" s="20"/>
    </row>
    <row r="35" spans="2:12">
      <c r="F35" s="19"/>
      <c r="G35" s="19"/>
      <c r="H35" s="19"/>
      <c r="I35" s="19"/>
      <c r="J35" s="19"/>
      <c r="K35" s="19"/>
      <c r="L35" s="19"/>
    </row>
  </sheetData>
  <sheetProtection sheet="1" objects="1" scenarios="1"/>
  <mergeCells count="25">
    <mergeCell ref="B7:F7"/>
    <mergeCell ref="H7:L7"/>
    <mergeCell ref="B2:L2"/>
    <mergeCell ref="C4:D4"/>
    <mergeCell ref="E6:I6"/>
    <mergeCell ref="E3:I3"/>
    <mergeCell ref="J3:K3"/>
    <mergeCell ref="J4:K4"/>
    <mergeCell ref="D5:J5"/>
    <mergeCell ref="B15:F15"/>
    <mergeCell ref="H15:M15"/>
    <mergeCell ref="B34:E34"/>
    <mergeCell ref="C27:F27"/>
    <mergeCell ref="C3:D3"/>
    <mergeCell ref="E4:I4"/>
    <mergeCell ref="H30:H33"/>
    <mergeCell ref="I8:L8"/>
    <mergeCell ref="I16:L16"/>
    <mergeCell ref="I27:L27"/>
    <mergeCell ref="D10:D11"/>
    <mergeCell ref="B26:F26"/>
    <mergeCell ref="H26:M26"/>
    <mergeCell ref="C16:F16"/>
    <mergeCell ref="E10:F10"/>
    <mergeCell ref="C8:F8"/>
  </mergeCells>
  <phoneticPr fontId="30" type="noConversion"/>
  <conditionalFormatting sqref="D12:D13">
    <cfRule type="cellIs" dxfId="26" priority="1" stopIfTrue="1" operator="greaterThan">
      <formula>0</formula>
    </cfRule>
  </conditionalFormatting>
  <conditionalFormatting sqref="E12:E13">
    <cfRule type="cellIs" dxfId="25" priority="2" stopIfTrue="1" operator="greaterThan">
      <formula>0</formula>
    </cfRule>
  </conditionalFormatting>
  <conditionalFormatting sqref="F12:G13">
    <cfRule type="cellIs" dxfId="24" priority="3" stopIfTrue="1" operator="greaterThan">
      <formula>0</formula>
    </cfRule>
  </conditionalFormatting>
  <conditionalFormatting sqref="C4:D4">
    <cfRule type="cellIs" dxfId="23" priority="4" stopIfTrue="1" operator="equal">
      <formula>"C"</formula>
    </cfRule>
    <cfRule type="cellIs" dxfId="22" priority="5" stopIfTrue="1" operator="equal">
      <formula>"B2"</formula>
    </cfRule>
    <cfRule type="cellIs" dxfId="21" priority="6" stopIfTrue="1" operator="equal">
      <formula>"B1"</formula>
    </cfRule>
  </conditionalFormatting>
  <conditionalFormatting sqref="L30 L32:L33">
    <cfRule type="cellIs" dxfId="20" priority="13" stopIfTrue="1" operator="lessThan">
      <formula>1</formula>
    </cfRule>
    <cfRule type="cellIs" dxfId="19" priority="14" stopIfTrue="1" operator="between">
      <formula>3</formula>
      <formula>17</formula>
    </cfRule>
    <cfRule type="cellIs" dxfId="18" priority="15" stopIfTrue="1" operator="between">
      <formula>1</formula>
      <formula>3</formula>
    </cfRule>
  </conditionalFormatting>
  <conditionalFormatting sqref="L31">
    <cfRule type="cellIs" dxfId="17" priority="16" stopIfTrue="1" operator="lessThan">
      <formula>1</formula>
    </cfRule>
    <cfRule type="cellIs" dxfId="16" priority="17" stopIfTrue="1" operator="between">
      <formula>3</formula>
      <formula>100</formula>
    </cfRule>
    <cfRule type="cellIs" dxfId="15"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alignWithMargins="0">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29"/>
  <sheetViews>
    <sheetView showGridLines="0" tabSelected="1" topLeftCell="A20" zoomScaleNormal="100" workbookViewId="0">
      <selection activeCell="L20" sqref="L20:Q20"/>
    </sheetView>
  </sheetViews>
  <sheetFormatPr defaultColWidth="11" defaultRowHeight="15"/>
  <cols>
    <col min="1" max="1" width="4.140625" customWidth="1"/>
    <col min="2" max="2" width="11.28515625" customWidth="1"/>
    <col min="3" max="3" width="17.5703125" customWidth="1"/>
    <col min="4" max="4" width="11.7109375" customWidth="1"/>
    <col min="5" max="5" width="12.28515625" customWidth="1"/>
    <col min="6" max="6" width="8.85546875" customWidth="1"/>
    <col min="7" max="7" width="8" customWidth="1"/>
    <col min="8" max="8" width="10.42578125" customWidth="1"/>
    <col min="9" max="9" width="4.7109375" customWidth="1"/>
    <col min="10" max="10" width="6.5703125" customWidth="1"/>
    <col min="11" max="11" width="11.140625" customWidth="1"/>
    <col min="12" max="12" width="11.5703125" customWidth="1"/>
    <col min="13" max="13" width="6.140625" customWidth="1"/>
    <col min="14" max="14" width="13" customWidth="1"/>
    <col min="15" max="15" width="10.85546875" customWidth="1"/>
    <col min="16" max="16" width="12.85546875" customWidth="1"/>
    <col min="17" max="17" width="15.7109375" customWidth="1"/>
    <col min="18" max="18" width="6.5703125" customWidth="1"/>
  </cols>
  <sheetData>
    <row r="1" spans="1:35" ht="26.25" customHeight="1">
      <c r="A1" s="3"/>
      <c r="B1" s="3"/>
      <c r="C1" s="3"/>
      <c r="D1" s="3"/>
      <c r="E1" s="3"/>
      <c r="F1" s="3"/>
      <c r="G1" s="3"/>
      <c r="H1" s="3"/>
      <c r="I1" s="3"/>
      <c r="J1" s="3"/>
      <c r="K1" s="3"/>
      <c r="L1" s="3"/>
      <c r="M1" s="3"/>
      <c r="N1" s="3"/>
      <c r="O1" s="3"/>
      <c r="P1" s="3"/>
    </row>
    <row r="2" spans="1:35" ht="21.75" customHeight="1">
      <c r="A2" s="3"/>
      <c r="B2" s="719" t="str">
        <f>+"Dashboard:  "&amp;"  "&amp;IF(+'Introducerea datelor'!C4="Please Select","",'Introducerea datelor'!C4&amp;" - ")&amp;IF('Introducerea datelor'!G6="Please Select","",'Introducerea datelor'!G6)</f>
        <v>Dashboard:    Moldova - TB</v>
      </c>
      <c r="C2" s="719"/>
      <c r="D2" s="719"/>
      <c r="E2" s="719"/>
      <c r="F2" s="719"/>
      <c r="G2" s="719"/>
      <c r="H2" s="719"/>
      <c r="I2" s="719"/>
      <c r="J2" s="719"/>
      <c r="K2" s="719"/>
      <c r="L2" s="719"/>
      <c r="M2" s="719"/>
      <c r="N2" s="719"/>
      <c r="O2" s="719"/>
      <c r="P2" s="719"/>
      <c r="Q2" s="719"/>
    </row>
    <row r="3" spans="1:35" ht="18.75">
      <c r="A3" s="3"/>
      <c r="B3" s="107" t="str">
        <f>+IF('Introducerea datelor'!G8="Please Select","",'Introducerea datelor'!G8)</f>
        <v>Round 9</v>
      </c>
      <c r="C3" s="701" t="str">
        <f>+IF('Introducerea datelor'!I8="Please Select","",'Introducerea datelor'!I8)</f>
        <v>Phase 2</v>
      </c>
      <c r="D3" s="701"/>
      <c r="E3" s="700"/>
      <c r="F3" s="700"/>
      <c r="G3" s="700"/>
      <c r="H3" s="700"/>
      <c r="I3" s="723"/>
      <c r="J3" s="723"/>
      <c r="K3" s="723"/>
      <c r="L3" s="3"/>
      <c r="M3" s="3"/>
      <c r="O3" s="698" t="str">
        <f>+'Introducerea datelor'!B16</f>
        <v>Report Period(Perioada de Raportare):</v>
      </c>
      <c r="P3" s="698"/>
      <c r="Q3" s="162" t="str">
        <f>+'Introducerea datelor'!C16</f>
        <v>P10</v>
      </c>
    </row>
    <row r="4" spans="1:35" ht="12" customHeight="1">
      <c r="A4" s="3"/>
      <c r="B4" s="107" t="str">
        <f>+'Introducerea datelor'!B12</f>
        <v>Latest Rating (Ultimul Rating):</v>
      </c>
      <c r="C4" s="724" t="str">
        <f>+IF('Introducerea datelor'!C12="Please Select","",'Introducerea datelor'!C12)</f>
        <v>A2</v>
      </c>
      <c r="D4" s="724"/>
      <c r="E4" s="700" t="str">
        <f>+'Introducerea datelor'!C8</f>
        <v>PAS Center</v>
      </c>
      <c r="F4" s="700"/>
      <c r="G4" s="700"/>
      <c r="H4" s="700"/>
      <c r="I4" s="700"/>
      <c r="J4" s="700"/>
      <c r="K4" s="700"/>
      <c r="L4" s="700"/>
      <c r="M4" s="3"/>
      <c r="O4" s="259"/>
      <c r="P4" s="107" t="str">
        <f>+'Introducerea datelor'!D16</f>
        <v>From(De la):</v>
      </c>
      <c r="Q4" s="260">
        <f>+IF(ISBLANK('Introducerea datelor'!E16),"",'Introducerea datelor'!E16)</f>
        <v>41640</v>
      </c>
      <c r="Y4" s="67"/>
      <c r="Z4" s="67"/>
      <c r="AA4" s="67"/>
      <c r="AB4" s="67"/>
      <c r="AC4" s="67"/>
    </row>
    <row r="5" spans="1:35" ht="30" customHeight="1">
      <c r="A5" s="3"/>
      <c r="B5" s="107"/>
      <c r="C5" s="107"/>
      <c r="D5" s="720" t="str">
        <f>+'Introducerea datelor'!G4</f>
        <v>Empowerment of people with TB and Communities in Moldova</v>
      </c>
      <c r="E5" s="720"/>
      <c r="F5" s="720"/>
      <c r="G5" s="720"/>
      <c r="H5" s="720"/>
      <c r="I5" s="720"/>
      <c r="J5" s="720"/>
      <c r="K5" s="720"/>
      <c r="L5" s="720"/>
      <c r="M5" s="720"/>
      <c r="N5" s="720"/>
      <c r="P5" s="107" t="str">
        <f>+'Introducerea datelor'!F16</f>
        <v>To(Pînă la):</v>
      </c>
      <c r="Q5" s="260">
        <f>+IF(ISBLANK('Introducerea datelor'!G16),"",'Introducerea datelor'!G16)</f>
        <v>41820</v>
      </c>
      <c r="S5" s="184"/>
      <c r="T5" s="184"/>
      <c r="U5" s="184"/>
      <c r="V5" s="184"/>
      <c r="W5" s="184"/>
      <c r="X5" s="184"/>
      <c r="Y5" s="67"/>
      <c r="Z5" s="67"/>
      <c r="AA5" s="67" t="s">
        <v>72</v>
      </c>
      <c r="AB5" s="67"/>
      <c r="AC5" s="67" t="s">
        <v>281</v>
      </c>
      <c r="AD5" s="184"/>
      <c r="AE5" s="184"/>
      <c r="AF5" s="184"/>
      <c r="AG5" s="184"/>
      <c r="AH5" s="184"/>
      <c r="AI5" s="184"/>
    </row>
    <row r="6" spans="1:35" ht="19.5" customHeight="1">
      <c r="A6" s="3"/>
      <c r="B6" s="107"/>
      <c r="C6" s="107"/>
      <c r="D6" s="182"/>
      <c r="E6" s="182"/>
      <c r="F6" s="722" t="s">
        <v>361</v>
      </c>
      <c r="G6" s="722"/>
      <c r="H6" s="722"/>
      <c r="I6" s="722"/>
      <c r="J6" s="722"/>
      <c r="K6" s="722"/>
      <c r="L6" s="182"/>
      <c r="M6" s="3"/>
      <c r="N6" s="3"/>
      <c r="O6" s="164"/>
      <c r="P6" s="204"/>
      <c r="S6" s="184"/>
      <c r="T6" s="184"/>
      <c r="U6" s="184"/>
      <c r="V6" s="184"/>
      <c r="W6" s="184"/>
      <c r="X6" s="184"/>
      <c r="Y6" s="67"/>
      <c r="Z6" s="67"/>
      <c r="AA6" s="67"/>
      <c r="AB6" s="67"/>
      <c r="AC6" s="67"/>
      <c r="AD6" s="184"/>
      <c r="AE6" s="184"/>
      <c r="AF6" s="184"/>
      <c r="AG6" s="184"/>
      <c r="AH6" s="184"/>
      <c r="AI6" s="184"/>
    </row>
    <row r="7" spans="1:35" ht="3" customHeight="1">
      <c r="A7" s="3"/>
      <c r="B7" s="107"/>
      <c r="C7" s="107"/>
      <c r="D7" s="182"/>
      <c r="E7" s="182"/>
      <c r="F7" s="182"/>
      <c r="G7" s="182"/>
      <c r="H7" s="182"/>
      <c r="I7" s="182"/>
      <c r="J7" s="182"/>
      <c r="K7" s="182"/>
      <c r="L7" s="182"/>
      <c r="M7" s="3"/>
      <c r="N7" s="3"/>
      <c r="O7" s="164"/>
      <c r="P7" s="163"/>
      <c r="Q7" s="163"/>
      <c r="S7" s="184"/>
      <c r="T7" s="184"/>
      <c r="U7" s="184"/>
      <c r="V7" s="184"/>
      <c r="W7" s="184"/>
      <c r="X7" s="184"/>
      <c r="Y7" s="67"/>
      <c r="Z7" s="67"/>
      <c r="AA7" s="67"/>
      <c r="AB7" s="67"/>
      <c r="AC7" s="67"/>
      <c r="AD7" s="184"/>
      <c r="AE7" s="184"/>
      <c r="AF7" s="184"/>
      <c r="AG7" s="184"/>
      <c r="AH7" s="184"/>
      <c r="AI7" s="184"/>
    </row>
    <row r="8" spans="1:35" ht="54.75" customHeight="1">
      <c r="A8" s="3"/>
      <c r="B8" s="725" t="s">
        <v>32</v>
      </c>
      <c r="C8" s="726"/>
      <c r="D8" s="726"/>
      <c r="E8" s="726"/>
      <c r="F8" s="721" t="s">
        <v>33</v>
      </c>
      <c r="G8" s="721"/>
      <c r="H8" s="721"/>
      <c r="I8" s="721"/>
      <c r="J8" s="721"/>
      <c r="K8" s="721"/>
      <c r="L8" s="721" t="s">
        <v>21</v>
      </c>
      <c r="M8" s="721"/>
      <c r="N8" s="721"/>
      <c r="O8" s="721"/>
      <c r="P8" s="721"/>
      <c r="Q8" s="721"/>
      <c r="S8" s="184"/>
      <c r="T8" s="184"/>
      <c r="U8" s="184"/>
      <c r="V8" s="184"/>
      <c r="W8" s="184"/>
      <c r="X8" s="184"/>
      <c r="Y8" s="67"/>
      <c r="Z8" s="67"/>
      <c r="AA8" s="67"/>
      <c r="AB8" s="67"/>
      <c r="AC8" s="67"/>
      <c r="AD8" s="184"/>
      <c r="AE8" s="184"/>
      <c r="AF8" s="184"/>
      <c r="AG8" s="184"/>
      <c r="AH8" s="184"/>
      <c r="AI8" s="184"/>
    </row>
    <row r="9" spans="1:35" ht="123.75" customHeight="1">
      <c r="A9" s="3"/>
      <c r="B9" s="359" t="s">
        <v>370</v>
      </c>
      <c r="C9" s="729" t="str">
        <f>L20</f>
        <v>During  the first half of the 2014, 991 TB patients registered under DOTS program received incentives for improved treatment compliance.                                      
The indicator is achieved at 89.%. Reason: Currently, in the country there are two sources of funding   incentives’ support: CNAM and GF. The value  of incentives offered through the CNAM  is more consistent. Since the criteria  described in the MoH regulation on providing incentives from the CNAM funds  is not expressive,  the SR AFI informed territorial TB coordinators from the TB health facilities to provide the list of sensitive TB patients that were not covered by the CNAM.    Majority of TB coordinators register patients in the list for provision  incentives  with higher value, event the total sun approved by the CNAM does not predict to cover all needs. Also the TB doctors are focused on absorption the budget provided by the CNAM.  After a long period of communication between PR, SR and public authorities on  the issues related to the provision of incentives there were drafted and presented by the NTP  the  model of providing incentives by  combining provision from two sources as follow: to start  with CNAM funds during first 2-3 months and continue support with GF funds.  The presented  estimation to the RP was with unclear multiplication factors  in  the estimation formula. No explanations were presented to  unclear multiplication factors  to  several  PR   requests to the MoH and NTP,  up to date. Nevertheless the PR presented the estimation  of the NTP/ MoH  to the GF which also raised the same questions to the estimation formula.  It expected to have final clarifications from the  NTP of  the estimation on the new drafted model for provision incentives programm from both sources. Also  it is expected to have a decision of the NTP  and CNAM on the possibility to revise  the MoH order on providing incentives from different sources.                                                                                                                                                                                          
In primul semestru al 2014, 991 pacienți cu TB înregistrați în programul DOTS au primit  suport motivational pentru îmbunătățirea aderentei la tratament. Indicatorul este atins in proportie de 89,%. Motivul variației:  În prezent, în ţară există două surse de finanţare a  suportului motivational: CNAM şi FG.  Valorea pachetului oferit  din sursele CNAM este mai  consistentă. Din motiv că criteriile descrise în regulamentul MS cu privire la oferirea suportului motivational nu  sunt exprese,   SR AFI a informat coordonatori TB teritoriali din institutiile  medico- sanitare    de a prezenta  lista de pacienţii cu TB sensibilă care nu au fost acoperiţi de CNAM  pentru a oferi suport motivaţional  din sursele FG.   Majoritatea Coordonatorilor TB  inscriu pacientii in listele pentru suport motivaţional de la CNAM, cu  o valoare mai mare .. Deasemenea TB Coordonatorii incearca sa absorbe sumele acordate de CNAM. Dupa o perioada esenţială  de comunicare intre RP, SR si autorităţile publice despre problemele  mecanismului de oferire a suportului motivaţional, NTP a elaborat şi a prezentat un model de oferire a suportului care prevede: acordarea suportului  iniţial din sursele CNAM ( 2-3 luni) şi ulterior  de al GF, pe durata tratamentului.  Estimarea prezentatăp  conţine factori în formulă de multiplicare neclari. Clarificări vizavi de incertitudinile din formula de  estimare  abordate de RP nu au fost prezentate pînp la data curentă. Necatînd la acest fapt estimarea a fost prezentat la FG.  La rindul său FG a ridicat aceleaşi intrebări, nefiind posibil fără ele examinarea documentului şi aprobarea noului model de suport.  Se asteaptă ca NTP să ofere clarificări vizavi de estimarea  pentru noul model al suportului motivaţional din ambele surse de finanţare.   Deasemenea se asteaptă sa fie luată decizia finală de NTP şi CNAM privind posibilitatea de a modifica Ordinul MS pentru acordarea de stimulente din diferite surse.</v>
      </c>
      <c r="D9" s="730"/>
      <c r="E9" s="731"/>
      <c r="F9" s="359" t="s">
        <v>371</v>
      </c>
      <c r="G9" s="734" t="str">
        <f>L21</f>
        <v xml:space="preserve">During the firs half of 2014, 283 MDR-TB patients were received incentives for improved treatment compliance . The indicator is  achieved.                                                                                                                                                                                                                                                   
În prima jumatate anului 2014, 283 de pacienţi MDR-TB au primit stimulente pentru îmbunătățirea respectării tratamentului.  Indicatorul este atins. </v>
      </c>
      <c r="H9" s="737"/>
      <c r="I9" s="737"/>
      <c r="J9" s="737"/>
      <c r="K9" s="738"/>
      <c r="L9" s="359" t="s">
        <v>372</v>
      </c>
      <c r="M9" s="734" t="str">
        <f>L22</f>
        <v xml:space="preserve">A total of 85 persons were trained, from them: 28 people from multidisciplinary teams of the community center; 25 people from NGOs in DOT and TB community aspects and 32 volunteers trained from the NGOs network in TB community aspects. The indicator is overachieved in proportion of 106%.                                                                                                                                                                                                                    
85 de persoane au fost instruite pe parcusul semestrului 1, 2014, dintre care: 28 de persoane din echipele multidisciplinare din centrul comunitar; 25 persoane din ONG-uri care activează în aspecte comunitare, DOT şi TB şi 32 voluntari din reţeaua de ONG-uri. Indicatorul este supraindeplinit în proporţie de 106%.  </v>
      </c>
      <c r="N9" s="735"/>
      <c r="O9" s="735"/>
      <c r="P9" s="735"/>
      <c r="Q9" s="736"/>
      <c r="S9" s="184"/>
      <c r="T9" s="184"/>
      <c r="U9" s="184"/>
      <c r="V9" s="184"/>
      <c r="W9" s="184"/>
      <c r="X9" s="184"/>
      <c r="Y9" s="184"/>
      <c r="Z9" s="184"/>
      <c r="AA9" s="184"/>
      <c r="AB9" s="184"/>
      <c r="AC9" s="184"/>
      <c r="AD9" s="184"/>
      <c r="AE9" s="184"/>
      <c r="AF9" s="184"/>
      <c r="AG9" s="184"/>
      <c r="AH9" s="184"/>
      <c r="AI9" s="184"/>
    </row>
    <row r="10" spans="1:35" ht="18.75" customHeight="1">
      <c r="A10" s="3"/>
      <c r="B10" s="107"/>
      <c r="C10" s="107"/>
      <c r="D10" s="182"/>
      <c r="E10" s="182"/>
      <c r="F10" s="182"/>
      <c r="G10" s="182"/>
      <c r="H10" s="182"/>
      <c r="I10" s="182"/>
      <c r="J10" s="182"/>
      <c r="K10" s="182"/>
      <c r="L10" s="182"/>
      <c r="M10" s="3"/>
      <c r="N10" s="3"/>
      <c r="O10" s="164"/>
      <c r="P10" s="163"/>
      <c r="S10" s="184"/>
      <c r="T10" s="184"/>
      <c r="U10" s="184"/>
      <c r="V10" s="184"/>
      <c r="W10" s="184"/>
      <c r="X10" s="184"/>
      <c r="Y10" s="184"/>
      <c r="Z10" s="184"/>
      <c r="AA10" s="184"/>
      <c r="AB10" s="184"/>
      <c r="AC10" s="184"/>
      <c r="AD10" s="184"/>
      <c r="AE10" s="184"/>
      <c r="AF10" s="184"/>
      <c r="AG10" s="184"/>
      <c r="AH10" s="184"/>
      <c r="AI10" s="184"/>
    </row>
    <row r="11" spans="1:35" ht="18.75" customHeight="1">
      <c r="A11" s="3"/>
      <c r="B11" s="107"/>
      <c r="C11" s="107"/>
      <c r="D11" s="182"/>
      <c r="E11" s="182"/>
      <c r="F11" s="182"/>
      <c r="G11" s="182"/>
      <c r="H11" s="182"/>
      <c r="I11" s="182"/>
      <c r="J11" s="182"/>
      <c r="K11" s="182"/>
      <c r="L11" s="182"/>
      <c r="M11" s="3"/>
      <c r="N11" s="3"/>
      <c r="O11" s="164"/>
      <c r="P11" s="163"/>
      <c r="S11" s="184"/>
      <c r="T11" s="184"/>
      <c r="U11" s="184"/>
      <c r="V11" s="184"/>
      <c r="W11" s="184"/>
      <c r="X11" s="184"/>
      <c r="Y11" s="184"/>
      <c r="Z11" s="184"/>
      <c r="AA11" s="184"/>
      <c r="AB11" s="184"/>
      <c r="AC11" s="184"/>
      <c r="AD11" s="184"/>
      <c r="AE11" s="184"/>
      <c r="AF11" s="184"/>
      <c r="AG11" s="184"/>
      <c r="AH11" s="184"/>
      <c r="AI11" s="184"/>
    </row>
    <row r="12" spans="1:35" ht="18.75" customHeight="1">
      <c r="A12" s="3"/>
      <c r="B12" s="107"/>
      <c r="C12" s="107"/>
      <c r="D12" s="182"/>
      <c r="E12" s="182"/>
      <c r="F12" s="182"/>
      <c r="G12" s="182"/>
      <c r="H12" s="182"/>
      <c r="I12" s="182"/>
      <c r="J12" s="182"/>
      <c r="K12" s="182"/>
      <c r="L12" s="182"/>
      <c r="M12" s="3"/>
      <c r="N12" s="3"/>
      <c r="O12" s="164"/>
      <c r="P12" s="163"/>
      <c r="S12" s="184"/>
      <c r="T12" s="184"/>
      <c r="U12" s="184"/>
      <c r="V12" s="184"/>
      <c r="W12" s="184"/>
      <c r="X12" s="184"/>
      <c r="Y12" s="184"/>
      <c r="Z12" s="184"/>
      <c r="AA12" s="184"/>
      <c r="AB12" s="184"/>
      <c r="AC12" s="184"/>
      <c r="AD12" s="184"/>
      <c r="AE12" s="184"/>
      <c r="AF12" s="184"/>
      <c r="AG12" s="184"/>
      <c r="AH12" s="184"/>
      <c r="AI12" s="184"/>
    </row>
    <row r="13" spans="1:35" ht="18.75" customHeight="1">
      <c r="A13" s="3"/>
      <c r="B13" s="107"/>
      <c r="C13" s="107"/>
      <c r="D13" s="182"/>
      <c r="E13" s="182"/>
      <c r="F13" s="182"/>
      <c r="G13" s="182"/>
      <c r="H13" s="182"/>
      <c r="I13" s="182"/>
      <c r="J13" s="182"/>
      <c r="K13" s="182"/>
      <c r="L13" s="182"/>
      <c r="M13" s="3"/>
      <c r="N13" s="3"/>
      <c r="O13" s="164"/>
      <c r="P13" s="163"/>
      <c r="S13" s="184"/>
      <c r="T13" s="184"/>
      <c r="U13" s="184"/>
      <c r="V13" s="184"/>
      <c r="W13" s="184"/>
      <c r="X13" s="184"/>
      <c r="Y13" s="184"/>
      <c r="Z13" s="184"/>
      <c r="AA13" s="184"/>
      <c r="AB13" s="184"/>
      <c r="AC13" s="184"/>
      <c r="AD13" s="184"/>
      <c r="AE13" s="184"/>
      <c r="AF13" s="184"/>
      <c r="AG13" s="184"/>
      <c r="AH13" s="184"/>
      <c r="AI13" s="184"/>
    </row>
    <row r="14" spans="1:35" ht="18.75" customHeight="1">
      <c r="A14" s="3"/>
      <c r="B14" s="107"/>
      <c r="C14" s="107"/>
      <c r="D14" s="182"/>
      <c r="E14" s="182"/>
      <c r="F14" s="182"/>
      <c r="G14" s="182"/>
      <c r="H14" s="182"/>
      <c r="I14" s="182"/>
      <c r="J14" s="182"/>
      <c r="K14" s="182"/>
      <c r="L14" s="182"/>
      <c r="M14" s="3"/>
      <c r="N14" s="3"/>
      <c r="O14" s="164"/>
      <c r="P14" s="163"/>
      <c r="S14" s="184"/>
      <c r="T14" s="184"/>
      <c r="U14" s="184"/>
      <c r="V14" s="184"/>
      <c r="W14" s="184"/>
      <c r="X14" s="184"/>
      <c r="Y14" s="184"/>
      <c r="Z14" s="184"/>
      <c r="AA14" s="184"/>
      <c r="AB14" s="184"/>
      <c r="AC14" s="184"/>
      <c r="AD14" s="184"/>
      <c r="AE14" s="184"/>
      <c r="AF14" s="184"/>
      <c r="AG14" s="184"/>
      <c r="AH14" s="184"/>
      <c r="AI14" s="184"/>
    </row>
    <row r="15" spans="1:35" ht="18.75" customHeight="1">
      <c r="A15" s="3"/>
      <c r="B15" s="107"/>
      <c r="C15" s="107"/>
      <c r="D15" s="182"/>
      <c r="E15" s="182"/>
      <c r="F15" s="182"/>
      <c r="G15" s="182"/>
      <c r="H15" s="182"/>
      <c r="I15" s="182"/>
      <c r="J15" s="182"/>
      <c r="K15" s="182"/>
      <c r="L15" s="182"/>
      <c r="M15" s="3"/>
      <c r="N15" s="3"/>
      <c r="O15" s="164"/>
      <c r="P15" s="163"/>
      <c r="S15" s="184"/>
      <c r="T15" s="184"/>
      <c r="U15" s="184"/>
      <c r="V15" s="184"/>
      <c r="W15" s="184"/>
      <c r="X15" s="184"/>
      <c r="Y15" s="184"/>
      <c r="Z15" s="184"/>
      <c r="AA15" s="184"/>
      <c r="AB15" s="184"/>
      <c r="AC15" s="184"/>
      <c r="AD15" s="184"/>
      <c r="AE15" s="184"/>
      <c r="AF15" s="184"/>
      <c r="AG15" s="184"/>
      <c r="AH15" s="184"/>
      <c r="AI15" s="184"/>
    </row>
    <row r="16" spans="1:35" ht="18.75" customHeight="1">
      <c r="A16" s="3"/>
      <c r="B16" s="107"/>
      <c r="C16" s="107"/>
      <c r="D16" s="182"/>
      <c r="E16" s="182"/>
      <c r="F16" s="182"/>
      <c r="G16" s="182"/>
      <c r="H16" s="182"/>
      <c r="I16" s="182"/>
      <c r="J16" s="182"/>
      <c r="K16" s="182"/>
      <c r="L16" s="182"/>
      <c r="M16" s="3"/>
      <c r="N16" s="3"/>
      <c r="O16" s="164"/>
      <c r="P16" s="163"/>
      <c r="S16" s="184"/>
      <c r="T16" s="184"/>
      <c r="U16" s="184"/>
      <c r="V16" s="184"/>
      <c r="W16" s="184"/>
      <c r="X16" s="184"/>
      <c r="Y16" s="184"/>
      <c r="Z16" s="184"/>
      <c r="AA16" s="184"/>
      <c r="AB16" s="184"/>
      <c r="AC16" s="184"/>
      <c r="AD16" s="184"/>
      <c r="AE16" s="184"/>
      <c r="AF16" s="184"/>
      <c r="AG16" s="184"/>
      <c r="AH16" s="184"/>
      <c r="AI16" s="184"/>
    </row>
    <row r="17" spans="1:35" ht="17.25" customHeight="1">
      <c r="A17" s="3"/>
      <c r="B17" s="107"/>
      <c r="C17" s="107"/>
      <c r="D17" s="182"/>
      <c r="E17" s="182"/>
      <c r="F17" s="182"/>
      <c r="G17" s="182"/>
      <c r="H17" s="182"/>
      <c r="I17" s="182"/>
      <c r="J17" s="182"/>
      <c r="K17" s="182"/>
      <c r="L17" s="182"/>
      <c r="M17" s="3"/>
      <c r="N17" s="3"/>
      <c r="O17" s="164"/>
      <c r="P17" s="163"/>
      <c r="S17" s="184"/>
      <c r="T17" s="184"/>
      <c r="U17" s="184"/>
      <c r="V17" s="184"/>
      <c r="W17" s="184"/>
      <c r="X17" s="184"/>
      <c r="Y17" s="184"/>
      <c r="Z17" s="184"/>
      <c r="AA17" s="184"/>
      <c r="AB17" s="184"/>
      <c r="AC17" s="184"/>
      <c r="AD17" s="184"/>
      <c r="AE17" s="184"/>
      <c r="AF17" s="184"/>
      <c r="AG17" s="184"/>
      <c r="AH17" s="184"/>
      <c r="AI17" s="184"/>
    </row>
    <row r="18" spans="1:35" ht="6" customHeight="1">
      <c r="A18" s="3"/>
      <c r="B18" s="111"/>
      <c r="C18" s="107"/>
      <c r="D18" s="108"/>
      <c r="E18" s="746"/>
      <c r="F18" s="746"/>
      <c r="G18" s="746"/>
      <c r="H18" s="746"/>
      <c r="I18" s="746"/>
      <c r="J18" s="746"/>
      <c r="K18" s="746"/>
      <c r="L18" s="3"/>
      <c r="M18" s="3"/>
      <c r="N18" s="3"/>
      <c r="O18" s="3"/>
      <c r="P18" s="3"/>
      <c r="S18" s="184"/>
      <c r="T18" s="184"/>
      <c r="U18" s="184"/>
      <c r="V18" s="184"/>
      <c r="W18" s="184"/>
      <c r="X18" s="184"/>
      <c r="Y18" s="184"/>
      <c r="Z18" s="184"/>
      <c r="AA18" s="184"/>
      <c r="AB18" s="184"/>
      <c r="AC18" s="184"/>
      <c r="AD18" s="184"/>
      <c r="AE18" s="184"/>
      <c r="AF18" s="184"/>
      <c r="AG18" s="184"/>
      <c r="AH18" s="184"/>
      <c r="AI18" s="184"/>
    </row>
    <row r="19" spans="1:35" ht="24" customHeight="1">
      <c r="A19" s="3"/>
      <c r="B19" s="727" t="s">
        <v>110</v>
      </c>
      <c r="C19" s="727"/>
      <c r="D19" s="727"/>
      <c r="E19" s="117" t="s">
        <v>107</v>
      </c>
      <c r="F19" s="117" t="s">
        <v>111</v>
      </c>
      <c r="G19" s="732" t="s">
        <v>332</v>
      </c>
      <c r="H19" s="733"/>
      <c r="I19" s="747" t="s">
        <v>333</v>
      </c>
      <c r="J19" s="748"/>
      <c r="K19" s="258" t="s">
        <v>334</v>
      </c>
      <c r="L19" s="742" t="s">
        <v>114</v>
      </c>
      <c r="M19" s="743"/>
      <c r="N19" s="743"/>
      <c r="O19" s="743"/>
      <c r="P19" s="743"/>
      <c r="Q19" s="744"/>
      <c r="S19" s="61" t="s">
        <v>112</v>
      </c>
      <c r="T19" s="62">
        <v>0</v>
      </c>
      <c r="U19" s="63">
        <v>0.3</v>
      </c>
      <c r="V19" s="63">
        <v>0.6</v>
      </c>
      <c r="W19" s="63">
        <v>0.9</v>
      </c>
      <c r="X19" s="63">
        <v>1</v>
      </c>
      <c r="Y19" s="67"/>
      <c r="Z19" s="67"/>
      <c r="AA19" s="61" t="s">
        <v>112</v>
      </c>
      <c r="AB19" s="62">
        <v>0</v>
      </c>
      <c r="AC19" s="63">
        <v>0.2</v>
      </c>
      <c r="AD19" s="63">
        <v>0.4</v>
      </c>
      <c r="AE19" s="63">
        <v>0.6</v>
      </c>
      <c r="AF19" s="63">
        <v>0.8</v>
      </c>
      <c r="AG19" s="67"/>
      <c r="AH19" s="67"/>
      <c r="AI19" s="67"/>
    </row>
    <row r="20" spans="1:35" ht="236.25" customHeight="1">
      <c r="A20" s="3"/>
      <c r="B20" s="728" t="s">
        <v>20</v>
      </c>
      <c r="C20" s="728"/>
      <c r="D20" s="728"/>
      <c r="E20" s="361">
        <f>'Introducerea datelor'!M117</f>
        <v>1105</v>
      </c>
      <c r="F20" s="361">
        <f>'Introducerea datelor'!M118</f>
        <v>991</v>
      </c>
      <c r="G20" s="745">
        <v>0.89200000000000002</v>
      </c>
      <c r="H20" s="745"/>
      <c r="I20" s="745"/>
      <c r="J20" s="745"/>
      <c r="K20" s="745"/>
      <c r="L20" s="739" t="s">
        <v>514</v>
      </c>
      <c r="M20" s="740"/>
      <c r="N20" s="740"/>
      <c r="O20" s="740"/>
      <c r="P20" s="740"/>
      <c r="Q20" s="740"/>
      <c r="S20" s="61" t="s">
        <v>113</v>
      </c>
      <c r="T20" s="64">
        <v>0.3</v>
      </c>
      <c r="U20" s="63">
        <v>0.6</v>
      </c>
      <c r="V20" s="63">
        <v>0.9</v>
      </c>
      <c r="W20" s="63">
        <v>1</v>
      </c>
      <c r="X20" s="63">
        <v>2</v>
      </c>
      <c r="Y20" s="67"/>
      <c r="Z20" s="67"/>
      <c r="AA20" s="61" t="s">
        <v>113</v>
      </c>
      <c r="AB20" s="64">
        <v>0.2</v>
      </c>
      <c r="AC20" s="63">
        <v>0.4</v>
      </c>
      <c r="AD20" s="63">
        <v>0.6</v>
      </c>
      <c r="AE20" s="63">
        <v>0.8</v>
      </c>
      <c r="AF20" s="63">
        <v>1</v>
      </c>
      <c r="AG20" s="67"/>
      <c r="AH20" s="67"/>
      <c r="AI20" s="67"/>
    </row>
    <row r="21" spans="1:35" ht="97.5" customHeight="1">
      <c r="A21" s="3"/>
      <c r="B21" s="728" t="s">
        <v>24</v>
      </c>
      <c r="C21" s="728"/>
      <c r="D21" s="728"/>
      <c r="E21" s="360">
        <f>'Introducerea datelor'!M119</f>
        <v>280</v>
      </c>
      <c r="F21" s="360">
        <f>'Introducerea datelor'!M120</f>
        <v>283</v>
      </c>
      <c r="G21" s="741">
        <f t="shared" ref="G21:G22" si="0">+IF(ISERROR(F21/E21),0,F21/E21)</f>
        <v>1.0107142857142857</v>
      </c>
      <c r="H21" s="741"/>
      <c r="I21" s="741"/>
      <c r="J21" s="741"/>
      <c r="K21" s="741"/>
      <c r="L21" s="740" t="s">
        <v>506</v>
      </c>
      <c r="M21" s="740"/>
      <c r="N21" s="740"/>
      <c r="O21" s="740"/>
      <c r="P21" s="740"/>
      <c r="Q21" s="740"/>
      <c r="S21" s="65"/>
      <c r="T21" s="66" t="str">
        <f>"de "&amp;T19&amp;" a "&amp;T20</f>
        <v>de 0 a 0.3</v>
      </c>
      <c r="U21" s="66" t="str">
        <f>"de "&amp;U19&amp;" a "&amp;U20</f>
        <v>de 0.3 a 0.6</v>
      </c>
      <c r="V21" s="66" t="str">
        <f>"de "&amp;V19&amp;" a "&amp;V20</f>
        <v>de 0.6 a 0.9</v>
      </c>
      <c r="W21" s="66" t="str">
        <f>"de "&amp;W19&amp;" a "&amp;W20</f>
        <v>de 0.9 a 1</v>
      </c>
      <c r="X21" s="66" t="str">
        <f>"de "&amp;X19&amp;" a "&amp;X20</f>
        <v>de 1 a 2</v>
      </c>
      <c r="Y21" s="67"/>
      <c r="Z21" s="67" t="s">
        <v>282</v>
      </c>
      <c r="AA21" s="65" t="s">
        <v>281</v>
      </c>
      <c r="AB21" s="66" t="str">
        <f>"de "&amp;AB19&amp;" a "&amp;AB20</f>
        <v>de 0 a 0.2</v>
      </c>
      <c r="AC21" s="66" t="str">
        <f>"de "&amp;AC19&amp;" a "&amp;AC20</f>
        <v>de 0.2 a 0.4</v>
      </c>
      <c r="AD21" s="66" t="str">
        <f>"de "&amp;AD19&amp;" a "&amp;AD20</f>
        <v>de 0.4 a 0.6</v>
      </c>
      <c r="AE21" s="66" t="str">
        <f>"de "&amp;AE19&amp;" a "&amp;AE20</f>
        <v>de 0.6 a 0.8</v>
      </c>
      <c r="AF21" s="66" t="str">
        <f>"de "&amp;AF19&amp;" a "&amp;AF20</f>
        <v>de 0.8 a 1</v>
      </c>
      <c r="AG21" s="67"/>
      <c r="AH21" s="67"/>
      <c r="AI21" s="67"/>
    </row>
    <row r="22" spans="1:35" ht="99" customHeight="1">
      <c r="A22" s="3"/>
      <c r="B22" s="728" t="s">
        <v>21</v>
      </c>
      <c r="C22" s="728"/>
      <c r="D22" s="728"/>
      <c r="E22" s="361">
        <f>'Introducerea datelor'!M121</f>
        <v>80</v>
      </c>
      <c r="F22" s="361">
        <v>85</v>
      </c>
      <c r="G22" s="741">
        <f t="shared" si="0"/>
        <v>1.0625</v>
      </c>
      <c r="H22" s="741"/>
      <c r="I22" s="741"/>
      <c r="J22" s="741"/>
      <c r="K22" s="741"/>
      <c r="L22" s="740" t="s">
        <v>507</v>
      </c>
      <c r="M22" s="740"/>
      <c r="N22" s="740"/>
      <c r="O22" s="740"/>
      <c r="P22" s="740"/>
      <c r="Q22" s="740"/>
      <c r="S22" s="65"/>
      <c r="T22" s="63" t="e">
        <f t="shared" ref="T22:W29" si="1">IF($K20&gt;T$19,IF($K20&lt;=T$20,$K20,NA()),NA())</f>
        <v>#N/A</v>
      </c>
      <c r="U22" s="63" t="e">
        <f t="shared" si="1"/>
        <v>#N/A</v>
      </c>
      <c r="V22" s="63" t="e">
        <f t="shared" si="1"/>
        <v>#N/A</v>
      </c>
      <c r="W22" s="63" t="e">
        <f t="shared" si="1"/>
        <v>#N/A</v>
      </c>
      <c r="X22" s="63" t="e">
        <f>IF($K20&gt;X$19,IF($K20&lt;=X$20,1,NA()),NA())</f>
        <v>#N/A</v>
      </c>
      <c r="Y22" s="67"/>
      <c r="Z22" s="160" t="e">
        <f>+'Detalii despre Grant'!#REF!</f>
        <v>#REF!</v>
      </c>
      <c r="AA22" s="63" t="e">
        <f>+IF(Z22="A1",1,IF(Z22="A2",0.8,IF(Z22="B1",0.6,IF(Z22="B2",0.4,0.2))))</f>
        <v>#REF!</v>
      </c>
      <c r="AB22" s="63" t="e">
        <f>IF($AA22&gt;AB$19,IF($AA22&lt;=AB$20,$AA22,NA()),NA())</f>
        <v>#REF!</v>
      </c>
      <c r="AC22" s="63" t="e">
        <f t="shared" ref="AC22:AF24" si="2">IF($AA22&gt;AC$19,IF($AA22&lt;=AC$20,$AA22,NA()),NA())</f>
        <v>#REF!</v>
      </c>
      <c r="AD22" s="63" t="e">
        <f t="shared" si="2"/>
        <v>#REF!</v>
      </c>
      <c r="AE22" s="63" t="e">
        <f t="shared" si="2"/>
        <v>#REF!</v>
      </c>
      <c r="AF22" s="63" t="e">
        <f t="shared" si="2"/>
        <v>#REF!</v>
      </c>
      <c r="AG22" s="67"/>
      <c r="AH22" s="67"/>
      <c r="AI22" s="67"/>
    </row>
    <row r="23" spans="1:35" ht="60" customHeight="1">
      <c r="A23" s="3"/>
      <c r="B23" s="728" t="s">
        <v>29</v>
      </c>
      <c r="C23" s="728"/>
      <c r="D23" s="728"/>
      <c r="E23" s="431" t="s">
        <v>402</v>
      </c>
      <c r="F23" s="431" t="s">
        <v>402</v>
      </c>
      <c r="G23" s="741" t="s">
        <v>402</v>
      </c>
      <c r="H23" s="741"/>
      <c r="I23" s="741"/>
      <c r="J23" s="741"/>
      <c r="K23" s="741"/>
      <c r="L23" s="740" t="s">
        <v>402</v>
      </c>
      <c r="M23" s="740"/>
      <c r="N23" s="740"/>
      <c r="O23" s="740"/>
      <c r="P23" s="740"/>
      <c r="Q23" s="740"/>
      <c r="S23" s="65"/>
      <c r="T23" s="63" t="e">
        <f t="shared" si="1"/>
        <v>#N/A</v>
      </c>
      <c r="U23" s="63" t="e">
        <f t="shared" si="1"/>
        <v>#N/A</v>
      </c>
      <c r="V23" s="63" t="e">
        <f t="shared" si="1"/>
        <v>#N/A</v>
      </c>
      <c r="W23" s="63" t="e">
        <f t="shared" si="1"/>
        <v>#N/A</v>
      </c>
      <c r="X23" s="63" t="e">
        <f>IF($K21&gt;X$19,IF($K21&lt;=X$20,1,1),NA())</f>
        <v>#N/A</v>
      </c>
      <c r="Y23" s="67"/>
      <c r="Z23" s="160" t="e">
        <f>+'Detalii despre Grant'!#REF!</f>
        <v>#REF!</v>
      </c>
      <c r="AA23" s="63" t="e">
        <f>+IF(Z23="A1",1,IF(Z23="A2",0.8,IF(Z23="B1",0.6,IF(Z23="B2",0.4,0.2))))</f>
        <v>#REF!</v>
      </c>
      <c r="AB23" s="63" t="e">
        <f>IF($AA23&gt;AB$19,IF($AA23&lt;=AB$20,$AA23,NA()),NA())</f>
        <v>#REF!</v>
      </c>
      <c r="AC23" s="63" t="e">
        <f t="shared" si="2"/>
        <v>#REF!</v>
      </c>
      <c r="AD23" s="63" t="e">
        <f t="shared" si="2"/>
        <v>#REF!</v>
      </c>
      <c r="AE23" s="63" t="e">
        <f t="shared" si="2"/>
        <v>#REF!</v>
      </c>
      <c r="AF23" s="63" t="e">
        <f t="shared" si="2"/>
        <v>#REF!</v>
      </c>
      <c r="AG23" s="67"/>
      <c r="AH23" s="67"/>
      <c r="AI23" s="67"/>
    </row>
    <row r="24" spans="1:35" ht="123.75" customHeight="1">
      <c r="A24" s="3"/>
      <c r="B24" s="728" t="s">
        <v>27</v>
      </c>
      <c r="C24" s="728"/>
      <c r="D24" s="728"/>
      <c r="E24" s="361">
        <f>'Introducerea datelor'!M125</f>
        <v>331</v>
      </c>
      <c r="F24" s="361">
        <f>'Introducerea datelor'!M126</f>
        <v>457</v>
      </c>
      <c r="G24" s="741">
        <f t="shared" ref="G24:G28" si="3">+IF(ISERROR(F24/E24),0,F24/E24)</f>
        <v>1.3806646525679758</v>
      </c>
      <c r="H24" s="741"/>
      <c r="I24" s="741"/>
      <c r="J24" s="741"/>
      <c r="K24" s="741"/>
      <c r="L24" s="740" t="s">
        <v>508</v>
      </c>
      <c r="M24" s="740"/>
      <c r="N24" s="740"/>
      <c r="O24" s="740"/>
      <c r="P24" s="740"/>
      <c r="Q24" s="740"/>
      <c r="S24" s="65"/>
      <c r="T24" s="63" t="e">
        <f t="shared" si="1"/>
        <v>#N/A</v>
      </c>
      <c r="U24" s="63" t="e">
        <f t="shared" si="1"/>
        <v>#N/A</v>
      </c>
      <c r="V24" s="63" t="e">
        <f t="shared" si="1"/>
        <v>#N/A</v>
      </c>
      <c r="W24" s="63" t="e">
        <f t="shared" si="1"/>
        <v>#N/A</v>
      </c>
      <c r="X24" s="63" t="e">
        <f t="shared" ref="X24:X29" si="4">IF($K22&gt;X$19,IF($K22&lt;=X$20,1,NA()),NA())</f>
        <v>#N/A</v>
      </c>
      <c r="Y24" s="67"/>
      <c r="Z24" s="160" t="e">
        <f>+'Detalii despre Grant'!#REF!</f>
        <v>#REF!</v>
      </c>
      <c r="AA24" s="63" t="e">
        <f>+IF(Z24="A1",1,IF(Z24="A2",0.8,IF(Z24="B1",0.6,IF(Z24="B2",0.4,0.2))))</f>
        <v>#REF!</v>
      </c>
      <c r="AB24" s="63" t="e">
        <f>IF($AA24&gt;AB$19,IF($AA24&lt;=AB$20,$AA24,NA()),NA())</f>
        <v>#REF!</v>
      </c>
      <c r="AC24" s="63" t="e">
        <f t="shared" si="2"/>
        <v>#REF!</v>
      </c>
      <c r="AD24" s="63" t="e">
        <f t="shared" si="2"/>
        <v>#REF!</v>
      </c>
      <c r="AE24" s="63" t="e">
        <f t="shared" si="2"/>
        <v>#REF!</v>
      </c>
      <c r="AF24" s="63" t="e">
        <f t="shared" si="2"/>
        <v>#REF!</v>
      </c>
      <c r="AG24" s="67"/>
      <c r="AH24" s="67"/>
      <c r="AI24" s="67"/>
    </row>
    <row r="25" spans="1:35" ht="57" customHeight="1">
      <c r="A25" s="3"/>
      <c r="B25" s="749" t="s">
        <v>22</v>
      </c>
      <c r="C25" s="728"/>
      <c r="D25" s="728"/>
      <c r="E25" s="361">
        <f>'Introducerea datelor'!I127</f>
        <v>200</v>
      </c>
      <c r="F25" s="361">
        <v>199</v>
      </c>
      <c r="G25" s="741">
        <f t="shared" si="3"/>
        <v>0.995</v>
      </c>
      <c r="H25" s="741"/>
      <c r="I25" s="741"/>
      <c r="J25" s="741"/>
      <c r="K25" s="741"/>
      <c r="L25" s="740" t="s">
        <v>512</v>
      </c>
      <c r="M25" s="740"/>
      <c r="N25" s="740"/>
      <c r="O25" s="740"/>
      <c r="P25" s="740"/>
      <c r="Q25" s="740"/>
      <c r="S25" s="65"/>
      <c r="T25" s="63" t="e">
        <f>IF($K24&gt;T$19,IF($K24&lt;=T$20,$K24,NA()),NA())</f>
        <v>#N/A</v>
      </c>
      <c r="U25" s="63" t="e">
        <f>IF($K24&gt;U$19,IF($K24&lt;=U$20,$K24,NA()),NA())</f>
        <v>#N/A</v>
      </c>
      <c r="V25" s="63" t="e">
        <f>IF($K24&gt;V$19,IF($K24&lt;=V$20,$K24,NA()),NA())</f>
        <v>#N/A</v>
      </c>
      <c r="W25" s="63" t="e">
        <f>IF($K24&gt;W$19,IF($K24&lt;=W$20,$K24,NA()),NA())</f>
        <v>#N/A</v>
      </c>
      <c r="X25" s="63" t="e">
        <f>IF($K24&gt;X$19,IF($K24&lt;=X$20,1,NA()),NA())</f>
        <v>#N/A</v>
      </c>
      <c r="Y25" s="67"/>
      <c r="Z25" s="67"/>
      <c r="AA25" s="67"/>
      <c r="AB25" s="67"/>
      <c r="AC25" s="67"/>
      <c r="AD25" s="67"/>
      <c r="AE25" s="67"/>
      <c r="AF25" s="67"/>
      <c r="AG25" s="67"/>
      <c r="AH25" s="67"/>
      <c r="AI25" s="67"/>
    </row>
    <row r="26" spans="1:35" ht="104.25" customHeight="1">
      <c r="A26" s="3"/>
      <c r="B26" s="728" t="s">
        <v>23</v>
      </c>
      <c r="C26" s="728"/>
      <c r="D26" s="728"/>
      <c r="E26" s="361">
        <f>'Introducerea datelor'!M129</f>
        <v>135</v>
      </c>
      <c r="F26" s="361">
        <v>150</v>
      </c>
      <c r="G26" s="741">
        <f t="shared" si="3"/>
        <v>1.1111111111111112</v>
      </c>
      <c r="H26" s="741"/>
      <c r="I26" s="741"/>
      <c r="J26" s="741"/>
      <c r="K26" s="741"/>
      <c r="L26" s="751" t="s">
        <v>509</v>
      </c>
      <c r="M26" s="740"/>
      <c r="N26" s="740"/>
      <c r="O26" s="740"/>
      <c r="P26" s="740"/>
      <c r="Q26" s="740"/>
      <c r="S26" s="65"/>
      <c r="T26" s="63" t="e">
        <f>IF(#REF!&gt;T$19,IF(#REF!&lt;=T$20,#REF!,NA()),NA())</f>
        <v>#REF!</v>
      </c>
      <c r="U26" s="63" t="e">
        <f>IF(#REF!&gt;U$19,IF(#REF!&lt;=U$20,#REF!,NA()),NA())</f>
        <v>#REF!</v>
      </c>
      <c r="V26" s="63" t="e">
        <f>IF(#REF!&gt;V$19,IF(#REF!&lt;=V$20,#REF!,NA()),NA())</f>
        <v>#REF!</v>
      </c>
      <c r="W26" s="63" t="e">
        <f>IF(#REF!&gt;W$19,IF(#REF!&lt;=W$20,#REF!,NA()),NA())</f>
        <v>#REF!</v>
      </c>
      <c r="X26" s="63" t="e">
        <f>IF(#REF!&gt;X$19,IF(#REF!&lt;=X$20,1,NA()),NA())</f>
        <v>#REF!</v>
      </c>
      <c r="Y26" s="67"/>
      <c r="Z26" s="67"/>
      <c r="AA26" s="67"/>
      <c r="AB26" s="67"/>
      <c r="AC26" s="67"/>
      <c r="AD26" s="67"/>
      <c r="AE26" s="67"/>
      <c r="AF26" s="67"/>
      <c r="AG26" s="67"/>
      <c r="AH26" s="67"/>
      <c r="AI26" s="67"/>
    </row>
    <row r="27" spans="1:35" ht="68.25" customHeight="1">
      <c r="A27" s="3"/>
      <c r="B27" s="752" t="str">
        <f>+'Introducerea datelor'!B131</f>
        <v>Number of TB service staff trained in DR-TB management (Numarul de personal din serviciu TB  instruiti in managementul TB-MDR)</v>
      </c>
      <c r="C27" s="728"/>
      <c r="D27" s="728"/>
      <c r="E27" s="361">
        <v>25</v>
      </c>
      <c r="F27" s="361">
        <v>24</v>
      </c>
      <c r="G27" s="741">
        <f t="shared" si="3"/>
        <v>0.96</v>
      </c>
      <c r="H27" s="741"/>
      <c r="I27" s="741"/>
      <c r="J27" s="741"/>
      <c r="K27" s="741"/>
      <c r="L27" s="740" t="s">
        <v>510</v>
      </c>
      <c r="M27" s="740"/>
      <c r="N27" s="740"/>
      <c r="O27" s="740"/>
      <c r="P27" s="740"/>
      <c r="Q27" s="740"/>
      <c r="S27" s="65"/>
      <c r="T27" s="63" t="e">
        <f t="shared" si="1"/>
        <v>#N/A</v>
      </c>
      <c r="U27" s="63" t="e">
        <f t="shared" si="1"/>
        <v>#N/A</v>
      </c>
      <c r="V27" s="63" t="e">
        <f t="shared" si="1"/>
        <v>#N/A</v>
      </c>
      <c r="W27" s="63" t="e">
        <f t="shared" si="1"/>
        <v>#N/A</v>
      </c>
      <c r="X27" s="63" t="e">
        <f t="shared" si="4"/>
        <v>#N/A</v>
      </c>
      <c r="Y27" s="67"/>
      <c r="Z27" s="67"/>
      <c r="AA27" s="67"/>
      <c r="AB27" s="67"/>
      <c r="AC27" s="67"/>
      <c r="AD27" s="67"/>
      <c r="AE27" s="67"/>
      <c r="AF27" s="67"/>
      <c r="AG27" s="67"/>
      <c r="AH27" s="67"/>
      <c r="AI27" s="67"/>
    </row>
    <row r="28" spans="1:35" ht="73.5" customHeight="1">
      <c r="A28" s="3"/>
      <c r="B28" s="752" t="str">
        <f>+'Introducerea datelor'!B133</f>
        <v xml:space="preserve">Percentage of released prison inmates on TB treatment supported through the TB treatment follow-up program (Procentul de deţinuţi înrolați  în tratamentul TB și susţinuți prin programul tratamentului TB de follow-up)  </v>
      </c>
      <c r="C28" s="728"/>
      <c r="D28" s="728"/>
      <c r="E28" s="431">
        <v>0.95</v>
      </c>
      <c r="F28" s="431">
        <v>1</v>
      </c>
      <c r="G28" s="741">
        <f t="shared" si="3"/>
        <v>1.0526315789473684</v>
      </c>
      <c r="H28" s="741"/>
      <c r="I28" s="741"/>
      <c r="J28" s="741"/>
      <c r="K28" s="741"/>
      <c r="L28" s="750" t="s">
        <v>513</v>
      </c>
      <c r="M28" s="750"/>
      <c r="N28" s="750"/>
      <c r="O28" s="750"/>
      <c r="P28" s="750"/>
      <c r="Q28" s="750"/>
      <c r="S28" s="65"/>
      <c r="T28" s="63" t="e">
        <f t="shared" si="1"/>
        <v>#N/A</v>
      </c>
      <c r="U28" s="63" t="e">
        <f t="shared" si="1"/>
        <v>#N/A</v>
      </c>
      <c r="V28" s="63" t="e">
        <f t="shared" si="1"/>
        <v>#N/A</v>
      </c>
      <c r="W28" s="63" t="e">
        <f t="shared" si="1"/>
        <v>#N/A</v>
      </c>
      <c r="X28" s="63" t="e">
        <f t="shared" si="4"/>
        <v>#N/A</v>
      </c>
      <c r="Y28" s="67"/>
      <c r="Z28" s="67"/>
      <c r="AA28" s="67"/>
      <c r="AB28" s="67"/>
      <c r="AC28" s="67"/>
      <c r="AD28" s="67"/>
      <c r="AE28" s="67"/>
      <c r="AF28" s="67"/>
      <c r="AG28" s="67"/>
      <c r="AH28" s="67"/>
      <c r="AI28" s="67"/>
    </row>
    <row r="29" spans="1:35" ht="75.75" customHeight="1">
      <c r="A29" s="3"/>
      <c r="B29" s="728" t="s">
        <v>28</v>
      </c>
      <c r="C29" s="728"/>
      <c r="D29" s="728"/>
      <c r="E29" s="361">
        <v>50</v>
      </c>
      <c r="F29" s="361">
        <v>52</v>
      </c>
      <c r="G29" s="741">
        <v>1.04</v>
      </c>
      <c r="H29" s="741"/>
      <c r="I29" s="741"/>
      <c r="J29" s="741"/>
      <c r="K29" s="741"/>
      <c r="L29" s="750" t="s">
        <v>511</v>
      </c>
      <c r="M29" s="750"/>
      <c r="N29" s="750"/>
      <c r="O29" s="750"/>
      <c r="P29" s="750"/>
      <c r="Q29" s="750"/>
      <c r="S29" s="65"/>
      <c r="T29" s="63" t="e">
        <f t="shared" si="1"/>
        <v>#N/A</v>
      </c>
      <c r="U29" s="63" t="e">
        <f t="shared" si="1"/>
        <v>#N/A</v>
      </c>
      <c r="V29" s="63" t="e">
        <f t="shared" si="1"/>
        <v>#N/A</v>
      </c>
      <c r="W29" s="63" t="e">
        <f t="shared" si="1"/>
        <v>#N/A</v>
      </c>
      <c r="X29" s="63" t="e">
        <f t="shared" si="4"/>
        <v>#N/A</v>
      </c>
      <c r="Y29" s="67"/>
      <c r="Z29" s="67"/>
      <c r="AA29" s="67"/>
      <c r="AB29" s="67"/>
      <c r="AC29" s="67"/>
      <c r="AD29" s="67"/>
      <c r="AE29" s="67"/>
      <c r="AF29" s="67"/>
      <c r="AG29" s="67"/>
      <c r="AH29" s="67"/>
      <c r="AI29" s="67"/>
    </row>
  </sheetData>
  <mergeCells count="49">
    <mergeCell ref="B25:D25"/>
    <mergeCell ref="G23:K23"/>
    <mergeCell ref="L29:Q29"/>
    <mergeCell ref="L26:Q26"/>
    <mergeCell ref="B29:D29"/>
    <mergeCell ref="G29:K29"/>
    <mergeCell ref="B28:D28"/>
    <mergeCell ref="G26:K26"/>
    <mergeCell ref="G27:K27"/>
    <mergeCell ref="G28:K28"/>
    <mergeCell ref="B26:D26"/>
    <mergeCell ref="B27:D27"/>
    <mergeCell ref="L27:Q27"/>
    <mergeCell ref="L28:Q28"/>
    <mergeCell ref="M9:Q9"/>
    <mergeCell ref="G9:K9"/>
    <mergeCell ref="L20:Q20"/>
    <mergeCell ref="G25:K25"/>
    <mergeCell ref="G24:K24"/>
    <mergeCell ref="L24:Q24"/>
    <mergeCell ref="L19:Q19"/>
    <mergeCell ref="L23:Q23"/>
    <mergeCell ref="L21:Q21"/>
    <mergeCell ref="G20:K20"/>
    <mergeCell ref="L25:Q25"/>
    <mergeCell ref="L22:Q22"/>
    <mergeCell ref="G21:K21"/>
    <mergeCell ref="G22:K22"/>
    <mergeCell ref="E18:K18"/>
    <mergeCell ref="I19:J19"/>
    <mergeCell ref="B19:D19"/>
    <mergeCell ref="B23:D23"/>
    <mergeCell ref="B24:D24"/>
    <mergeCell ref="C9:E9"/>
    <mergeCell ref="G19:H19"/>
    <mergeCell ref="B20:D20"/>
    <mergeCell ref="B22:D22"/>
    <mergeCell ref="B21:D21"/>
    <mergeCell ref="B2:Q2"/>
    <mergeCell ref="O3:P3"/>
    <mergeCell ref="D5:N5"/>
    <mergeCell ref="L8:Q8"/>
    <mergeCell ref="F6:K6"/>
    <mergeCell ref="E3:K3"/>
    <mergeCell ref="C4:D4"/>
    <mergeCell ref="C3:D3"/>
    <mergeCell ref="E4:L4"/>
    <mergeCell ref="B8:E8"/>
    <mergeCell ref="F8:K8"/>
  </mergeCells>
  <phoneticPr fontId="30" type="noConversion"/>
  <conditionalFormatting sqref="C4:D4">
    <cfRule type="cellIs" dxfId="14" priority="59" stopIfTrue="1" operator="equal">
      <formula>"C"</formula>
    </cfRule>
    <cfRule type="cellIs" dxfId="13" priority="60" stopIfTrue="1" operator="equal">
      <formula>"B2"</formula>
    </cfRule>
    <cfRule type="cellIs" dxfId="12" priority="61" stopIfTrue="1" operator="equal">
      <formula>"B1"</formula>
    </cfRule>
  </conditionalFormatting>
  <conditionalFormatting sqref="G20:G28">
    <cfRule type="cellIs" dxfId="11" priority="4" stopIfTrue="1" operator="between">
      <formula>0</formula>
      <formula>0.599</formula>
    </cfRule>
    <cfRule type="cellIs" dxfId="10" priority="5" stopIfTrue="1" operator="between">
      <formula>0.6</formula>
      <formula>0.899</formula>
    </cfRule>
    <cfRule type="cellIs" dxfId="9" priority="6" stopIfTrue="1" operator="greaterThanOrEqual">
      <formula>0.9</formula>
    </cfRule>
  </conditionalFormatting>
  <conditionalFormatting sqref="G29">
    <cfRule type="cellIs" dxfId="8" priority="1" stopIfTrue="1" operator="between">
      <formula>0</formula>
      <formula>0.599</formula>
    </cfRule>
    <cfRule type="cellIs" dxfId="7" priority="2" stopIfTrue="1" operator="between">
      <formula>0.6</formula>
      <formula>0.899</formula>
    </cfRule>
    <cfRule type="cellIs" dxfId="6" priority="3"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alignWithMargins="0">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1"/>
  <sheetViews>
    <sheetView showGridLines="0" topLeftCell="A36" zoomScale="90" zoomScaleNormal="90" workbookViewId="0">
      <selection activeCell="F81" sqref="F81"/>
    </sheetView>
  </sheetViews>
  <sheetFormatPr defaultRowHeight="11.25"/>
  <cols>
    <col min="1" max="1" width="1.140625" style="30" customWidth="1"/>
    <col min="2" max="2" width="19.28515625" style="30" customWidth="1"/>
    <col min="3" max="3" width="1.140625" style="30" customWidth="1"/>
    <col min="4" max="4" width="17.140625" style="30" customWidth="1"/>
    <col min="5" max="5" width="17.5703125" style="30" customWidth="1"/>
    <col min="6" max="6" width="9.7109375" style="30" customWidth="1"/>
    <col min="7" max="7" width="13" style="30" customWidth="1"/>
    <col min="8" max="8" width="4.28515625" style="30" customWidth="1"/>
    <col min="9" max="9" width="15.85546875" style="30" customWidth="1"/>
    <col min="10" max="10" width="3.5703125" style="30" customWidth="1"/>
    <col min="11" max="11" width="7.5703125" style="31" customWidth="1"/>
    <col min="12" max="12" width="14.28515625" style="30" customWidth="1"/>
    <col min="13" max="13" width="12" style="30" customWidth="1"/>
    <col min="14" max="14" width="5.42578125" style="30" customWidth="1"/>
    <col min="15" max="15" width="2.5703125" style="30" customWidth="1"/>
    <col min="16" max="16384" width="9.140625" style="30"/>
  </cols>
  <sheetData>
    <row r="1" spans="1:15" ht="38.25" customHeight="1">
      <c r="A1" s="118"/>
      <c r="B1" s="118"/>
      <c r="C1" s="118"/>
      <c r="D1" s="118"/>
      <c r="E1" s="118"/>
      <c r="F1" s="118"/>
      <c r="G1" s="118"/>
      <c r="H1" s="118"/>
      <c r="I1" s="118"/>
      <c r="J1" s="118"/>
      <c r="K1" s="119"/>
      <c r="L1" s="118"/>
      <c r="M1" s="118"/>
      <c r="N1" s="118"/>
    </row>
    <row r="2" spans="1:15" customFormat="1" ht="27.75" customHeight="1">
      <c r="A2" s="3"/>
      <c r="B2" s="719" t="str">
        <f>+"Dashboard:  "&amp;"  "&amp;IF(+'Introducerea datelor'!C4="Please Select","",'Introducerea datelor'!C4&amp;" - ")&amp;IF('Introducerea datelor'!G6="Please Select","",'Introducerea datelor'!G6)</f>
        <v>Dashboard:    Moldova - TB</v>
      </c>
      <c r="C2" s="719"/>
      <c r="D2" s="719"/>
      <c r="E2" s="719"/>
      <c r="F2" s="719"/>
      <c r="G2" s="719"/>
      <c r="H2" s="719"/>
      <c r="I2" s="719"/>
      <c r="J2" s="719"/>
      <c r="K2" s="719"/>
      <c r="L2" s="719"/>
      <c r="M2" s="719"/>
      <c r="N2" s="719"/>
      <c r="O2" s="69"/>
    </row>
    <row r="3" spans="1:15" customFormat="1" ht="18.75">
      <c r="A3" s="3"/>
      <c r="B3" s="107" t="str">
        <f>+IF('Introducerea datelor'!G8="Please Select","",'Introducerea datelor'!G8)</f>
        <v>Round 9</v>
      </c>
      <c r="C3" s="701" t="str">
        <f>+IF('Introducerea datelor'!I8="Please Select","",'Introducerea datelor'!I8)</f>
        <v>Phase 2</v>
      </c>
      <c r="D3" s="701"/>
      <c r="E3" s="723"/>
      <c r="F3" s="723"/>
      <c r="G3" s="723"/>
      <c r="H3" s="723"/>
      <c r="I3" s="723"/>
      <c r="J3" s="723"/>
      <c r="K3" s="723"/>
      <c r="L3" s="107" t="str">
        <f>+'Introducerea datelor'!B16</f>
        <v>Report Period(Perioada de Raportare):</v>
      </c>
      <c r="M3" s="162" t="str">
        <f>+'Introducerea datelor'!C16</f>
        <v>P10</v>
      </c>
      <c r="N3" s="162"/>
      <c r="O3" s="30"/>
    </row>
    <row r="4" spans="1:15" customFormat="1" ht="15">
      <c r="A4" s="3"/>
      <c r="B4" s="107" t="str">
        <f>+'Introducerea datelor'!B12</f>
        <v>Latest Rating (Ultimul Rating):</v>
      </c>
      <c r="C4" s="724" t="str">
        <f>+IF('Introducerea datelor'!C12="Please Select","",'Introducerea datelor'!C12)</f>
        <v>A2</v>
      </c>
      <c r="D4" s="724"/>
      <c r="E4" s="700" t="str">
        <f>+'Introducerea datelor'!C8</f>
        <v>PAS Center</v>
      </c>
      <c r="F4" s="700"/>
      <c r="G4" s="700"/>
      <c r="H4" s="700"/>
      <c r="I4" s="700"/>
      <c r="J4" s="700"/>
      <c r="K4" s="700"/>
      <c r="L4" s="107" t="str">
        <f>+'Introducerea datelor'!D16</f>
        <v>From(De la):</v>
      </c>
      <c r="M4" s="163">
        <f>+IF(ISBLANK('Introducerea datelor'!E16),"",'Introducerea datelor'!E16)</f>
        <v>41640</v>
      </c>
      <c r="N4" s="163"/>
      <c r="O4" s="30"/>
    </row>
    <row r="5" spans="1:15" customFormat="1" ht="18.75" customHeight="1">
      <c r="A5" s="3"/>
      <c r="B5" s="107"/>
      <c r="C5" s="107"/>
      <c r="D5" s="108"/>
      <c r="E5" s="700" t="str">
        <f>+'Introducerea datelor'!G4</f>
        <v>Empowerment of people with TB and Communities in Moldova</v>
      </c>
      <c r="F5" s="700"/>
      <c r="G5" s="700"/>
      <c r="H5" s="700"/>
      <c r="I5" s="700"/>
      <c r="J5" s="700"/>
      <c r="K5" s="700"/>
      <c r="L5" s="107" t="str">
        <f>+'Introducerea datelor'!F16</f>
        <v>To(Pînă la):</v>
      </c>
      <c r="M5" s="163">
        <f>+IF(ISBLANK('Introducerea datelor'!G16),"",'Introducerea datelor'!G16)</f>
        <v>41820</v>
      </c>
      <c r="N5" s="163"/>
    </row>
    <row r="6" spans="1:15" customFormat="1" ht="22.5" customHeight="1">
      <c r="A6" s="3"/>
      <c r="B6" s="112"/>
      <c r="C6" s="113"/>
      <c r="D6" s="114"/>
      <c r="E6" s="777" t="s">
        <v>319</v>
      </c>
      <c r="F6" s="777"/>
      <c r="G6" s="777"/>
      <c r="H6" s="777"/>
      <c r="I6" s="777"/>
      <c r="J6" s="777"/>
      <c r="K6" s="777"/>
      <c r="L6" s="2"/>
      <c r="M6" s="2"/>
      <c r="N6" s="2"/>
    </row>
    <row r="7" spans="1:15" s="32" customFormat="1" ht="4.5" customHeight="1">
      <c r="A7" s="120"/>
      <c r="B7" s="121"/>
      <c r="C7" s="121"/>
      <c r="D7" s="121"/>
      <c r="E7" s="121"/>
      <c r="F7" s="121"/>
      <c r="G7" s="121"/>
      <c r="H7" s="121"/>
      <c r="I7" s="121"/>
      <c r="J7" s="121"/>
      <c r="K7" s="121"/>
      <c r="L7" s="122"/>
      <c r="M7" s="122"/>
      <c r="N7" s="123"/>
    </row>
    <row r="8" spans="1:15" s="32" customFormat="1" ht="21" customHeight="1" thickBot="1">
      <c r="A8" s="120"/>
      <c r="B8" s="784" t="s">
        <v>120</v>
      </c>
      <c r="C8" s="784"/>
      <c r="D8" s="784"/>
      <c r="E8" s="784"/>
      <c r="F8" s="784"/>
      <c r="G8" s="784"/>
      <c r="H8" s="784"/>
      <c r="I8" s="784"/>
      <c r="J8" s="784"/>
      <c r="K8" s="784"/>
      <c r="L8" s="784"/>
      <c r="M8" s="784"/>
      <c r="N8" s="784"/>
    </row>
    <row r="9" spans="1:15" s="32" customFormat="1" ht="3.75" customHeight="1" thickBot="1">
      <c r="A9" s="120"/>
      <c r="B9" s="121"/>
      <c r="C9" s="121"/>
      <c r="D9" s="121"/>
      <c r="E9" s="121"/>
      <c r="F9" s="121"/>
      <c r="G9" s="121"/>
      <c r="H9" s="121"/>
      <c r="I9" s="121"/>
      <c r="J9" s="121"/>
      <c r="K9" s="121"/>
      <c r="L9" s="122"/>
      <c r="M9" s="122"/>
      <c r="N9" s="123"/>
    </row>
    <row r="10" spans="1:15" s="33" customFormat="1" ht="25.5" customHeight="1" thickBot="1">
      <c r="A10" s="124"/>
      <c r="B10" s="753" t="s">
        <v>115</v>
      </c>
      <c r="C10" s="754"/>
      <c r="D10" s="755" t="s">
        <v>119</v>
      </c>
      <c r="E10" s="756"/>
      <c r="F10" s="756"/>
      <c r="G10" s="757"/>
      <c r="H10" s="127"/>
      <c r="I10" s="755" t="s">
        <v>319</v>
      </c>
      <c r="J10" s="756"/>
      <c r="K10" s="756"/>
      <c r="L10" s="756"/>
      <c r="M10" s="756"/>
      <c r="N10" s="757"/>
    </row>
    <row r="11" spans="1:15" s="33" customFormat="1" ht="28.5" customHeight="1">
      <c r="A11" s="124"/>
      <c r="B11" s="334" t="s">
        <v>123</v>
      </c>
      <c r="C11" s="144"/>
      <c r="D11" s="758" t="str">
        <f>IF(ISBLANK(Financiar!C9),"",(Financiar!C9))</f>
        <v xml:space="preserve">Cumulative disbursements is more than cumulative budget, due to the fact that disbursement includes the budget for 2014 and  value for the first quarter of 2015 ( 01.01.2015-31.03.2015), as  buffer stock . As per June 30, 2014 the total disbursement value by the GF to the PR was 6.777.482,00 Euro versus the planned budget of  5.935.861,00. The disbursement rate is 114%.  
Suma debursarilor este mai mare decât suma bugetată, deoarece suma bugetată include perioada de până la 30 iunie 2014, iar in debursari este inclus bugetul pentru întreg  anul  2014 și suma pentru trimestrul I, 2015, în calitate de  buffer. Astfel la 30 iunie 2014, suma totală debursată de FG catre RP a fost de  6.777.482,00 Euro versus bugetul de 5.935.861,00 Euro. Rata debursarii cumulative este de 114%. </v>
      </c>
      <c r="E11" s="758"/>
      <c r="F11" s="758"/>
      <c r="G11" s="759"/>
      <c r="H11" s="150"/>
      <c r="I11" s="791"/>
      <c r="J11" s="792"/>
      <c r="K11" s="792"/>
      <c r="L11" s="792"/>
      <c r="M11" s="792"/>
      <c r="N11" s="793"/>
    </row>
    <row r="12" spans="1:15" s="33" customFormat="1" ht="27.75" customHeight="1">
      <c r="A12" s="124"/>
      <c r="B12" s="335" t="s">
        <v>124</v>
      </c>
      <c r="C12" s="145"/>
      <c r="D12" s="758" t="str">
        <f>IF(ISBLANK(Financiar!C23),"",(Financiar!C23))</f>
        <v xml:space="preserve">Almost all payments were done according to the planned budget and in line with the project activities. For the objective 1 "Strengthen community involvement and foster parnerships for effective  TB control", the  cumulative expenditure is higher due to  approval by TGF of additional budget in value of 74,000.00 Euro, to increase the number of grants for 2013 and 2014, based on the reallocated savings from 2012 and 2013.  The  difference of value for the Project management is due to  the interest income on bank account used for the office loan (as per TGF approval). As for the remaining objectives, due to commitments  the cumulative expenditures is less then cumulative budget.                                                                                                                                                                                                                                                                         
Toate cheltuielile au fost efectuate conform bugetului și, cu scopul de a atinge obiectivele proiectului. Pentru obiectivul 1 "Strengthen community involvement and foster parnerships for effective  TB control " cheltuielile cumulative sunt mai mari datorită aprobării realocării  sumei de 74,000.00 Euro pentru linia de grant  din 2013 și 2014, conform aprobării FG, fiind considerate economiile anului 2012 și 2013.  Diferența de valori pentru Managementul de Proiect este condiționată de  venitul din dobândă, cumulată  în cont, pentru acoperirea împrumutului, conform aprobării FG. La celelalte obiective, datorită sumelor angajate, cheltuielele cumulative sunt mai mici decit bugetul planificat. 
</v>
      </c>
      <c r="E12" s="758"/>
      <c r="F12" s="758"/>
      <c r="G12" s="759"/>
      <c r="H12" s="150"/>
      <c r="I12" s="760"/>
      <c r="J12" s="761"/>
      <c r="K12" s="761"/>
      <c r="L12" s="761"/>
      <c r="M12" s="761"/>
      <c r="N12" s="762"/>
    </row>
    <row r="13" spans="1:15" s="33" customFormat="1" ht="26.25" customHeight="1">
      <c r="A13" s="124"/>
      <c r="B13" s="335" t="s">
        <v>125</v>
      </c>
      <c r="C13" s="145"/>
      <c r="D13" s="758" t="str">
        <f>IF(ISBLANK(Financiar!I9),"",(Financiar!I9))</f>
        <v>The variance between the disbursement and expenditures of the PR for the current period is due to:
1. Disbursement includes the budget for 2014 and buffer period for 2015 (Q1);
2. Commitments from the semester 1, 2014 - EUR 164,928.00.
The expenditures of the SRs are closed to the disbursement value. The difference is explaiend by the commitments of the semester 1, 2014.
Variatia dintre suma disbursata si suma cheltuita este formata din motiv ca:
1.  In debursari este inclus si bugetul pentru 2014 și perioada de buffer - trim. 1, 2015;
2. Sumele angajate din semestrul 1, 2014 - EUR 164,928.00.
Diferența dintre sumele debursate de către RP și cheltuielile  subrecipienților sunt mici. Diferenta este explicata prin sumele angate pentru activitatile  din semestrul  1, 2014.</v>
      </c>
      <c r="E13" s="758"/>
      <c r="F13" s="758"/>
      <c r="G13" s="759"/>
      <c r="H13" s="150"/>
      <c r="I13" s="760"/>
      <c r="J13" s="761"/>
      <c r="K13" s="761"/>
      <c r="L13" s="761"/>
      <c r="M13" s="761"/>
      <c r="N13" s="762"/>
    </row>
    <row r="14" spans="1:15" s="33" customFormat="1" ht="28.5" customHeight="1" thickBot="1">
      <c r="A14" s="124"/>
      <c r="B14" s="336" t="s">
        <v>126</v>
      </c>
      <c r="C14" s="146"/>
      <c r="D14" s="789" t="str">
        <f>IF(ISBLANK(Financiar!I23),"",(Financiar!I23))</f>
        <v>The PR always makes the disbursements to SRs in the shortest period when the disbursement request is received and the report is presented.  
Perioada de debursare către SR este cit mai  operativ posibil de la   data depunerii cererii de debursare şi prezentare a raportului financiar.</v>
      </c>
      <c r="E14" s="789"/>
      <c r="F14" s="789"/>
      <c r="G14" s="790"/>
      <c r="H14" s="150"/>
      <c r="I14" s="794"/>
      <c r="J14" s="795"/>
      <c r="K14" s="795"/>
      <c r="L14" s="795"/>
      <c r="M14" s="795"/>
      <c r="N14" s="796"/>
    </row>
    <row r="15" spans="1:15" s="33" customFormat="1" ht="4.5" customHeight="1">
      <c r="A15" s="124"/>
      <c r="B15" s="147"/>
      <c r="C15" s="148"/>
      <c r="D15" s="149"/>
      <c r="E15" s="149"/>
      <c r="F15" s="149"/>
      <c r="G15" s="149"/>
      <c r="H15" s="150"/>
      <c r="I15" s="151"/>
      <c r="J15" s="151"/>
      <c r="K15" s="151"/>
      <c r="L15" s="151"/>
      <c r="M15" s="151"/>
      <c r="N15" s="151"/>
      <c r="O15" s="71"/>
    </row>
    <row r="16" spans="1:15" s="32" customFormat="1" ht="21" customHeight="1" thickBot="1">
      <c r="A16" s="120"/>
      <c r="B16" s="784" t="s">
        <v>122</v>
      </c>
      <c r="C16" s="784"/>
      <c r="D16" s="784"/>
      <c r="E16" s="784"/>
      <c r="F16" s="784"/>
      <c r="G16" s="784"/>
      <c r="H16" s="784"/>
      <c r="I16" s="784"/>
      <c r="J16" s="784"/>
      <c r="K16" s="784"/>
      <c r="L16" s="784"/>
      <c r="M16" s="784"/>
      <c r="N16" s="784"/>
    </row>
    <row r="17" spans="1:15" s="33" customFormat="1" ht="3.75" customHeight="1" thickBot="1">
      <c r="A17" s="124"/>
      <c r="B17" s="133"/>
      <c r="C17" s="134"/>
      <c r="D17" s="135"/>
      <c r="E17" s="136"/>
      <c r="F17" s="137"/>
      <c r="G17" s="137"/>
      <c r="H17" s="138"/>
      <c r="I17" s="139"/>
      <c r="J17" s="140"/>
      <c r="K17" s="129"/>
      <c r="L17" s="130"/>
      <c r="M17" s="131"/>
      <c r="N17" s="132"/>
    </row>
    <row r="18" spans="1:15" s="33" customFormat="1" ht="22.5" customHeight="1" thickBot="1">
      <c r="A18" s="124"/>
      <c r="B18" s="754" t="s">
        <v>116</v>
      </c>
      <c r="C18" s="767"/>
      <c r="D18" s="774" t="s">
        <v>119</v>
      </c>
      <c r="E18" s="775"/>
      <c r="F18" s="775"/>
      <c r="G18" s="776"/>
      <c r="H18" s="127"/>
      <c r="I18" s="771" t="s">
        <v>319</v>
      </c>
      <c r="J18" s="772"/>
      <c r="K18" s="772"/>
      <c r="L18" s="772"/>
      <c r="M18" s="773"/>
      <c r="N18" s="773"/>
    </row>
    <row r="19" spans="1:15" s="33" customFormat="1" ht="21.95" customHeight="1">
      <c r="A19" s="124"/>
      <c r="B19" s="337" t="s">
        <v>131</v>
      </c>
      <c r="C19" s="152"/>
      <c r="D19" s="785" t="str">
        <f>IF(ISBLANK(Management!C8),"",(Management!C8))</f>
        <v xml:space="preserve">One Condition Precedent (CP), prior to grant agreement signing, was fulfilled by PAS Center, received NO from GF.The  other two CP, prior to extension of the grant agreement: review of the NTP in written form by 15th august 2013 and  present of the strategic plan for out-patient care to improve compliance  and reduce  treatment default by 15th august 2013, were completed. The  final report English version was published and shared by the WHO  in 2013. The MoH approved the plan for out- patient care to imrpove  compliance and reduce treatment default on 27/09/2013 ( Order  #1051).  
Centrul PAS a implementat cerinta inaintată de Fondul Global vizavi de conditii precedente( CP), inainte de semnarea acordului de grant, avînd NO de la FG. Celelalte doua conditii precedente  pentru extinderea acordului de grant și anume:  raportul de evaluare a Programului National de Control al Tuberculozei ( PNCT) si planul strategic pentru imbunatatirea aderentei la tratament si micsorarea abandonului la tratamentul in conditii de  ambulatoriu au fost indeplinite. Raportul, versiunea Engleză,  a fost publicat și distributi  instituțiilor relevante de către OMS  în 2013.  Planul strategic menționat a fost aprobat de cître Ministerul Sănătății  la 27/09/2013 , ordinul # 1051. </v>
      </c>
      <c r="E19" s="785"/>
      <c r="F19" s="785"/>
      <c r="G19" s="786"/>
      <c r="H19" s="153"/>
      <c r="I19" s="768"/>
      <c r="J19" s="769"/>
      <c r="K19" s="769"/>
      <c r="L19" s="769"/>
      <c r="M19" s="769"/>
      <c r="N19" s="770"/>
    </row>
    <row r="20" spans="1:15" ht="24.75" customHeight="1">
      <c r="A20" s="118"/>
      <c r="B20" s="338" t="s">
        <v>132</v>
      </c>
      <c r="C20" s="154"/>
      <c r="D20" s="758" t="str">
        <f>IF(ISBLANK(Management!I8),"",(Management!I8))</f>
        <v>All key positions of the management department are filled in by the PR.  
Toate functiile sunt completate de RP.</v>
      </c>
      <c r="E20" s="758" t="e">
        <f>+'Introducerea datelor'!D73/'Introducerea datelor'!G73</f>
        <v>#DIV/0!</v>
      </c>
      <c r="F20" s="758" t="e">
        <f>+('Introducerea datelor'!E73+'Introducerea datelor'!F73)/'Introducerea datelor'!G73</f>
        <v>#DIV/0!</v>
      </c>
      <c r="G20" s="763"/>
      <c r="H20" s="153"/>
      <c r="I20" s="764"/>
      <c r="J20" s="765"/>
      <c r="K20" s="765"/>
      <c r="L20" s="765"/>
      <c r="M20" s="765"/>
      <c r="N20" s="766"/>
      <c r="O20" s="34"/>
    </row>
    <row r="21" spans="1:15" ht="29.25" customHeight="1">
      <c r="A21" s="118"/>
      <c r="B21" s="339" t="s">
        <v>133</v>
      </c>
      <c r="C21" s="154"/>
      <c r="D21" s="758" t="str">
        <f>IF(ISBLANK(Management!C16),"",(Management!C16))</f>
        <v xml:space="preserve">Soros Moldova Foundation was not assessed due to its proved experience in grants' implementation.  
Fundația Soros-Moldova nu a fost evaluată ținînd cont de semnificativa experiență în implementarea  granturilor.  </v>
      </c>
      <c r="E21" s="758"/>
      <c r="F21" s="758"/>
      <c r="G21" s="763"/>
      <c r="H21" s="153"/>
      <c r="I21" s="764"/>
      <c r="J21" s="765"/>
      <c r="K21" s="765"/>
      <c r="L21" s="765"/>
      <c r="M21" s="765"/>
      <c r="N21" s="766"/>
      <c r="O21" s="34"/>
    </row>
    <row r="22" spans="1:15" ht="26.25" customHeight="1">
      <c r="A22" s="118"/>
      <c r="B22" s="339" t="s">
        <v>134</v>
      </c>
      <c r="C22" s="154"/>
      <c r="D22" s="758" t="str">
        <f>IF(ISBLANK(Management!I16),"",(Management!I16))</f>
        <v>For the reported period, January-June 2014, 8 SSRs were involved in TB related activities. Basically, the majority of NGO are implementing  one grant,  with exception of two NGOs  which applied to Soros Foundation - Moldova and were granted with more than one grant,  as follow: NGO "AFI" - 2 grants,  and NGO "National Association of TB patients SMIT" - 3 grants.                                                                                                                                                                                                                                                              
In perioada de raportare, ianuarie-iunie 2014, 8 sub-subrecipienți au realizat activități conexe programului de control al TB.  Majoritatea ONG-urilor  realizează a câte un grant, excepție fiind 2 ONG care au aplicat către Fundația Soros - Moldova, și au fost aprobate pentru implementarea a mai mult de un grant cum ar fi:  ONG AFI - 2 granturi și ONG SMIT - 3 granturi.</v>
      </c>
      <c r="E22" s="758"/>
      <c r="F22" s="758"/>
      <c r="G22" s="763"/>
      <c r="H22" s="153"/>
      <c r="I22" s="764"/>
      <c r="J22" s="765"/>
      <c r="K22" s="765"/>
      <c r="L22" s="765"/>
      <c r="M22" s="765"/>
      <c r="N22" s="766"/>
      <c r="O22" s="34"/>
    </row>
    <row r="23" spans="1:15" ht="24.75" customHeight="1">
      <c r="A23" s="118"/>
      <c r="B23" s="339" t="s">
        <v>135</v>
      </c>
      <c r="C23" s="154"/>
      <c r="D23" s="758" t="str">
        <f>IF(ISBLANK(Management!C27),"",(Management!C27))</f>
        <v/>
      </c>
      <c r="E23" s="758"/>
      <c r="F23" s="758"/>
      <c r="G23" s="763"/>
      <c r="H23" s="153"/>
      <c r="I23" s="764"/>
      <c r="J23" s="765"/>
      <c r="K23" s="765"/>
      <c r="L23" s="765"/>
      <c r="M23" s="765"/>
      <c r="N23" s="766"/>
      <c r="O23" s="34"/>
    </row>
    <row r="24" spans="1:15" ht="27" customHeight="1" thickBot="1">
      <c r="A24" s="118"/>
      <c r="B24" s="340" t="s">
        <v>137</v>
      </c>
      <c r="C24" s="155"/>
      <c r="D24" s="787" t="str">
        <f>IF(ISBLANK(Management!I27),"",(Management!I27))</f>
        <v/>
      </c>
      <c r="E24" s="787"/>
      <c r="F24" s="787"/>
      <c r="G24" s="788"/>
      <c r="H24" s="153"/>
      <c r="I24" s="778"/>
      <c r="J24" s="779"/>
      <c r="K24" s="779"/>
      <c r="L24" s="779"/>
      <c r="M24" s="779"/>
      <c r="N24" s="780"/>
      <c r="O24" s="34"/>
    </row>
    <row r="25" spans="1:15" ht="4.5" customHeight="1">
      <c r="A25" s="120"/>
      <c r="B25" s="125"/>
      <c r="C25" s="126"/>
      <c r="D25" s="141"/>
      <c r="E25" s="142"/>
      <c r="F25" s="143"/>
      <c r="G25" s="143"/>
      <c r="H25" s="127"/>
      <c r="I25" s="142"/>
      <c r="J25" s="128"/>
      <c r="K25" s="129"/>
      <c r="L25" s="130"/>
      <c r="M25" s="131"/>
      <c r="N25" s="132"/>
      <c r="O25" s="34"/>
    </row>
    <row r="26" spans="1:15" s="32" customFormat="1" ht="21" customHeight="1" thickBot="1">
      <c r="A26" s="120"/>
      <c r="B26" s="784" t="s">
        <v>121</v>
      </c>
      <c r="C26" s="784"/>
      <c r="D26" s="784"/>
      <c r="E26" s="784"/>
      <c r="F26" s="784"/>
      <c r="G26" s="784"/>
      <c r="H26" s="784"/>
      <c r="I26" s="784"/>
      <c r="J26" s="784"/>
      <c r="K26" s="784"/>
      <c r="L26" s="784"/>
      <c r="M26" s="784"/>
      <c r="N26" s="784"/>
    </row>
    <row r="27" spans="1:15" ht="3.75" customHeight="1" thickBot="1">
      <c r="A27" s="120"/>
      <c r="B27" s="125"/>
      <c r="C27" s="126"/>
      <c r="D27" s="141"/>
      <c r="E27" s="142"/>
      <c r="F27" s="143"/>
      <c r="G27" s="143"/>
      <c r="H27" s="127"/>
      <c r="I27" s="142"/>
      <c r="J27" s="128"/>
      <c r="K27" s="129"/>
      <c r="L27" s="130"/>
      <c r="M27" s="131"/>
      <c r="N27" s="132"/>
      <c r="O27" s="34"/>
    </row>
    <row r="28" spans="1:15" ht="21.75" customHeight="1" thickBot="1">
      <c r="A28" s="118"/>
      <c r="B28" s="753" t="s">
        <v>38</v>
      </c>
      <c r="C28" s="767"/>
      <c r="D28" s="781" t="s">
        <v>119</v>
      </c>
      <c r="E28" s="782"/>
      <c r="F28" s="782"/>
      <c r="G28" s="783"/>
      <c r="H28" s="127"/>
      <c r="I28" s="781" t="s">
        <v>319</v>
      </c>
      <c r="J28" s="782"/>
      <c r="K28" s="782"/>
      <c r="L28" s="782"/>
      <c r="M28" s="782"/>
      <c r="N28" s="783"/>
      <c r="O28" s="34"/>
    </row>
    <row r="29" spans="1:15" ht="113.25" customHeight="1">
      <c r="A29" s="118"/>
      <c r="B29" s="341" t="s">
        <v>320</v>
      </c>
      <c r="C29" s="156"/>
      <c r="D29" s="807" t="str">
        <f>IF(ISBLANK(Programatic!C9),"",(Programatic!C9))</f>
        <v>During  the first half of the 2014, 991 TB patients registered under DOTS program received incentives for improved treatment compliance.                                      
The indicator is achieved at 89.%. Reason: Currently, in the country there are two sources of funding   incentives’ support: CNAM and GF. The value  of incentives offered through the CNAM  is more consistent. Since the criteria  described in the MoH regulation on providing incentives from the CNAM funds  is not expressive,  the SR AFI informed territorial TB coordinators from the TB health facilities to provide the list of sensitive TB patients that were not covered by the CNAM.    Majority of TB coordinators register patients in the list for provision  incentives  with higher value, event the total sun approved by the CNAM does not predict to cover all needs. Also the TB doctors are focused on absorption the budget provided by the CNAM.  After a long period of communication between PR, SR and public authorities on  the issues related to the provision of incentives there were drafted and presented by the NTP  the  model of providing incentives by  combining provision from two sources as follow: to start  with CNAM funds during first 2-3 months and continue support with GF funds.  The presented  estimation to the RP was with unclear multiplication factors  in  the estimation formula. No explanations were presented to  unclear multiplication factors  to  several  PR   requests to the MoH and NTP,  up to date. Nevertheless the PR presented the estimation  of the NTP/ MoH  to the GF which also raised the same questions to the estimation formula.  It expected to have final clarifications from the  NTP of  the estimation on the new drafted model for provision incentives programm from both sources. Also  it is expected to have a decision of the NTP  and CNAM on the possibility to revise  the MoH order on providing incentives from different sources.                                                                                                                                                                                          
In primul semestru al 2014, 991 pacienți cu TB înregistrați în programul DOTS au primit  suport motivational pentru îmbunătățirea aderentei la tratament. Indicatorul este atins in proportie de 89,%. Motivul variației:  În prezent, în ţară există două surse de finanţare a  suportului motivational: CNAM şi FG.  Valorea pachetului oferit  din sursele CNAM este mai  consistentă. Din motiv că criteriile descrise în regulamentul MS cu privire la oferirea suportului motivational nu  sunt exprese,   SR AFI a informat coordonatori TB teritoriali din institutiile  medico- sanitare    de a prezenta  lista de pacienţii cu TB sensibilă care nu au fost acoperiţi de CNAM  pentru a oferi suport motivaţional  din sursele FG.   Majoritatea Coordonatorilor TB  inscriu pacientii in listele pentru suport motivaţional de la CNAM, cu  o valoare mai mare .. Deasemenea TB Coordonatorii incearca sa absorbe sumele acordate de CNAM. Dupa o perioada esenţială  de comunicare intre RP, SR si autorităţile publice despre problemele  mecanismului de oferire a suportului motivaţional, NTP a elaborat şi a prezentat un model de oferire a suportului care prevede: acordarea suportului  iniţial din sursele CNAM ( 2-3 luni) şi ulterior  de al GF, pe durata tratamentului.  Estimarea prezentatăp  conţine factori în formulă de multiplicare neclari. Clarificări vizavi de incertitudinile din formula de  estimare  abordate de RP nu au fost prezentate pînp la data curentă. Necatînd la acest fapt estimarea a fost prezentat la FG.  La rindul său FG a ridicat aceleaşi intrebări, nefiind posibil fără ele examinarea documentului şi aprobarea noului model de suport.  Se asteaptă ca NTP să ofere clarificări vizavi de estimarea  pentru noul model al suportului motivaţional din ambele surse de finanţare.   Deasemenea se asteaptă sa fie luată decizia finală de NTP şi CNAM privind posibilitatea de a modifica Ordinul MS pentru acordarea de stimulente din diferite surse.</v>
      </c>
      <c r="E29" s="808"/>
      <c r="F29" s="808"/>
      <c r="G29" s="809"/>
      <c r="H29" s="153"/>
      <c r="I29" s="804"/>
      <c r="J29" s="805"/>
      <c r="K29" s="805"/>
      <c r="L29" s="805"/>
      <c r="M29" s="805"/>
      <c r="N29" s="806"/>
      <c r="O29" s="34"/>
    </row>
    <row r="30" spans="1:15" ht="103.5" customHeight="1">
      <c r="A30" s="118"/>
      <c r="B30" s="342" t="s">
        <v>321</v>
      </c>
      <c r="C30" s="157"/>
      <c r="D30" s="803" t="str">
        <f>IF(ISBLANK(Programatic!G9),"",(Programatic!G9))</f>
        <v xml:space="preserve">During the firs half of 2014, 283 MDR-TB patients were received incentives for improved treatment compliance . The indicator is  achieved.                                                                                                                                                                                                                                                   
În prima jumatate anului 2014, 283 de pacienţi MDR-TB au primit stimulente pentru îmbunătățirea respectării tratamentului.  Indicatorul este atins. </v>
      </c>
      <c r="E30" s="801"/>
      <c r="F30" s="801"/>
      <c r="G30" s="802"/>
      <c r="H30" s="153"/>
      <c r="I30" s="797"/>
      <c r="J30" s="798"/>
      <c r="K30" s="798"/>
      <c r="L30" s="798"/>
      <c r="M30" s="798"/>
      <c r="N30" s="799"/>
      <c r="O30" s="34"/>
    </row>
    <row r="31" spans="1:15" ht="114.75" customHeight="1">
      <c r="A31" s="118"/>
      <c r="B31" s="342" t="s">
        <v>322</v>
      </c>
      <c r="C31" s="157"/>
      <c r="D31" s="803" t="str">
        <f>IF(ISBLANK(Programatic!M9),"",(Programatic!M9))</f>
        <v xml:space="preserve">A total of 85 persons were trained, from them: 28 people from multidisciplinary teams of the community center; 25 people from NGOs in DOT and TB community aspects and 32 volunteers trained from the NGOs network in TB community aspects. The indicator is overachieved in proportion of 106%.                                                                                                                                                                                                                    
85 de persoane au fost instruite pe parcusul semestrului 1, 2014, dintre care: 28 de persoane din echipele multidisciplinare din centrul comunitar; 25 persoane din ONG-uri care activează în aspecte comunitare, DOT şi TB şi 32 voluntari din reţeaua de ONG-uri. Indicatorul este supraindeplinit în proporţie de 106%.  </v>
      </c>
      <c r="E31" s="801"/>
      <c r="F31" s="801"/>
      <c r="G31" s="802"/>
      <c r="H31" s="153"/>
      <c r="I31" s="797"/>
      <c r="J31" s="798"/>
      <c r="K31" s="798"/>
      <c r="L31" s="798"/>
      <c r="M31" s="798"/>
      <c r="N31" s="799"/>
      <c r="O31" s="34"/>
    </row>
    <row r="32" spans="1:15" ht="124.5" customHeight="1">
      <c r="A32" s="118"/>
      <c r="B32" s="343" t="s">
        <v>127</v>
      </c>
      <c r="C32" s="157"/>
      <c r="D32" s="800" t="str">
        <f>IF(ISBLANK(Programatic!L20),"",(Programatic!L20))</f>
        <v>During  the first half of the 2014, 991 TB patients registered under DOTS program received incentives for improved treatment compliance.                                      
The indicator is achieved at 89.%. Reason: Currently, in the country there are two sources of funding   incentives’ support: CNAM and GF. The value  of incentives offered through the CNAM  is more consistent. Since the criteria  described in the MoH regulation on providing incentives from the CNAM funds  is not expressive,  the SR AFI informed territorial TB coordinators from the TB health facilities to provide the list of sensitive TB patients that were not covered by the CNAM.    Majority of TB coordinators register patients in the list for provision  incentives  with higher value, event the total sun approved by the CNAM does not predict to cover all needs. Also the TB doctors are focused on absorption the budget provided by the CNAM.  After a long period of communication between PR, SR and public authorities on  the issues related to the provision of incentives there were drafted and presented by the NTP  the  model of providing incentives by  combining provision from two sources as follow: to start  with CNAM funds during first 2-3 months and continue support with GF funds.  The presented  estimation to the RP was with unclear multiplication factors  in  the estimation formula. No explanations were presented to  unclear multiplication factors  to  several  PR   requests to the MoH and NTP,  up to date. Nevertheless the PR presented the estimation  of the NTP/ MoH  to the GF which also raised the same questions to the estimation formula.  It expected to have final clarifications from the  NTP of  the estimation on the new drafted model for provision incentives programm from both sources. Also  it is expected to have a decision of the NTP  and CNAM on the possibility to revise  the MoH order on providing incentives from different sources.                                                                                                                                                                                          
In primul semestru al 2014, 991 pacienți cu TB înregistrați în programul DOTS au primit  suport motivational pentru îmbunătățirea aderentei la tratament. Indicatorul este atins in proportie de 89,%. Motivul variației:  În prezent, în ţară există două surse de finanţare a  suportului motivational: CNAM şi FG.  Valorea pachetului oferit  din sursele CNAM este mai  consistentă. Din motiv că criteriile descrise în regulamentul MS cu privire la oferirea suportului motivational nu  sunt exprese,   SR AFI a informat coordonatori TB teritoriali din institutiile  medico- sanitare    de a prezenta  lista de pacienţii cu TB sensibilă care nu au fost acoperiţi de CNAM  pentru a oferi suport motivaţional  din sursele FG.   Majoritatea Coordonatorilor TB  inscriu pacientii in listele pentru suport motivaţional de la CNAM, cu  o valoare mai mare .. Deasemenea TB Coordonatorii incearca sa absorbe sumele acordate de CNAM. Dupa o perioada esenţială  de comunicare intre RP, SR si autorităţile publice despre problemele  mecanismului de oferire a suportului motivaţional, NTP a elaborat şi a prezentat un model de oferire a suportului care prevede: acordarea suportului  iniţial din sursele CNAM ( 2-3 luni) şi ulterior  de al GF, pe durata tratamentului.  Estimarea prezentatăp  conţine factori în formulă de multiplicare neclari. Clarificări vizavi de incertitudinile din formula de  estimare  abordate de RP nu au fost prezentate pînp la data curentă. Necatînd la acest fapt estimarea a fost prezentat la FG.  La rindul său FG a ridicat aceleaşi intrebări, nefiind posibil fără ele examinarea documentului şi aprobarea noului model de suport.  Se asteaptă ca NTP să ofere clarificări vizavi de estimarea  pentru noul model al suportului motivaţional din ambele surse de finanţare.   Deasemenea se asteaptă sa fie luată decizia finală de NTP şi CNAM privind posibilitatea de a modifica Ordinul MS pentru acordarea de stimulente din diferite surse.</v>
      </c>
      <c r="E32" s="801"/>
      <c r="F32" s="801"/>
      <c r="G32" s="802"/>
      <c r="H32" s="153"/>
      <c r="I32" s="797"/>
      <c r="J32" s="798"/>
      <c r="K32" s="798"/>
      <c r="L32" s="798"/>
      <c r="M32" s="798"/>
      <c r="N32" s="799"/>
      <c r="O32" s="34"/>
    </row>
    <row r="33" spans="1:15" ht="104.25" customHeight="1">
      <c r="A33" s="118"/>
      <c r="B33" s="343" t="s">
        <v>128</v>
      </c>
      <c r="C33" s="157"/>
      <c r="D33" s="800" t="str">
        <f>IF(ISBLANK(Programatic!L21),"",(Programatic!L21))</f>
        <v xml:space="preserve">During the firs half of 2014, 283 MDR-TB patients were received incentives for improved treatment compliance . The indicator is  achieved.                                                                                                                                                                                                                                                   
În prima jumatate anului 2014, 283 de pacienţi MDR-TB au primit stimulente pentru îmbunătățirea respectării tratamentului.  Indicatorul este atins. </v>
      </c>
      <c r="E33" s="801"/>
      <c r="F33" s="801"/>
      <c r="G33" s="802"/>
      <c r="H33" s="153"/>
      <c r="I33" s="797"/>
      <c r="J33" s="798"/>
      <c r="K33" s="798"/>
      <c r="L33" s="798"/>
      <c r="M33" s="798"/>
      <c r="N33" s="799"/>
      <c r="O33" s="34"/>
    </row>
    <row r="34" spans="1:15" ht="112.5" customHeight="1">
      <c r="A34" s="118"/>
      <c r="B34" s="343" t="s">
        <v>129</v>
      </c>
      <c r="C34" s="157"/>
      <c r="D34" s="800" t="str">
        <f>IF(ISBLANK(Programatic!L22),"",(Programatic!L22))</f>
        <v xml:space="preserve">A total of 85 persons were trained, from them: 28 people from multidisciplinary teams of the community center; 25 people from NGOs in DOT and TB community aspects and 32 volunteers trained from the NGOs network in TB community aspects. The indicator is overachieved in proportion of 106%.                                                                                                                                                                                                                    
85 de persoane au fost instruite pe parcusul semestrului 1, 2014, dintre care: 28 de persoane din echipele multidisciplinare din centrul comunitar; 25 persoane din ONG-uri care activează în aspecte comunitare, DOT şi TB şi 32 voluntari din reţeaua de ONG-uri. Indicatorul este supraindeplinit în proporţie de 106%.  </v>
      </c>
      <c r="E34" s="801"/>
      <c r="F34" s="801"/>
      <c r="G34" s="802"/>
      <c r="H34" s="153"/>
      <c r="I34" s="797"/>
      <c r="J34" s="798"/>
      <c r="K34" s="798"/>
      <c r="L34" s="798"/>
      <c r="M34" s="798"/>
      <c r="N34" s="799"/>
      <c r="O34" s="34"/>
    </row>
    <row r="35" spans="1:15" ht="40.5" customHeight="1">
      <c r="A35" s="118"/>
      <c r="B35" s="343" t="s">
        <v>130</v>
      </c>
      <c r="C35" s="189"/>
      <c r="D35" s="800" t="str">
        <f>IF(ISBLANK(Programatic!L23),"",(Programatic!L23))</f>
        <v>n/a</v>
      </c>
      <c r="E35" s="801"/>
      <c r="F35" s="801"/>
      <c r="G35" s="802"/>
      <c r="H35" s="153"/>
      <c r="I35" s="797"/>
      <c r="J35" s="798"/>
      <c r="K35" s="798"/>
      <c r="L35" s="798"/>
      <c r="M35" s="798"/>
      <c r="N35" s="799"/>
      <c r="O35" s="34"/>
    </row>
    <row r="36" spans="1:15" ht="186.75" customHeight="1">
      <c r="A36" s="118"/>
      <c r="B36" s="343" t="s">
        <v>138</v>
      </c>
      <c r="C36" s="189"/>
      <c r="D36" s="800" t="str">
        <f>IF(ISBLANK(Programatic!L24),"",(Programatic!L24))</f>
        <v xml:space="preserve">457 of new TB patients provided with DOT by the community (community centers and NGOs) received at least 25 DOT interventions during 1 month (visit to DOT center by the patient or visit to the patient by DOT supporters for drug intake).  The indicator is overachieved in proportion of 138%. Reason for variance: AO AFI included and registered all the new TB patients provided in lists by Community Centers.                           
457 pacienţi noi cu TB au fost acoperiți cu servicii de comunitate (centre comunitare şi ONG-uri) ei au primit cel puţin 25 intervenţii  DOT pe parcursul la o luna (vizite la centrul de DOT de către pacient sau vizite la pacient de suporterii DOT pentru consumul de medicamente). Indicatorul este realizat în proporţie de 138%.  Motivul pentru variaţii: AO AFI au înclus şi înregistrat toţi pacienţii noi de TB prevăzuți în listele centrelor comunitare). </v>
      </c>
      <c r="E36" s="801"/>
      <c r="F36" s="801"/>
      <c r="G36" s="802"/>
      <c r="H36" s="153"/>
      <c r="I36" s="797"/>
      <c r="J36" s="798"/>
      <c r="K36" s="798"/>
      <c r="L36" s="798"/>
      <c r="M36" s="798"/>
      <c r="N36" s="799"/>
      <c r="O36" s="34"/>
    </row>
    <row r="37" spans="1:15" ht="69.75" customHeight="1">
      <c r="A37" s="118"/>
      <c r="B37" s="343" t="s">
        <v>139</v>
      </c>
      <c r="C37" s="189"/>
      <c r="D37" s="800" t="str">
        <f>IF(ISBLANK(Programatic!L25),"",(Programatic!L25))</f>
        <v>During the first semester  of the 2014, 199 people (TB/HIV patients and their families) were reached by peer support groups. The indicator is achieved. 
În  primul semestru al 2014, 199 de persoane (TB/HIV pacienţii şi familiile lor) au beneficiat de suport de la egal la egal. Indicatorul este atins</v>
      </c>
      <c r="E37" s="801"/>
      <c r="F37" s="801"/>
      <c r="G37" s="802"/>
      <c r="H37" s="153"/>
      <c r="I37" s="797"/>
      <c r="J37" s="798"/>
      <c r="K37" s="798"/>
      <c r="L37" s="798"/>
      <c r="M37" s="798"/>
      <c r="N37" s="799"/>
      <c r="O37" s="34"/>
    </row>
    <row r="38" spans="1:15" ht="372" customHeight="1">
      <c r="A38" s="118"/>
      <c r="B38" s="343" t="s">
        <v>140</v>
      </c>
      <c r="C38" s="189"/>
      <c r="D38" s="800" t="str">
        <f>IF(ISBLANK(Programatic!L26),"",(Programatic!L26))</f>
        <v>A total of 150 persons were trained, from them: 55 of local stakeholders attending workshops on TB and TB/HIV and 75 of peer educators trained to carry out informational work on TB and 20 journalists at national and district level trained;  The indicator is achieved. Reason for variance: The  number of journalists to attend the training course  were increased based on the request within the establised budget. 
150 persoane au fost instruite, din ei: 55 reprezentanți ai autorităților locale au participat la atelier de lucru în TB și TB/HIV  şi 75 educători de la egal la egal instruiți să efectueze lucrul informațional pe TB şi 20 jurnalişti;  Indicatorul este atins. Motivul variației este numărul de jurnaliști, aprobat să fie majorat, în limitele bugetului existent.</v>
      </c>
      <c r="E38" s="801"/>
      <c r="F38" s="801"/>
      <c r="G38" s="802"/>
      <c r="H38" s="153"/>
      <c r="I38" s="797"/>
      <c r="J38" s="798"/>
      <c r="K38" s="798"/>
      <c r="L38" s="798"/>
      <c r="M38" s="798"/>
      <c r="N38" s="799"/>
      <c r="O38" s="34"/>
    </row>
    <row r="39" spans="1:15" ht="246.75" customHeight="1">
      <c r="A39" s="118"/>
      <c r="B39" s="343" t="s">
        <v>141</v>
      </c>
      <c r="C39" s="189"/>
      <c r="D39" s="800" t="str">
        <f>IF(ISBLANK(Programatic!L27),"",(Programatic!L27))</f>
        <v xml:space="preserve">A total of 24 TB service staff trained in DR-TB management. The indicator is achieved.  
24 persoane din serviciu TB au fost instruite în managementul TB-MDR. Indicatorul este atins.    </v>
      </c>
      <c r="E39" s="801"/>
      <c r="F39" s="801"/>
      <c r="G39" s="802"/>
      <c r="H39" s="153"/>
      <c r="I39" s="797"/>
      <c r="J39" s="798"/>
      <c r="K39" s="798"/>
      <c r="L39" s="798"/>
      <c r="M39" s="798"/>
      <c r="N39" s="799"/>
      <c r="O39" s="34"/>
    </row>
    <row r="40" spans="1:15" ht="86.25" customHeight="1" thickBot="1">
      <c r="A40" s="118"/>
      <c r="B40" s="343" t="s">
        <v>142</v>
      </c>
      <c r="C40" s="158"/>
      <c r="D40" s="800" t="str">
        <f>IF(ISBLANK(Programatic!L28),"",(Programatic!L28))</f>
        <v xml:space="preserve">During the first half of  2014, 16 eligible prison inmates on TB treatment were released. All of them were supported through the TB follow up program. 
In prima jumatate a 2014, au fost eliberați 16 deţinuţi aflați în tratamentul TB.  Toți aceștia au fost susţinuți prin programul tratamentului TB de follow-up. </v>
      </c>
      <c r="E40" s="801"/>
      <c r="F40" s="801"/>
      <c r="G40" s="802"/>
      <c r="H40" s="153"/>
      <c r="I40" s="810"/>
      <c r="J40" s="811"/>
      <c r="K40" s="811"/>
      <c r="L40" s="811"/>
      <c r="M40" s="811"/>
      <c r="N40" s="812"/>
      <c r="O40" s="34"/>
    </row>
    <row r="41" spans="1:15" ht="282.75" customHeight="1" thickBot="1">
      <c r="A41" s="118"/>
      <c r="B41" s="343" t="s">
        <v>143</v>
      </c>
      <c r="C41" s="158"/>
      <c r="D41" s="800" t="str">
        <f>IF(ISBLANK(Programatic!L29),"",(Programatic!L29))</f>
        <v>During S7, a total of 52 medical staff were trained. The indicator is achieved.  
Pe parcursul S7, au fost instruiţi 52 lucrători medicali.  Indicatorul este atins.</v>
      </c>
      <c r="E41" s="801"/>
      <c r="F41" s="801"/>
      <c r="G41" s="802"/>
      <c r="H41" s="153"/>
      <c r="I41" s="810"/>
      <c r="J41" s="811"/>
      <c r="K41" s="811"/>
      <c r="L41" s="811"/>
      <c r="M41" s="811"/>
      <c r="N41" s="812"/>
      <c r="O41" s="34"/>
    </row>
  </sheetData>
  <mergeCells count="65">
    <mergeCell ref="I40:N40"/>
    <mergeCell ref="I35:N35"/>
    <mergeCell ref="D37:G37"/>
    <mergeCell ref="D41:G41"/>
    <mergeCell ref="I41:N41"/>
    <mergeCell ref="D40:G40"/>
    <mergeCell ref="D39:G39"/>
    <mergeCell ref="D35:G35"/>
    <mergeCell ref="I38:N38"/>
    <mergeCell ref="D36:G36"/>
    <mergeCell ref="D38:G38"/>
    <mergeCell ref="I39:N39"/>
    <mergeCell ref="I37:N37"/>
    <mergeCell ref="I34:N34"/>
    <mergeCell ref="D32:G32"/>
    <mergeCell ref="D23:G23"/>
    <mergeCell ref="B28:C28"/>
    <mergeCell ref="I36:N36"/>
    <mergeCell ref="I30:N30"/>
    <mergeCell ref="I31:N31"/>
    <mergeCell ref="I32:N32"/>
    <mergeCell ref="D30:G30"/>
    <mergeCell ref="I29:N29"/>
    <mergeCell ref="I33:N33"/>
    <mergeCell ref="D31:G31"/>
    <mergeCell ref="D33:G33"/>
    <mergeCell ref="D34:G34"/>
    <mergeCell ref="D29:G29"/>
    <mergeCell ref="D28:G28"/>
    <mergeCell ref="I24:N24"/>
    <mergeCell ref="I28:N28"/>
    <mergeCell ref="B8:N8"/>
    <mergeCell ref="I21:N21"/>
    <mergeCell ref="D13:G13"/>
    <mergeCell ref="D19:G19"/>
    <mergeCell ref="D24:G24"/>
    <mergeCell ref="B26:N26"/>
    <mergeCell ref="B16:N16"/>
    <mergeCell ref="D14:G14"/>
    <mergeCell ref="I23:N23"/>
    <mergeCell ref="D12:G12"/>
    <mergeCell ref="I12:N12"/>
    <mergeCell ref="I11:N11"/>
    <mergeCell ref="I14:N14"/>
    <mergeCell ref="I10:N10"/>
    <mergeCell ref="B2:N2"/>
    <mergeCell ref="E5:K5"/>
    <mergeCell ref="E6:K6"/>
    <mergeCell ref="E3:K3"/>
    <mergeCell ref="C4:D4"/>
    <mergeCell ref="E4:K4"/>
    <mergeCell ref="C3:D3"/>
    <mergeCell ref="B10:C10"/>
    <mergeCell ref="D10:G10"/>
    <mergeCell ref="D11:G11"/>
    <mergeCell ref="I13:N13"/>
    <mergeCell ref="D22:G22"/>
    <mergeCell ref="D20:G20"/>
    <mergeCell ref="I20:N20"/>
    <mergeCell ref="B18:C18"/>
    <mergeCell ref="I19:N19"/>
    <mergeCell ref="I18:N18"/>
    <mergeCell ref="D18:G18"/>
    <mergeCell ref="I22:N22"/>
    <mergeCell ref="D21:G21"/>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zoomScale="110" zoomScaleNormal="110" zoomScaleSheetLayoutView="100" workbookViewId="0">
      <selection activeCell="L3" sqref="L3"/>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715" t="str">
        <f>+"Dashboard:  "&amp;"  "&amp;IF(+'Introducerea datelor'!C4="Please Select","",'Introducerea datelor'!C4&amp;" - ")&amp;IF('Introducerea datelor'!G6="Please Select","",'Introducerea datelor'!G6)</f>
        <v>Dashboard:    Moldova - TB</v>
      </c>
      <c r="C2" s="715"/>
      <c r="D2" s="715"/>
      <c r="E2" s="715"/>
      <c r="F2" s="715"/>
      <c r="G2" s="715"/>
      <c r="H2" s="715"/>
      <c r="I2" s="715"/>
      <c r="J2" s="715"/>
      <c r="K2" s="715"/>
      <c r="L2" s="715"/>
    </row>
    <row r="3" spans="1:13">
      <c r="B3" s="23" t="str">
        <f>+IF('Introducerea datelor'!G8="Please Select","",'Introducerea datelor'!G8)</f>
        <v>Round 9</v>
      </c>
      <c r="C3" s="707" t="str">
        <f>+IF('Introducerea datelor'!I8="Please Select","",'Introducerea datelor'!I8)</f>
        <v>Phase 2</v>
      </c>
      <c r="D3" s="707"/>
      <c r="E3" s="708"/>
      <c r="F3" s="708"/>
      <c r="G3" s="708"/>
      <c r="H3" s="708"/>
      <c r="I3" s="708"/>
      <c r="J3" s="717" t="str">
        <f>+'Introducerea datelor'!B16</f>
        <v>Report Period(Perioada de Raportare):</v>
      </c>
      <c r="K3" s="717"/>
      <c r="L3" s="162" t="str">
        <f>+'Introducerea datelor'!C16</f>
        <v>P10</v>
      </c>
      <c r="M3" s="81"/>
    </row>
    <row r="4" spans="1:13">
      <c r="B4" s="23" t="str">
        <f>+'Introducerea datelor'!B12</f>
        <v>Latest Rating (Ultimul Rating):</v>
      </c>
      <c r="C4" s="858" t="str">
        <f>+IF('Introducerea datelor'!C12="Please Select","",'Introducerea datelor'!C12)</f>
        <v>A2</v>
      </c>
      <c r="D4" s="858"/>
      <c r="E4" s="708" t="str">
        <f>+'Introducerea datelor'!C8</f>
        <v>PAS Center</v>
      </c>
      <c r="F4" s="708"/>
      <c r="G4" s="708"/>
      <c r="H4" s="708"/>
      <c r="I4" s="708"/>
      <c r="J4" s="717" t="str">
        <f>+'Introducerea datelor'!D16</f>
        <v>From(De la):</v>
      </c>
      <c r="K4" s="718"/>
      <c r="L4" s="163">
        <f>+IF(ISBLANK('Introducerea datelor'!E16),"",'Introducerea datelor'!E16)</f>
        <v>41640</v>
      </c>
    </row>
    <row r="5" spans="1:13" ht="18.75" customHeight="1">
      <c r="B5" s="23"/>
      <c r="C5" s="23"/>
      <c r="D5" s="708" t="str">
        <f>+'Introducerea datelor'!G4</f>
        <v>Empowerment of people with TB and Communities in Moldova</v>
      </c>
      <c r="E5" s="708"/>
      <c r="F5" s="708"/>
      <c r="G5" s="708"/>
      <c r="H5" s="708"/>
      <c r="I5" s="708"/>
      <c r="J5" s="708"/>
      <c r="K5" s="23" t="str">
        <f>+'Introducerea datelor'!F16</f>
        <v>To(Pînă la):</v>
      </c>
      <c r="L5" s="163">
        <f>+IF(ISBLANK('Introducerea datelor'!G16),"",'Introducerea datelor'!G16)</f>
        <v>41820</v>
      </c>
    </row>
    <row r="6" spans="1:13" ht="18.75">
      <c r="B6" s="22"/>
      <c r="C6" s="23"/>
      <c r="D6" s="24"/>
      <c r="E6" s="716" t="s">
        <v>356</v>
      </c>
      <c r="F6" s="716"/>
      <c r="G6" s="716"/>
      <c r="H6" s="716"/>
      <c r="I6" s="716"/>
    </row>
    <row r="7" spans="1:13" ht="18.75">
      <c r="E7" s="68"/>
      <c r="F7" s="68"/>
      <c r="G7" s="68"/>
      <c r="H7" s="68"/>
      <c r="I7" s="68"/>
    </row>
    <row r="8" spans="1:13" s="32" customFormat="1" ht="21" customHeight="1" thickBot="1">
      <c r="B8" s="72" t="s">
        <v>117</v>
      </c>
      <c r="C8" s="72"/>
      <c r="D8" s="72"/>
      <c r="E8" s="72"/>
      <c r="F8" s="72"/>
      <c r="G8" s="72"/>
      <c r="H8" s="72"/>
      <c r="I8" s="72"/>
      <c r="J8" s="72"/>
      <c r="K8" s="72"/>
      <c r="L8" s="72"/>
    </row>
    <row r="9" spans="1:13" ht="6" customHeight="1">
      <c r="B9" s="70"/>
    </row>
    <row r="10" spans="1:13">
      <c r="B10" s="860"/>
      <c r="C10" s="861"/>
      <c r="D10" s="861"/>
      <c r="E10" s="861"/>
      <c r="F10" s="861"/>
      <c r="G10" s="861"/>
      <c r="H10" s="861"/>
      <c r="I10" s="861"/>
      <c r="J10" s="861"/>
      <c r="K10" s="861"/>
      <c r="L10" s="862"/>
    </row>
    <row r="11" spans="1:13">
      <c r="B11" s="863"/>
      <c r="C11" s="864"/>
      <c r="D11" s="864"/>
      <c r="E11" s="864"/>
      <c r="F11" s="864"/>
      <c r="G11" s="864"/>
      <c r="H11" s="864"/>
      <c r="I11" s="864"/>
      <c r="J11" s="864"/>
      <c r="K11" s="864"/>
      <c r="L11" s="865"/>
    </row>
    <row r="12" spans="1:13" ht="15.75" thickBot="1"/>
    <row r="13" spans="1:13" ht="26.25" customHeight="1" thickBot="1">
      <c r="B13" s="836" t="s">
        <v>312</v>
      </c>
      <c r="C13" s="837"/>
      <c r="D13" s="837"/>
      <c r="E13" s="838"/>
      <c r="F13" s="73"/>
      <c r="G13" s="849" t="s">
        <v>146</v>
      </c>
      <c r="H13" s="850"/>
      <c r="I13" s="850"/>
      <c r="J13" s="74" t="s">
        <v>118</v>
      </c>
      <c r="K13" s="850" t="s">
        <v>303</v>
      </c>
      <c r="L13" s="866"/>
    </row>
    <row r="14" spans="1:13">
      <c r="A14" s="851" t="s">
        <v>313</v>
      </c>
      <c r="B14" s="844"/>
      <c r="C14" s="844"/>
      <c r="D14" s="844"/>
      <c r="E14" s="845"/>
      <c r="F14" s="43"/>
      <c r="G14" s="857"/>
      <c r="H14" s="856"/>
      <c r="I14" s="856"/>
      <c r="J14" s="856"/>
      <c r="K14" s="856"/>
      <c r="L14" s="859"/>
    </row>
    <row r="15" spans="1:13">
      <c r="A15" s="852"/>
      <c r="B15" s="844"/>
      <c r="C15" s="844"/>
      <c r="D15" s="844"/>
      <c r="E15" s="845"/>
      <c r="F15" s="43"/>
      <c r="G15" s="834"/>
      <c r="H15" s="826"/>
      <c r="I15" s="826"/>
      <c r="J15" s="826"/>
      <c r="K15" s="826"/>
      <c r="L15" s="827"/>
    </row>
    <row r="16" spans="1:13">
      <c r="A16" s="852"/>
      <c r="B16" s="844"/>
      <c r="C16" s="844"/>
      <c r="D16" s="844"/>
      <c r="E16" s="845"/>
      <c r="F16" s="43"/>
      <c r="G16" s="834"/>
      <c r="H16" s="826"/>
      <c r="I16" s="826"/>
      <c r="J16" s="826"/>
      <c r="K16" s="826"/>
      <c r="L16" s="827"/>
    </row>
    <row r="17" spans="1:12">
      <c r="A17" s="852"/>
      <c r="B17" s="844"/>
      <c r="C17" s="844"/>
      <c r="D17" s="844"/>
      <c r="E17" s="845"/>
      <c r="F17" s="43"/>
      <c r="G17" s="834"/>
      <c r="H17" s="826"/>
      <c r="I17" s="826"/>
      <c r="J17" s="826"/>
      <c r="K17" s="826"/>
      <c r="L17" s="827"/>
    </row>
    <row r="18" spans="1:12">
      <c r="A18" s="852"/>
      <c r="B18" s="844"/>
      <c r="C18" s="844"/>
      <c r="D18" s="844"/>
      <c r="E18" s="845"/>
      <c r="F18" s="43"/>
      <c r="G18" s="828"/>
      <c r="H18" s="829"/>
      <c r="I18" s="830"/>
      <c r="J18" s="826"/>
      <c r="K18" s="826"/>
      <c r="L18" s="827"/>
    </row>
    <row r="19" spans="1:12" ht="30.75" customHeight="1">
      <c r="A19" s="852"/>
      <c r="B19" s="844"/>
      <c r="C19" s="844"/>
      <c r="D19" s="844"/>
      <c r="E19" s="845"/>
      <c r="F19" s="43"/>
      <c r="G19" s="820"/>
      <c r="H19" s="821"/>
      <c r="I19" s="831"/>
      <c r="J19" s="826"/>
      <c r="K19" s="826"/>
      <c r="L19" s="827"/>
    </row>
    <row r="20" spans="1:12">
      <c r="A20" s="852"/>
      <c r="B20" s="844"/>
      <c r="C20" s="844"/>
      <c r="D20" s="844"/>
      <c r="E20" s="845"/>
      <c r="F20" s="43"/>
      <c r="G20" s="834"/>
      <c r="H20" s="826"/>
      <c r="I20" s="826"/>
      <c r="J20" s="826"/>
      <c r="K20" s="826"/>
      <c r="L20" s="827"/>
    </row>
    <row r="21" spans="1:12">
      <c r="A21" s="852"/>
      <c r="B21" s="844"/>
      <c r="C21" s="844"/>
      <c r="D21" s="844"/>
      <c r="E21" s="845"/>
      <c r="F21" s="43"/>
      <c r="G21" s="834"/>
      <c r="H21" s="826"/>
      <c r="I21" s="826"/>
      <c r="J21" s="826"/>
      <c r="K21" s="826"/>
      <c r="L21" s="827"/>
    </row>
    <row r="22" spans="1:12">
      <c r="A22" s="852"/>
      <c r="B22" s="844"/>
      <c r="C22" s="844"/>
      <c r="D22" s="844"/>
      <c r="E22" s="845"/>
      <c r="F22" s="43"/>
      <c r="G22" s="834"/>
      <c r="H22" s="826"/>
      <c r="I22" s="826"/>
      <c r="J22" s="826"/>
      <c r="K22" s="826"/>
      <c r="L22" s="827"/>
    </row>
    <row r="23" spans="1:12">
      <c r="A23" s="852"/>
      <c r="B23" s="844"/>
      <c r="C23" s="844"/>
      <c r="D23" s="844"/>
      <c r="E23" s="845"/>
      <c r="F23" s="43"/>
      <c r="G23" s="834"/>
      <c r="H23" s="826"/>
      <c r="I23" s="826"/>
      <c r="J23" s="826"/>
      <c r="K23" s="826"/>
      <c r="L23" s="827"/>
    </row>
    <row r="24" spans="1:12">
      <c r="A24" s="852"/>
      <c r="B24" s="844"/>
      <c r="C24" s="844"/>
      <c r="D24" s="844"/>
      <c r="E24" s="845"/>
      <c r="F24" s="43"/>
      <c r="G24" s="834"/>
      <c r="H24" s="826"/>
      <c r="I24" s="826"/>
      <c r="J24" s="826"/>
      <c r="K24" s="826"/>
      <c r="L24" s="827"/>
    </row>
    <row r="25" spans="1:12" ht="15.75" thickBot="1">
      <c r="A25" s="853"/>
      <c r="B25" s="846"/>
      <c r="C25" s="846"/>
      <c r="D25" s="846"/>
      <c r="E25" s="847"/>
      <c r="F25" s="43"/>
      <c r="G25" s="835"/>
      <c r="H25" s="832"/>
      <c r="I25" s="832"/>
      <c r="J25" s="832"/>
      <c r="K25" s="832"/>
      <c r="L25" s="833"/>
    </row>
    <row r="27" spans="1:12" ht="18.75">
      <c r="E27" s="854" t="s">
        <v>335</v>
      </c>
      <c r="F27" s="854"/>
      <c r="G27" s="854"/>
      <c r="H27" s="854"/>
      <c r="I27" s="854"/>
    </row>
    <row r="28" spans="1:12" ht="6" customHeight="1">
      <c r="E28" s="68"/>
      <c r="F28" s="68"/>
      <c r="G28" s="68"/>
      <c r="H28" s="68"/>
      <c r="I28" s="68"/>
    </row>
    <row r="29" spans="1:12" s="32" customFormat="1" ht="21" customHeight="1" thickBot="1">
      <c r="B29" s="72" t="s">
        <v>117</v>
      </c>
      <c r="C29" s="72"/>
      <c r="D29" s="72"/>
      <c r="E29" s="72"/>
      <c r="F29" s="72"/>
      <c r="G29" s="72"/>
      <c r="H29" s="72"/>
      <c r="I29" s="72"/>
      <c r="J29" s="72"/>
      <c r="K29" s="72"/>
      <c r="L29" s="72"/>
    </row>
    <row r="30" spans="1:12" ht="6" customHeight="1" thickBot="1">
      <c r="B30" s="70"/>
    </row>
    <row r="31" spans="1:12" ht="21.75" customHeight="1" thickBot="1">
      <c r="B31" s="836" t="s">
        <v>146</v>
      </c>
      <c r="C31" s="837"/>
      <c r="D31" s="837"/>
      <c r="E31" s="838"/>
      <c r="F31" s="73"/>
      <c r="G31" s="849" t="s">
        <v>324</v>
      </c>
      <c r="H31" s="850"/>
      <c r="I31" s="850"/>
      <c r="J31" s="74" t="s">
        <v>305</v>
      </c>
      <c r="K31" s="850" t="s">
        <v>303</v>
      </c>
      <c r="L31" s="866"/>
    </row>
    <row r="32" spans="1:12" ht="14.25" customHeight="1">
      <c r="A32" s="851" t="s">
        <v>314</v>
      </c>
      <c r="B32" s="817"/>
      <c r="C32" s="818"/>
      <c r="D32" s="818"/>
      <c r="E32" s="819"/>
      <c r="F32" s="43"/>
      <c r="G32" s="855"/>
      <c r="H32" s="848"/>
      <c r="I32" s="848"/>
      <c r="J32" s="848"/>
      <c r="K32" s="848"/>
      <c r="L32" s="867"/>
    </row>
    <row r="33" spans="1:12" ht="16.5" customHeight="1">
      <c r="A33" s="852"/>
      <c r="B33" s="820"/>
      <c r="C33" s="821"/>
      <c r="D33" s="821"/>
      <c r="E33" s="822"/>
      <c r="F33" s="43"/>
      <c r="G33" s="842"/>
      <c r="H33" s="813"/>
      <c r="I33" s="813"/>
      <c r="J33" s="813"/>
      <c r="K33" s="813"/>
      <c r="L33" s="814"/>
    </row>
    <row r="34" spans="1:12">
      <c r="A34" s="852"/>
      <c r="B34" s="823" t="e">
        <f>IF(Recomandari!#REF!="","",Recomandari!#REF!)</f>
        <v>#REF!</v>
      </c>
      <c r="C34" s="824"/>
      <c r="D34" s="824"/>
      <c r="E34" s="825"/>
      <c r="F34" s="43"/>
      <c r="G34" s="842"/>
      <c r="H34" s="813"/>
      <c r="I34" s="813"/>
      <c r="J34" s="813"/>
      <c r="K34" s="813"/>
      <c r="L34" s="814"/>
    </row>
    <row r="35" spans="1:12">
      <c r="A35" s="852"/>
      <c r="B35" s="823"/>
      <c r="C35" s="824"/>
      <c r="D35" s="824"/>
      <c r="E35" s="825"/>
      <c r="F35" s="43"/>
      <c r="G35" s="842"/>
      <c r="H35" s="813"/>
      <c r="I35" s="813"/>
      <c r="J35" s="813"/>
      <c r="K35" s="813"/>
      <c r="L35" s="814"/>
    </row>
    <row r="36" spans="1:12">
      <c r="A36" s="852"/>
      <c r="B36" s="823" t="str">
        <f>+IF(Recomandari!I49="","",Recomandari!I49)</f>
        <v/>
      </c>
      <c r="C36" s="824"/>
      <c r="D36" s="824"/>
      <c r="E36" s="825"/>
      <c r="F36" s="43"/>
      <c r="G36" s="842"/>
      <c r="H36" s="813"/>
      <c r="I36" s="813"/>
      <c r="J36" s="813"/>
      <c r="K36" s="813"/>
      <c r="L36" s="814"/>
    </row>
    <row r="37" spans="1:12">
      <c r="A37" s="852"/>
      <c r="B37" s="823"/>
      <c r="C37" s="824"/>
      <c r="D37" s="824"/>
      <c r="E37" s="825"/>
      <c r="F37" s="43"/>
      <c r="G37" s="842"/>
      <c r="H37" s="813"/>
      <c r="I37" s="813"/>
      <c r="J37" s="813"/>
      <c r="K37" s="813"/>
      <c r="L37" s="814"/>
    </row>
    <row r="38" spans="1:12">
      <c r="A38" s="852"/>
      <c r="B38" s="823"/>
      <c r="C38" s="824"/>
      <c r="D38" s="824"/>
      <c r="E38" s="825"/>
      <c r="F38" s="43"/>
      <c r="G38" s="842"/>
      <c r="H38" s="813"/>
      <c r="I38" s="813"/>
      <c r="J38" s="813"/>
      <c r="K38" s="813"/>
      <c r="L38" s="814"/>
    </row>
    <row r="39" spans="1:12">
      <c r="A39" s="852"/>
      <c r="B39" s="823"/>
      <c r="C39" s="824"/>
      <c r="D39" s="824"/>
      <c r="E39" s="825"/>
      <c r="F39" s="43"/>
      <c r="G39" s="842"/>
      <c r="H39" s="813"/>
      <c r="I39" s="813"/>
      <c r="J39" s="813"/>
      <c r="K39" s="813"/>
      <c r="L39" s="814"/>
    </row>
    <row r="40" spans="1:12">
      <c r="A40" s="852"/>
      <c r="B40" s="823"/>
      <c r="C40" s="824"/>
      <c r="D40" s="824"/>
      <c r="E40" s="825"/>
      <c r="F40" s="43"/>
      <c r="G40" s="842"/>
      <c r="H40" s="813"/>
      <c r="I40" s="813"/>
      <c r="J40" s="813"/>
      <c r="K40" s="813"/>
      <c r="L40" s="814"/>
    </row>
    <row r="41" spans="1:12">
      <c r="A41" s="852"/>
      <c r="B41" s="823"/>
      <c r="C41" s="824"/>
      <c r="D41" s="824"/>
      <c r="E41" s="825"/>
      <c r="F41" s="43"/>
      <c r="G41" s="842"/>
      <c r="H41" s="813"/>
      <c r="I41" s="813"/>
      <c r="J41" s="813"/>
      <c r="K41" s="813"/>
      <c r="L41" s="814"/>
    </row>
    <row r="42" spans="1:12">
      <c r="A42" s="852"/>
      <c r="B42" s="823"/>
      <c r="C42" s="824"/>
      <c r="D42" s="824"/>
      <c r="E42" s="825"/>
      <c r="F42" s="43"/>
      <c r="G42" s="842"/>
      <c r="H42" s="813"/>
      <c r="I42" s="813"/>
      <c r="J42" s="813"/>
      <c r="K42" s="813"/>
      <c r="L42" s="814"/>
    </row>
    <row r="43" spans="1:12" ht="15.75" thickBot="1">
      <c r="A43" s="853"/>
      <c r="B43" s="839"/>
      <c r="C43" s="840"/>
      <c r="D43" s="840"/>
      <c r="E43" s="841"/>
      <c r="F43" s="43"/>
      <c r="G43" s="843"/>
      <c r="H43" s="815"/>
      <c r="I43" s="815"/>
      <c r="J43" s="815"/>
      <c r="K43" s="815"/>
      <c r="L43" s="816"/>
    </row>
  </sheetData>
  <mergeCells count="67">
    <mergeCell ref="K36:L37"/>
    <mergeCell ref="K22:L23"/>
    <mergeCell ref="K38:L39"/>
    <mergeCell ref="K32:L33"/>
    <mergeCell ref="K40:L41"/>
    <mergeCell ref="K31:L31"/>
    <mergeCell ref="K34:L35"/>
    <mergeCell ref="B2:L2"/>
    <mergeCell ref="C4:D4"/>
    <mergeCell ref="K14:L15"/>
    <mergeCell ref="K16:L17"/>
    <mergeCell ref="E3:I3"/>
    <mergeCell ref="J3:K3"/>
    <mergeCell ref="E4:I4"/>
    <mergeCell ref="J4:K4"/>
    <mergeCell ref="C3:D3"/>
    <mergeCell ref="G13:I13"/>
    <mergeCell ref="D5:J5"/>
    <mergeCell ref="B13:E13"/>
    <mergeCell ref="E6:I6"/>
    <mergeCell ref="B10:L11"/>
    <mergeCell ref="K13:L13"/>
    <mergeCell ref="J42:J43"/>
    <mergeCell ref="G40:I41"/>
    <mergeCell ref="B38:E39"/>
    <mergeCell ref="J36:J37"/>
    <mergeCell ref="J40:J41"/>
    <mergeCell ref="J38:J39"/>
    <mergeCell ref="B36:E37"/>
    <mergeCell ref="G36:I37"/>
    <mergeCell ref="A14:A25"/>
    <mergeCell ref="J18:J19"/>
    <mergeCell ref="J16:J17"/>
    <mergeCell ref="J14:J15"/>
    <mergeCell ref="B16:E17"/>
    <mergeCell ref="G14:I15"/>
    <mergeCell ref="B22:E23"/>
    <mergeCell ref="B20:E21"/>
    <mergeCell ref="J20:J21"/>
    <mergeCell ref="B14:E15"/>
    <mergeCell ref="J22:J23"/>
    <mergeCell ref="G16:I17"/>
    <mergeCell ref="B18:E19"/>
    <mergeCell ref="J24:J25"/>
    <mergeCell ref="G22:I23"/>
    <mergeCell ref="A32:A43"/>
    <mergeCell ref="E27:I27"/>
    <mergeCell ref="G38:I39"/>
    <mergeCell ref="G32:I33"/>
    <mergeCell ref="B40:E41"/>
    <mergeCell ref="G34:I35"/>
    <mergeCell ref="J34:J35"/>
    <mergeCell ref="K42:L43"/>
    <mergeCell ref="B32:E33"/>
    <mergeCell ref="B34:E35"/>
    <mergeCell ref="K18:L19"/>
    <mergeCell ref="G18:I19"/>
    <mergeCell ref="K24:L25"/>
    <mergeCell ref="G24:I25"/>
    <mergeCell ref="B31:E31"/>
    <mergeCell ref="B42:E43"/>
    <mergeCell ref="G42:I43"/>
    <mergeCell ref="B24:E25"/>
    <mergeCell ref="K20:L21"/>
    <mergeCell ref="J32:J33"/>
    <mergeCell ref="G31:I31"/>
    <mergeCell ref="G20:I21"/>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r:id="rId1"/>
  <headerFooter alignWithMargins="0">
    <oddFooter>&amp;L&amp;F&amp;C&amp;A&amp;RV1.0          &amp;D</oddFooter>
  </headerFooter>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Meniu</vt:lpstr>
      <vt:lpstr>Lista Indicatorilor</vt:lpstr>
      <vt:lpstr>Introducerea datelor</vt:lpstr>
      <vt:lpstr>Detalii despre Grant</vt:lpstr>
      <vt:lpstr>Financiar</vt:lpstr>
      <vt:lpstr>Management</vt:lpstr>
      <vt:lpstr>Programatic</vt:lpstr>
      <vt:lpstr>Recomandari</vt:lpstr>
      <vt:lpstr>Actions</vt:lpstr>
      <vt:lpstr>Setup</vt:lpstr>
      <vt:lpstr>Component</vt:lpstr>
      <vt:lpstr>Countries</vt:lpstr>
      <vt:lpstr>Currency</vt:lpstr>
      <vt:lpstr>LFA</vt:lpstr>
      <vt:lpstr>Medicaments</vt:lpstr>
      <vt:lpstr>PERIOD</vt:lpstr>
      <vt:lpstr>Phase</vt:lpstr>
      <vt:lpstr>Actions!Print_Area</vt:lpstr>
      <vt:lpstr>Financiar!Print_Area</vt:lpstr>
      <vt:lpstr>Management!Print_Area</vt:lpstr>
      <vt:lpstr>Programatic!Print_Area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RePack by Diakov</cp:lastModifiedBy>
  <cp:lastPrinted>2014-06-09T10:06:06Z</cp:lastPrinted>
  <dcterms:created xsi:type="dcterms:W3CDTF">2008-11-20T16:06:13Z</dcterms:created>
  <dcterms:modified xsi:type="dcterms:W3CDTF">2014-10-26T23:06:35Z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835584</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y fmtid="{D5CDD505-2E9C-101B-9397-08002B2CF9AE}" pid="23" name="Nr">
    <vt:lpwstr/>
  </property>
  <property fmtid="{D5CDD505-2E9C-101B-9397-08002B2CF9AE}" pid="24" name="PublishingExpirationDate">
    <vt:lpwstr/>
  </property>
  <property fmtid="{D5CDD505-2E9C-101B-9397-08002B2CF9AE}" pid="25" name="PublishingStartDate">
    <vt:lpwstr/>
  </property>
</Properties>
</file>