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D:\Documents\DANA\CURRENT WORK\1_SSF HIV-SIDA\REPORTS\OUT\2014\Q2 2014\dashboard\"/>
    </mc:Choice>
  </mc:AlternateContent>
  <bookViews>
    <workbookView xWindow="0" yWindow="0" windowWidth="28800" windowHeight="13725" tabRatio="721" activeTab="8"/>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Financiar!$A$2:$K$31</definedName>
    <definedName name="_xlnm.Print_Area" localSheetId="2">'Introducerea datelor'!$A$1:$S$149</definedName>
    <definedName name="_xlnm.Print_Area" localSheetId="5">Management!$A$1:$M$34</definedName>
    <definedName name="_xlnm.Print_Area" localSheetId="6">Programatic!$A$1:$Q$30</definedName>
    <definedName name="PrintA">Actions!$A$2:$L$34</definedName>
    <definedName name="PrintDataF">'Introducerea datelor'!$B$25:$J$65</definedName>
    <definedName name="PrintDataM">'Introducerea datelor'!$B$67:$H$111</definedName>
    <definedName name="PrintF">Financiar!$A$2:$K$31</definedName>
    <definedName name="PrintGD">'Detalii despre Grant'!$A$2:$J$13</definedName>
    <definedName name="PrintM" localSheetId="8">Actions!$A$2:$L$6</definedName>
    <definedName name="PrintM">Management!$A$2:$L$36</definedName>
    <definedName name="PrintP">Programatic!$A$2:$P$30</definedName>
    <definedName name="PrintR">Recomandari!$A$2:$N$41</definedName>
    <definedName name="Rating">Setup!$G$9:$G$14</definedName>
    <definedName name="Round">Setup!$D$9:$D$21</definedName>
  </definedNames>
  <calcPr calcId="152511"/>
</workbook>
</file>

<file path=xl/calcChain.xml><?xml version="1.0" encoding="utf-8"?>
<calcChain xmlns="http://schemas.openxmlformats.org/spreadsheetml/2006/main">
  <c r="G20" i="37" l="1"/>
  <c r="G21" i="37"/>
  <c r="D38" i="42" l="1"/>
  <c r="D24" i="42" l="1"/>
  <c r="G22" i="37"/>
  <c r="O144" i="29"/>
  <c r="H97" i="29" l="1"/>
  <c r="H96" i="29"/>
  <c r="H95" i="29"/>
  <c r="G97" i="29"/>
  <c r="G96" i="29"/>
  <c r="G95" i="29"/>
  <c r="F97" i="29"/>
  <c r="F96" i="29"/>
  <c r="F95" i="29"/>
  <c r="E97" i="29"/>
  <c r="E96" i="29"/>
  <c r="E95" i="29"/>
  <c r="D97" i="29"/>
  <c r="D96" i="29"/>
  <c r="D95" i="29"/>
  <c r="C97" i="29"/>
  <c r="C96" i="29"/>
  <c r="C95" i="29"/>
  <c r="C40" i="29" l="1"/>
  <c r="F31" i="29"/>
  <c r="C32" i="29"/>
  <c r="D39" i="29" l="1"/>
  <c r="D40" i="29"/>
  <c r="D41" i="29"/>
  <c r="D42" i="29"/>
  <c r="D43" i="29"/>
  <c r="C44" i="29"/>
  <c r="C42" i="29"/>
  <c r="C41" i="29"/>
  <c r="C39" i="29"/>
  <c r="H32" i="29"/>
  <c r="G32" i="29"/>
  <c r="F32" i="29"/>
  <c r="E32" i="29"/>
  <c r="H31" i="29"/>
  <c r="G31" i="29"/>
  <c r="E31" i="29"/>
  <c r="D31" i="29"/>
  <c r="C31" i="29"/>
  <c r="D44" i="29" l="1"/>
  <c r="D45" i="29"/>
  <c r="I6" i="29"/>
  <c r="J96" i="29" l="1"/>
  <c r="D23" i="42" l="1"/>
  <c r="D29" i="42"/>
  <c r="C47" i="29" l="1"/>
  <c r="D47" i="29"/>
  <c r="B28" i="37"/>
  <c r="D39" i="42"/>
  <c r="Q3" i="37" l="1"/>
  <c r="G24" i="37" l="1"/>
  <c r="G23" i="37"/>
  <c r="B21" i="37"/>
  <c r="K27" i="30" l="1"/>
  <c r="C4" i="37"/>
  <c r="B32" i="29" l="1"/>
  <c r="B31" i="29"/>
  <c r="E51" i="29"/>
  <c r="D38" i="29"/>
  <c r="C38" i="29"/>
  <c r="B143" i="29"/>
  <c r="G25" i="37"/>
  <c r="B22" i="45"/>
  <c r="C33" i="29"/>
  <c r="D33" i="29" s="1"/>
  <c r="R30" i="29" s="1"/>
  <c r="B2" i="45"/>
  <c r="B2" i="39"/>
  <c r="B2" i="42"/>
  <c r="B2" i="37"/>
  <c r="B2" i="35"/>
  <c r="K5" i="30"/>
  <c r="K4" i="30"/>
  <c r="L5" i="35"/>
  <c r="L4" i="35"/>
  <c r="Q5" i="37"/>
  <c r="Q4" i="37"/>
  <c r="M5" i="42"/>
  <c r="M4" i="42"/>
  <c r="L5" i="39"/>
  <c r="L4" i="39"/>
  <c r="C4" i="39"/>
  <c r="C3" i="39"/>
  <c r="B3" i="39"/>
  <c r="C4" i="42"/>
  <c r="C3" i="42"/>
  <c r="B3" i="42"/>
  <c r="C3" i="37"/>
  <c r="B3" i="37"/>
  <c r="C4" i="35"/>
  <c r="C3" i="35"/>
  <c r="B3" i="35"/>
  <c r="C4" i="30"/>
  <c r="C3" i="30"/>
  <c r="B3" i="30"/>
  <c r="B2" i="30"/>
  <c r="I9" i="27"/>
  <c r="G9" i="27"/>
  <c r="G13" i="27"/>
  <c r="G11" i="27"/>
  <c r="D11" i="27"/>
  <c r="B12" i="27"/>
  <c r="D10" i="27"/>
  <c r="B10" i="27"/>
  <c r="B9" i="27"/>
  <c r="B6" i="27"/>
  <c r="B3" i="27"/>
  <c r="B3" i="32" s="1"/>
  <c r="B4" i="1"/>
  <c r="E90" i="29"/>
  <c r="E89" i="29"/>
  <c r="C34" i="29"/>
  <c r="D34" i="29" s="1"/>
  <c r="E34" i="29" s="1"/>
  <c r="F34" i="29" s="1"/>
  <c r="G34" i="29" s="1"/>
  <c r="H34" i="29" s="1"/>
  <c r="I34" i="29" s="1"/>
  <c r="J34" i="29" s="1"/>
  <c r="K34" i="29" s="1"/>
  <c r="D11" i="42"/>
  <c r="J3" i="35"/>
  <c r="L3" i="35"/>
  <c r="I3" i="30"/>
  <c r="K3" i="30"/>
  <c r="D33" i="42"/>
  <c r="D34" i="42"/>
  <c r="D35" i="42"/>
  <c r="D36" i="42"/>
  <c r="D37" i="42"/>
  <c r="D40" i="42"/>
  <c r="D41" i="42"/>
  <c r="D32" i="42"/>
  <c r="D31" i="42"/>
  <c r="D30" i="42"/>
  <c r="E109" i="29"/>
  <c r="G109" i="29" s="1"/>
  <c r="I109" i="29" s="1"/>
  <c r="E108" i="29"/>
  <c r="G108" i="29" s="1"/>
  <c r="I108" i="29" s="1"/>
  <c r="E110" i="29"/>
  <c r="G110" i="29" s="1"/>
  <c r="I110" i="29" s="1"/>
  <c r="E111" i="29"/>
  <c r="G111" i="29" s="1"/>
  <c r="I111" i="29" s="1"/>
  <c r="K30" i="35"/>
  <c r="K31" i="35"/>
  <c r="K32" i="35"/>
  <c r="K33" i="35"/>
  <c r="L144" i="29"/>
  <c r="M144" i="29"/>
  <c r="N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L33" i="29"/>
  <c r="L35" i="29" s="1"/>
  <c r="M33" i="29"/>
  <c r="M35" i="29" s="1"/>
  <c r="N33" i="29"/>
  <c r="N35" i="29" s="1"/>
  <c r="L34" i="29"/>
  <c r="M34" i="29"/>
  <c r="N34" i="29"/>
  <c r="H29" i="30"/>
  <c r="H28" i="30"/>
  <c r="H27" i="30"/>
  <c r="D22" i="42"/>
  <c r="D21" i="42"/>
  <c r="D20" i="42"/>
  <c r="D19" i="42"/>
  <c r="D14" i="42"/>
  <c r="D13" i="42"/>
  <c r="D12" i="42"/>
  <c r="B25" i="45"/>
  <c r="B23" i="45"/>
  <c r="B21" i="45"/>
  <c r="B20" i="45"/>
  <c r="B19" i="45"/>
  <c r="B11" i="45"/>
  <c r="B10" i="45"/>
  <c r="B9" i="45"/>
  <c r="B8" i="45"/>
  <c r="B4" i="37"/>
  <c r="B4" i="35"/>
  <c r="B4" i="30"/>
  <c r="G73" i="29"/>
  <c r="E20" i="42" s="1"/>
  <c r="G12" i="27"/>
  <c r="H4" i="1"/>
  <c r="K148" i="29"/>
  <c r="K147" i="29"/>
  <c r="K146" i="29"/>
  <c r="K145" i="29"/>
  <c r="K144" i="29"/>
  <c r="K143" i="29"/>
  <c r="C98" i="29"/>
  <c r="D98" i="29" s="1"/>
  <c r="E98" i="29" s="1"/>
  <c r="F98" i="29" s="1"/>
  <c r="G98" i="29" s="1"/>
  <c r="H98" i="29" s="1"/>
  <c r="I98" i="29" s="1"/>
  <c r="J98" i="29" s="1"/>
  <c r="K98" i="29" s="1"/>
  <c r="L98" i="29" s="1"/>
  <c r="M98" i="29" s="1"/>
  <c r="N98" i="29" s="1"/>
  <c r="G72" i="29"/>
  <c r="K28" i="30"/>
  <c r="J28" i="30"/>
  <c r="K29" i="30"/>
  <c r="J29" i="30"/>
  <c r="E53" i="29"/>
  <c r="E52" i="29"/>
  <c r="B4" i="39"/>
  <c r="D5" i="39"/>
  <c r="E4" i="39"/>
  <c r="K5" i="39"/>
  <c r="J4" i="39"/>
  <c r="L3" i="39"/>
  <c r="J3" i="39"/>
  <c r="L5" i="42"/>
  <c r="L4" i="42"/>
  <c r="E5" i="42"/>
  <c r="E4" i="42"/>
  <c r="B4" i="42"/>
  <c r="M3" i="42"/>
  <c r="L3" i="42"/>
  <c r="E4" i="37"/>
  <c r="H30" i="35"/>
  <c r="I33" i="35"/>
  <c r="I32" i="35"/>
  <c r="I31" i="35"/>
  <c r="I30" i="35"/>
  <c r="B26" i="35"/>
  <c r="B13" i="27"/>
  <c r="B11" i="27"/>
  <c r="G10" i="27"/>
  <c r="D9" i="27"/>
  <c r="F6" i="27"/>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7" i="37"/>
  <c r="B26" i="37"/>
  <c r="B25" i="37"/>
  <c r="B24" i="37"/>
  <c r="S142" i="29"/>
  <c r="R142" i="29"/>
  <c r="Q142" i="29"/>
  <c r="P142" i="29"/>
  <c r="O142" i="29"/>
  <c r="B23" i="37"/>
  <c r="B22" i="37"/>
  <c r="E55" i="29"/>
  <c r="N142" i="29"/>
  <c r="M142" i="29"/>
  <c r="L142" i="29"/>
  <c r="K142" i="29"/>
  <c r="J142" i="29"/>
  <c r="I142" i="29"/>
  <c r="H142" i="29"/>
  <c r="B36" i="39"/>
  <c r="B34" i="39"/>
  <c r="E54" i="29"/>
  <c r="B34" i="35"/>
  <c r="R29" i="29"/>
  <c r="Z25" i="37"/>
  <c r="AA25" i="37" s="1"/>
  <c r="Z24" i="37"/>
  <c r="AA24" i="37" s="1"/>
  <c r="Z23" i="37"/>
  <c r="AA23" i="37" s="1"/>
  <c r="AF22" i="37"/>
  <c r="AE22" i="37"/>
  <c r="AD22" i="37"/>
  <c r="AC22" i="37"/>
  <c r="AB22" i="37"/>
  <c r="T22" i="37"/>
  <c r="U22" i="37"/>
  <c r="V22" i="37"/>
  <c r="W22" i="37"/>
  <c r="X22" i="37"/>
  <c r="T23" i="37"/>
  <c r="U23" i="37"/>
  <c r="V23" i="37"/>
  <c r="W23" i="37"/>
  <c r="X23" i="37"/>
  <c r="T24" i="37"/>
  <c r="U24" i="37"/>
  <c r="V24" i="37"/>
  <c r="W24" i="37"/>
  <c r="X24" i="37"/>
  <c r="T25" i="37"/>
  <c r="U25" i="37"/>
  <c r="V25" i="37"/>
  <c r="W25" i="37"/>
  <c r="X25" i="37"/>
  <c r="T26" i="37"/>
  <c r="U26" i="37"/>
  <c r="V26" i="37"/>
  <c r="W26" i="37"/>
  <c r="X26" i="37"/>
  <c r="U29" i="37"/>
  <c r="T27" i="37"/>
  <c r="U27" i="37"/>
  <c r="V27" i="37"/>
  <c r="W27" i="37"/>
  <c r="X27" i="37"/>
  <c r="T30" i="37"/>
  <c r="T28" i="37"/>
  <c r="U28" i="37"/>
  <c r="V28" i="37"/>
  <c r="W28" i="37"/>
  <c r="X28" i="37"/>
  <c r="B29" i="37"/>
  <c r="T29" i="37"/>
  <c r="V29" i="37"/>
  <c r="X29" i="37"/>
  <c r="B30" i="37"/>
  <c r="T31" i="37"/>
  <c r="U30" i="37"/>
  <c r="W30" i="37"/>
  <c r="U31" i="37"/>
  <c r="W31" i="37"/>
  <c r="T32" i="37"/>
  <c r="U32" i="37"/>
  <c r="V32" i="37"/>
  <c r="W32" i="37"/>
  <c r="X32" i="37"/>
  <c r="T33" i="37"/>
  <c r="U33" i="37"/>
  <c r="V33" i="37"/>
  <c r="W33" i="37"/>
  <c r="X33" i="37"/>
  <c r="X31" i="37"/>
  <c r="V31" i="37"/>
  <c r="X30" i="37"/>
  <c r="V30" i="37"/>
  <c r="W29" i="37"/>
  <c r="C35" i="29"/>
  <c r="G27" i="37"/>
  <c r="H26" i="35" l="1"/>
  <c r="B7" i="35"/>
  <c r="H7" i="35"/>
  <c r="H15" i="35"/>
  <c r="B15" i="35"/>
  <c r="H22" i="30"/>
  <c r="K109" i="29"/>
  <c r="L31" i="35" s="1"/>
  <c r="J31" i="35"/>
  <c r="J32" i="35"/>
  <c r="K110" i="29"/>
  <c r="L32" i="35" s="1"/>
  <c r="J33" i="35"/>
  <c r="K111" i="29"/>
  <c r="L33" i="35" s="1"/>
  <c r="K108" i="29"/>
  <c r="L30" i="35" s="1"/>
  <c r="J30" i="35"/>
  <c r="D35" i="29"/>
  <c r="Q51" i="29"/>
  <c r="E33" i="29"/>
  <c r="F20" i="42"/>
  <c r="B2" i="1"/>
  <c r="AF23" i="37"/>
  <c r="AB23" i="37"/>
  <c r="AC23" i="37"/>
  <c r="B8" i="30"/>
  <c r="AB25" i="37"/>
  <c r="AC25" i="37"/>
  <c r="AE25" i="37"/>
  <c r="AF25" i="37"/>
  <c r="AD25" i="37"/>
  <c r="AE23" i="37"/>
  <c r="H8" i="30"/>
  <c r="AD23" i="37"/>
  <c r="G26" i="37"/>
  <c r="G28" i="37"/>
  <c r="G30" i="37"/>
  <c r="AB24" i="37"/>
  <c r="AC24" i="37"/>
  <c r="AE24" i="37"/>
  <c r="AF24" i="37"/>
  <c r="AD24" i="37"/>
  <c r="B22" i="30"/>
  <c r="F33" i="29" l="1"/>
  <c r="E35" i="29"/>
  <c r="R31" i="29"/>
  <c r="G33" i="29" l="1"/>
  <c r="R32" i="29"/>
  <c r="F35" i="29"/>
  <c r="H33" i="29" l="1"/>
  <c r="I33" i="29" s="1"/>
  <c r="J33" i="29" s="1"/>
  <c r="R33" i="29"/>
  <c r="G35" i="29"/>
  <c r="J35" i="29" l="1"/>
  <c r="K33" i="29"/>
  <c r="F47" i="29" s="1"/>
  <c r="R49" i="29"/>
  <c r="R35" i="29"/>
  <c r="I35" i="29"/>
  <c r="R34" i="29"/>
  <c r="H35" i="29"/>
  <c r="K35" i="29" l="1"/>
  <c r="O31" i="29" s="1"/>
  <c r="R50" i="29"/>
</calcChain>
</file>

<file path=xl/comments1.xml><?xml version="1.0" encoding="utf-8"?>
<comments xmlns="http://schemas.openxmlformats.org/spreadsheetml/2006/main">
  <authors>
    <author>mgleixner</author>
    <author>molszak</author>
    <author>F station</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charset val="204"/>
          </rPr>
          <t xml:space="preserve">If data are not available, do not enter zeros; rather, leave the cells in the table blank. </t>
        </r>
      </text>
    </comment>
    <comment ref="B73" authorId="1" shapeId="0">
      <text>
        <r>
          <rPr>
            <b/>
            <sz val="8"/>
            <color indexed="81"/>
            <rFont val="Tahoma"/>
            <family val="2"/>
            <charset val="204"/>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 ref="N126" authorId="2" shapeId="0">
      <text>
        <r>
          <rPr>
            <b/>
            <sz val="9"/>
            <color indexed="81"/>
            <rFont val="Tahoma"/>
            <family val="2"/>
            <charset val="204"/>
          </rPr>
          <t>F station:</t>
        </r>
        <r>
          <rPr>
            <sz val="9"/>
            <color indexed="81"/>
            <rFont val="Tahoma"/>
            <family val="2"/>
            <charset val="204"/>
          </rPr>
          <t xml:space="preserve">
incepind cu a. 2013 indicatorul este cumulativ anual</t>
        </r>
      </text>
    </comment>
    <comment ref="N128" authorId="2" shapeId="0">
      <text>
        <r>
          <rPr>
            <b/>
            <sz val="9"/>
            <color indexed="81"/>
            <rFont val="Tahoma"/>
            <family val="2"/>
            <charset val="204"/>
          </rPr>
          <t>F station:</t>
        </r>
        <r>
          <rPr>
            <sz val="9"/>
            <color indexed="81"/>
            <rFont val="Tahoma"/>
            <family val="2"/>
            <charset val="204"/>
          </rPr>
          <t xml:space="preserve">
incepind cu a. 2013 indicatorul este cumulativ anual</t>
        </r>
      </text>
    </comment>
    <comment ref="N130" authorId="2" shapeId="0">
      <text>
        <r>
          <rPr>
            <b/>
            <sz val="9"/>
            <color indexed="81"/>
            <rFont val="Tahoma"/>
            <family val="2"/>
            <charset val="204"/>
          </rPr>
          <t>F station:</t>
        </r>
        <r>
          <rPr>
            <sz val="9"/>
            <color indexed="81"/>
            <rFont val="Tahoma"/>
            <family val="2"/>
            <charset val="204"/>
          </rPr>
          <t xml:space="preserve">
incepind cu a. 2013 indicatorul este cumulativ anual</t>
        </r>
      </text>
    </comment>
    <comment ref="N132" authorId="2" shapeId="0">
      <text>
        <r>
          <rPr>
            <b/>
            <sz val="9"/>
            <color indexed="81"/>
            <rFont val="Tahoma"/>
            <family val="2"/>
            <charset val="204"/>
          </rPr>
          <t>F station:</t>
        </r>
        <r>
          <rPr>
            <sz val="9"/>
            <color indexed="81"/>
            <rFont val="Tahoma"/>
            <family val="2"/>
            <charset val="204"/>
          </rPr>
          <t xml:space="preserve">
incepind cu a. 2013 indicatorul este cumulativ anual</t>
        </r>
      </text>
    </comment>
  </commentList>
</comments>
</file>

<file path=xl/comments2.xml><?xml version="1.0" encoding="utf-8"?>
<comments xmlns="http://schemas.openxmlformats.org/spreadsheetml/2006/main">
  <authors>
    <author>F station</author>
  </authors>
  <commentList>
    <comment ref="I11" authorId="0" shapeId="0">
      <text>
        <r>
          <rPr>
            <b/>
            <sz val="9"/>
            <color indexed="81"/>
            <rFont val="Tahoma"/>
            <family val="2"/>
            <charset val="204"/>
          </rPr>
          <t>F station:</t>
        </r>
        <r>
          <rPr>
            <sz val="9"/>
            <color indexed="81"/>
            <rFont val="Tahoma"/>
            <family val="2"/>
            <charset val="204"/>
          </rPr>
          <t xml:space="preserve">
ultimul rating acordat de FG pentru performanta programatica a fost pentru semestrul II 2013</t>
        </r>
      </text>
    </comment>
  </commentList>
</comments>
</file>

<file path=xl/sharedStrings.xml><?xml version="1.0" encoding="utf-8"?>
<sst xmlns="http://schemas.openxmlformats.org/spreadsheetml/2006/main" count="673" uniqueCount="544">
  <si>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</si>
  <si>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</si>
  <si>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</si>
  <si>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</si>
  <si>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</si>
  <si>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</si>
  <si>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</si>
  <si>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</si>
  <si>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</si>
  <si>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</si>
  <si>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</si>
  <si>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</si>
  <si>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</si>
  <si>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</si>
  <si>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</si>
  <si>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</si>
  <si>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</si>
  <si>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</si>
  <si>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</si>
  <si>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</si>
  <si>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</si>
  <si>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</si>
  <si>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</si>
  <si>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</si>
  <si>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</si>
  <si>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</si>
  <si>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</si>
  <si>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</si>
  <si>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</si>
  <si>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</si>
  <si>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</si>
  <si>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</si>
  <si>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</si>
  <si>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</si>
  <si>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</si>
  <si>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</si>
  <si>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</si>
  <si>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</si>
  <si>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</si>
  <si>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</si>
  <si>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</si>
  <si>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</si>
  <si>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</si>
  <si>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</si>
  <si>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</si>
  <si>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</si>
  <si>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</si>
  <si>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</si>
  <si>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</si>
  <si>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</si>
  <si>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</si>
  <si>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</si>
  <si>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</si>
  <si>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</si>
  <si>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</si>
  <si>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</si>
  <si>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</si>
  <si>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</si>
  <si>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</si>
  <si>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</si>
  <si>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</si>
  <si>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</si>
  <si>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</si>
  <si>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</si>
  <si>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</si>
  <si>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</si>
  <si>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</si>
  <si>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</si>
  <si>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</si>
  <si>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</si>
  <si>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</si>
  <si>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</si>
  <si>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</si>
  <si>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</si>
  <si>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</si>
  <si>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</si>
  <si>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</si>
  <si>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</si>
  <si>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</si>
  <si>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</si>
  <si>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</si>
  <si>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</si>
  <si>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</si>
  <si>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</si>
  <si>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</si>
  <si>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</si>
  <si>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</si>
  <si>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</si>
  <si>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</si>
  <si>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</si>
  <si>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</si>
  <si>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</si>
  <si>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</si>
  <si>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</si>
  <si>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</si>
  <si>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</si>
  <si>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</si>
  <si>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</si>
  <si>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</si>
  <si>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</si>
  <si>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</si>
  <si>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</si>
  <si>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</si>
  <si>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</si>
  <si>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</si>
  <si>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</si>
  <si>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</si>
  <si>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</si>
  <si>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</si>
  <si>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</si>
  <si>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</si>
  <si>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</si>
  <si>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</si>
  <si>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</si>
  <si>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</si>
  <si>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</si>
  <si>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</si>
  <si>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</si>
  <si>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</si>
  <si>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</si>
  <si>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</si>
  <si>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</si>
  <si>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</si>
  <si>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</si>
  <si>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</si>
  <si>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</si>
  <si>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</si>
  <si>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</si>
  <si>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</si>
  <si>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</si>
  <si>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</si>
  <si>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</si>
  <si>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</si>
  <si>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</si>
  <si>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</si>
  <si>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</si>
  <si>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</si>
  <si>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</si>
  <si>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</si>
  <si>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</si>
  <si>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</si>
  <si>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</si>
  <si>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</si>
  <si>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</si>
  <si>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</si>
  <si>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</si>
  <si>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</si>
  <si>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</si>
  <si>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</si>
  <si>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</si>
  <si>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</si>
  <si>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</si>
  <si>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</si>
  <si>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</si>
  <si>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</si>
  <si>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</si>
  <si>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</si>
  <si>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</si>
  <si>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</si>
  <si>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</si>
  <si>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</si>
  <si>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</si>
  <si>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</si>
  <si>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</si>
  <si>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</si>
  <si>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</si>
  <si>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</si>
  <si>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</si>
  <si>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</si>
  <si>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</si>
  <si>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</si>
  <si>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</si>
  <si>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</si>
  <si>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</si>
  <si>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</si>
  <si>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</si>
  <si>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</si>
  <si>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</si>
  <si>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</si>
  <si>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</si>
  <si>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</si>
  <si>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</si>
  <si>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</si>
  <si>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</si>
  <si>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</si>
  <si>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</si>
  <si>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</si>
  <si>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</si>
  <si>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</si>
  <si>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</si>
  <si>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</si>
  <si>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</si>
  <si>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</si>
  <si>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</si>
  <si>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</si>
  <si>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</si>
  <si>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</si>
  <si>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</si>
  <si>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</si>
  <si>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</si>
  <si>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</si>
  <si>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</si>
  <si>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</si>
  <si>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</si>
  <si>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</si>
  <si>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</si>
  <si>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</si>
  <si>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</si>
  <si>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</si>
  <si>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</si>
  <si>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</si>
  <si>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</si>
  <si>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</si>
  <si>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</si>
  <si>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</si>
  <si>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</si>
  <si>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</si>
  <si>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</si>
  <si>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</si>
  <si>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</si>
  <si>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</si>
  <si>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</si>
  <si>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</si>
  <si>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</si>
  <si>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</si>
  <si>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</si>
  <si>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</si>
  <si>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</si>
  <si>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</si>
  <si>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</si>
  <si>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</si>
  <si>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</si>
  <si>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</si>
  <si>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</si>
  <si>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</si>
  <si>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</si>
  <si>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</si>
  <si>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</si>
  <si>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</si>
  <si>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</si>
  <si>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</si>
  <si>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</si>
  <si>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</si>
  <si>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</si>
  <si>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</si>
  <si>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</si>
  <si>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</si>
  <si>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</si>
  <si>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Principal Recipient:</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</si>
  <si>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</si>
  <si>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</si>
  <si>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</si>
  <si>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</si>
  <si>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</si>
  <si>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</si>
  <si>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</si>
  <si>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</si>
  <si>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</si>
  <si>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</si>
  <si>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</si>
  <si>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</si>
  <si>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</si>
  <si>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</si>
  <si>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</si>
  <si>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</si>
  <si>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</si>
  <si>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</si>
  <si>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Person Responsible</t>
  </si>
  <si>
    <t>LFA</t>
  </si>
  <si>
    <t xml:space="preserve">Date </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</si>
  <si>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</si>
  <si>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</si>
  <si>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</si>
  <si>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</si>
  <si>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</si>
  <si>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</si>
  <si>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Key Recommendations from Oversight Group(s)</t>
  </si>
  <si>
    <t>Current  Reporting  Period</t>
  </si>
  <si>
    <t>Previous  Reporting  Period</t>
  </si>
  <si>
    <t xml:space="preserve">Last fund disbursement: Calendar days </t>
  </si>
  <si>
    <t>E-PAP</t>
  </si>
  <si>
    <t>Al/Lum</t>
  </si>
  <si>
    <t>TB nutri'l supplements</t>
  </si>
  <si>
    <t>Recommendations</t>
  </si>
  <si>
    <t>P1 - trend</t>
  </si>
  <si>
    <t>P2 - trend</t>
  </si>
  <si>
    <t>P3 - trend</t>
  </si>
  <si>
    <t>Set-up = List of validation for Grant Detail page</t>
  </si>
  <si>
    <t>Action Taken</t>
  </si>
  <si>
    <t>Phase:</t>
  </si>
  <si>
    <t>Round:</t>
  </si>
  <si>
    <t>Code</t>
  </si>
  <si>
    <t>Grant No.</t>
  </si>
  <si>
    <t>Total Funding</t>
  </si>
  <si>
    <t>Difference between current stock and safety stock</t>
  </si>
  <si>
    <t>Months of safety stock</t>
  </si>
  <si>
    <t>0% - 59%</t>
  </si>
  <si>
    <t>60% - 89%</t>
  </si>
  <si>
    <t>&gt; 90%</t>
  </si>
  <si>
    <t>Actions to Implement / Previous Period</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</si>
  <si>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</si>
  <si>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</si>
  <si>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</si>
  <si>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</si>
  <si>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</si>
  <si>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</si>
  <si>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</si>
  <si>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</si>
  <si>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</si>
  <si>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</si>
  <si>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</si>
  <si>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</si>
  <si>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</si>
  <si>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</si>
  <si>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</si>
  <si>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</si>
  <si>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</si>
  <si>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</si>
  <si>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</si>
  <si>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</si>
  <si>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Decisions and Actions</t>
  </si>
  <si>
    <t>Please Select</t>
  </si>
  <si>
    <t>TOP 3</t>
  </si>
  <si>
    <t>SSR to SR</t>
  </si>
  <si>
    <t>SRs to PR</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</si>
  <si>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</si>
  <si>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</si>
  <si>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</si>
  <si>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</si>
  <si>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</si>
  <si>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 xml:space="preserve">Financial Information: </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</si>
  <si>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</si>
  <si>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</si>
  <si>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</si>
  <si>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</si>
  <si>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</si>
  <si>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</si>
  <si>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</si>
  <si>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Impact</t>
  </si>
  <si>
    <t>1,2,3</t>
  </si>
  <si>
    <r>
      <t>P1 (</t>
    </r>
    <r>
      <rPr>
        <b/>
        <sz val="11"/>
        <color indexed="17"/>
        <rFont val="Calibri"/>
        <family val="2"/>
        <charset val="204"/>
      </rPr>
      <t>Q2.2010</t>
    </r>
    <r>
      <rPr>
        <b/>
        <sz val="11"/>
        <color indexed="8"/>
        <rFont val="Calibri"/>
        <family val="2"/>
      </rPr>
      <t>)</t>
    </r>
  </si>
  <si>
    <r>
      <t>P2 (</t>
    </r>
    <r>
      <rPr>
        <b/>
        <sz val="11"/>
        <color indexed="17"/>
        <rFont val="Calibri"/>
        <family val="2"/>
        <charset val="204"/>
      </rPr>
      <t>Q3-4.2010</t>
    </r>
    <r>
      <rPr>
        <b/>
        <sz val="11"/>
        <color indexed="8"/>
        <rFont val="Calibri"/>
        <family val="2"/>
      </rPr>
      <t>)</t>
    </r>
  </si>
  <si>
    <r>
      <t xml:space="preserve">P3 </t>
    </r>
    <r>
      <rPr>
        <sz val="11"/>
        <color indexed="8"/>
        <rFont val="Calibri"/>
        <family val="2"/>
      </rPr>
      <t>(</t>
    </r>
    <r>
      <rPr>
        <b/>
        <sz val="11"/>
        <color indexed="17"/>
        <rFont val="Calibri"/>
        <family val="2"/>
        <charset val="204"/>
      </rPr>
      <t>Q1-2.2011</t>
    </r>
    <r>
      <rPr>
        <sz val="11"/>
        <color indexed="8"/>
        <rFont val="Calibri"/>
        <family val="2"/>
      </rPr>
      <t>)</t>
    </r>
  </si>
  <si>
    <r>
      <t>P4 (</t>
    </r>
    <r>
      <rPr>
        <b/>
        <sz val="11"/>
        <color indexed="17"/>
        <rFont val="Calibri"/>
        <family val="2"/>
        <charset val="204"/>
      </rPr>
      <t>Q3-4.2011</t>
    </r>
    <r>
      <rPr>
        <b/>
        <sz val="11"/>
        <color indexed="8"/>
        <rFont val="Calibri"/>
        <family val="2"/>
      </rPr>
      <t>)</t>
    </r>
  </si>
  <si>
    <t>P5 (Q1-2.2012)</t>
  </si>
  <si>
    <t>P6 (Q3-4.2012)</t>
  </si>
  <si>
    <t xml:space="preserve">Impact </t>
  </si>
  <si>
    <t>PI "CIMU HSRP"</t>
  </si>
  <si>
    <t>Scaling up Access to Prevention, Treatment and Care under the National Program for Prevention and Control of HIV/AIDS/STIs 2006-2010 and reducing morbidity, mortality and HIV-related impact on people living with HIV/AIDS, 2010-2014</t>
  </si>
  <si>
    <t xml:space="preserve">Numerator: Number of pregnant women reached with voluntary testing and counseling services (at least once during pregnancy) and who know their test results. // Numărător: Numărul femeilor gravide care au beneficiat de servicii de consiliere şi testare voluntară (cel puţin odată pe parcursul sarcinii) şi care î-şi cunosc rezultatul.  
Denominator: Number of pregnant women who have undertaken HIV test during pregnancy (at least once).  // Numitor: Numărul femeilor gravide care au făcut testul HIV pe parcursul sarcinii (cel puţin o dată) 
</t>
  </si>
  <si>
    <t>Register of new HIV infection cases and pregnant women's health cards // Registrele cazurilor noi de HIV infecție și cartela medicală a gravidei</t>
  </si>
  <si>
    <t>Registers of patients on treatment and patients' health cards // Registrele pacienților în tratament și cartela medicală a pacientului</t>
  </si>
  <si>
    <t>Electronic reports of VCT rooms at the national level // rapoartele electronice generate de baza de date CTV</t>
  </si>
  <si>
    <t>Periodicitatea măsurării</t>
  </si>
  <si>
    <t>cumulativ anual</t>
  </si>
  <si>
    <t xml:space="preserve">cumulativ pe perioada programului </t>
  </si>
  <si>
    <t>Sursa datelor</t>
  </si>
  <si>
    <t>Target // Ținta</t>
  </si>
  <si>
    <t>Achieved // Realizat</t>
  </si>
  <si>
    <t>Code / codul</t>
  </si>
  <si>
    <r>
      <t xml:space="preserve">Programmatic Indicators (from Performance Framework) </t>
    </r>
    <r>
      <rPr>
        <b/>
        <sz val="18"/>
        <color indexed="62"/>
        <rFont val="Calibri"/>
        <family val="2"/>
        <charset val="204"/>
      </rPr>
      <t>// Indicatori programatici</t>
    </r>
  </si>
  <si>
    <r>
      <rPr>
        <b/>
        <sz val="11"/>
        <rFont val="Arial"/>
        <family val="2"/>
        <charset val="204"/>
      </rPr>
      <t>1.1 Number and percentage of pregnant women reached with voluntary testing and counseling services and who know their results</t>
    </r>
    <r>
      <rPr>
        <b/>
        <sz val="11"/>
        <color indexed="56"/>
        <rFont val="Arial"/>
        <family val="2"/>
      </rPr>
      <t>. // Numărul si procentul femeilor gravide care au beneficiat de servicii de consiliere şi testare voluntara şi îşi cunosc rezultatul</t>
    </r>
  </si>
  <si>
    <r>
      <rPr>
        <b/>
        <sz val="11"/>
        <rFont val="Arial"/>
        <family val="2"/>
        <charset val="204"/>
      </rPr>
      <t>2.1 Number of people with advanced HIV infection that have started antiretroviral combination therapy</t>
    </r>
    <r>
      <rPr>
        <b/>
        <sz val="11"/>
        <color indexed="56"/>
        <rFont val="Arial"/>
        <family val="2"/>
      </rPr>
      <t xml:space="preserve"> // Numărul pesoanelor cu infecţia HIV/SIDA avansată care au initiat tratament antiretroviral combinat</t>
    </r>
  </si>
  <si>
    <r>
      <rPr>
        <b/>
        <sz val="11"/>
        <rFont val="Arial"/>
        <family val="2"/>
        <charset val="204"/>
      </rPr>
      <t>2.3 Number and percentage of PLWHA screened for TB</t>
    </r>
    <r>
      <rPr>
        <b/>
        <sz val="11"/>
        <color indexed="56"/>
        <rFont val="Arial"/>
        <family val="2"/>
      </rPr>
      <t xml:space="preserve"> // Numărul şi procentul persoanelor care trăiesc cu HIV/SIDA testate pentru TB</t>
    </r>
  </si>
  <si>
    <r>
      <rPr>
        <b/>
        <sz val="11"/>
        <rFont val="Arial"/>
        <family val="2"/>
        <charset val="204"/>
      </rPr>
      <t>1,2,3 Number of healthcare providers trained</t>
    </r>
    <r>
      <rPr>
        <b/>
        <sz val="11"/>
        <color indexed="56"/>
        <rFont val="Arial"/>
        <family val="2"/>
      </rPr>
      <t xml:space="preserve"> // Numărul prestatorilor de servicii medicale instruiţi</t>
    </r>
  </si>
  <si>
    <r>
      <rPr>
        <sz val="11"/>
        <rFont val="Arial"/>
        <family val="2"/>
        <charset val="204"/>
      </rPr>
      <t>Numerator: Number of injecting drug users (IDUs) reached with prevention programmes based on harm reduction strategy</t>
    </r>
    <r>
      <rPr>
        <sz val="11"/>
        <color indexed="56"/>
        <rFont val="Arial"/>
        <family val="2"/>
      </rPr>
      <t xml:space="preserve"> // Numărător: Numărul Consumatorilor de Droguri intravenos (CDI) acoperiţi cu programe de prevenţie bazate pe strategia de reducere a riscurilor.               
</t>
    </r>
    <r>
      <rPr>
        <sz val="11"/>
        <rFont val="Arial"/>
        <family val="2"/>
        <charset val="204"/>
      </rPr>
      <t>Denominator: Estimated number of injecting drug users (IDUs) (as per World Bank estimations).</t>
    </r>
    <r>
      <rPr>
        <sz val="11"/>
        <color indexed="56"/>
        <rFont val="Arial"/>
        <family val="2"/>
      </rPr>
      <t xml:space="preserve"> // Numitor: Numărul estimat al consumatorilor de droguri intravenos (CDI) (conform estimărilor BM).</t>
    </r>
  </si>
  <si>
    <r>
      <rPr>
        <sz val="11"/>
        <rFont val="Arial"/>
        <family val="2"/>
        <charset val="204"/>
      </rPr>
      <t>Numerator: Number of commercial sex workers (CSWs) reached with prevention programmes based on harm reduction strategy.</t>
    </r>
    <r>
      <rPr>
        <sz val="11"/>
        <color indexed="56"/>
        <rFont val="Arial"/>
        <family val="2"/>
      </rPr>
      <t xml:space="preserve"> //  Numărător: Numărul persoanelor ce practică sexul comercial (LSC) acoperite cu programe de prevenţie bazate pe strategia de reducere a riscurilor.               
</t>
    </r>
    <r>
      <rPr>
        <sz val="11"/>
        <rFont val="Arial"/>
        <family val="2"/>
        <charset val="204"/>
      </rPr>
      <t xml:space="preserve">
Denominator: Estimated number of commercial sex workers (CSWs) (as per World Bank estimation). </t>
    </r>
    <r>
      <rPr>
        <sz val="11"/>
        <color indexed="56"/>
        <rFont val="Arial"/>
        <family val="2"/>
      </rPr>
      <t xml:space="preserve">// Numitor: Numărul estimat al persoanelor ce practică sexul comercial (LSC).  
</t>
    </r>
  </si>
  <si>
    <r>
      <rPr>
        <sz val="11"/>
        <rFont val="Arial"/>
        <family val="2"/>
        <charset val="204"/>
      </rPr>
      <t>Numerator: Number of lesbian, gay, bi-sexual and trans-sexual reached with prevention programmes based on harm reduction strategy.</t>
    </r>
    <r>
      <rPr>
        <sz val="11"/>
        <color indexed="56"/>
        <rFont val="Arial"/>
        <family val="2"/>
      </rPr>
      <t xml:space="preserve"> // Numărător: Numărul lesbienilor, gheilor, bisexualilor şi transsexualilor acoperiţi cu programe de prevenţie bazate pe strategia de reducere a riscurilor.              
</t>
    </r>
    <r>
      <rPr>
        <sz val="11"/>
        <rFont val="Arial"/>
        <family val="2"/>
        <charset val="204"/>
      </rPr>
      <t xml:space="preserve">
Denominator: Estimated number of lesbian, gay, bi-sexual and trans-sexual (as per World Bank estimations).</t>
    </r>
    <r>
      <rPr>
        <sz val="11"/>
        <color indexed="56"/>
        <rFont val="Arial"/>
        <family val="2"/>
      </rPr>
      <t xml:space="preserve"> //  Numitor: Numărul estimat al lesbienilor, gheilor, bisexualilor şi transsexualilor.</t>
    </r>
  </si>
  <si>
    <r>
      <rPr>
        <sz val="11"/>
        <rFont val="Arial"/>
        <family val="2"/>
        <charset val="204"/>
      </rPr>
      <t>Numerator: Number of IDUs covered with substitution treatment to prevent transmission of HIV.</t>
    </r>
    <r>
      <rPr>
        <sz val="11"/>
        <color indexed="56"/>
        <rFont val="Arial"/>
        <family val="2"/>
      </rPr>
      <t xml:space="preserve"> // Numătrător: Numărul Consumatorilor de Droguri intravenos care beneficiază de tratament de substituție
</t>
    </r>
    <r>
      <rPr>
        <sz val="11"/>
        <rFont val="Arial"/>
        <family val="2"/>
        <charset val="204"/>
      </rPr>
      <t>Denominator: none</t>
    </r>
    <r>
      <rPr>
        <sz val="11"/>
        <color indexed="56"/>
        <rFont val="Arial"/>
        <family val="2"/>
      </rPr>
      <t xml:space="preserve"> // Numitor: N/A.</t>
    </r>
  </si>
  <si>
    <r>
      <rPr>
        <sz val="11"/>
        <rFont val="Arial"/>
        <family val="2"/>
        <charset val="204"/>
      </rPr>
      <t>Numerator: Numerator Number of people living with HIV/AIDS screened for Tuberculoses.</t>
    </r>
    <r>
      <rPr>
        <sz val="11"/>
        <color indexed="56"/>
        <rFont val="Arial"/>
        <family val="2"/>
      </rPr>
      <t xml:space="preserve"> // Numărător: Numărul Persoanleor care trăiesc cu HIV/SIDA care au fost testaţi la TB 
</t>
    </r>
    <r>
      <rPr>
        <sz val="11"/>
        <rFont val="Arial"/>
        <family val="2"/>
        <charset val="204"/>
      </rPr>
      <t xml:space="preserve">
Denominator: Number of HIV cases on evidence at the end of reported year.</t>
    </r>
    <r>
      <rPr>
        <sz val="11"/>
        <color indexed="56"/>
        <rFont val="Arial"/>
        <family val="2"/>
      </rPr>
      <t xml:space="preserve"> // Numitor: Numărul Persoanleor care trăiesc cu HIV/SIDA care se află în evidenţă la sfîrşitul anului raportat. </t>
    </r>
  </si>
  <si>
    <r>
      <rPr>
        <sz val="11"/>
        <rFont val="Arial"/>
        <family val="2"/>
        <charset val="204"/>
      </rPr>
      <t>Numerator: Number of healthcare providers trained in PMTCT, VCT services, youth friendly services provisions second generation surveillance, tolerance towards PLWHA, SYMETA.</t>
    </r>
    <r>
      <rPr>
        <sz val="11"/>
        <color indexed="56"/>
        <rFont val="Arial"/>
        <family val="2"/>
      </rPr>
      <t xml:space="preserve"> // Numărător: Numărul prestatorilor de servicii medicale instruiţi în prevenirea transmiterii infecției HIV de la mamă la făt, serviciile CTV, servicii prietenoase tinerilor, supravegherea de a doua generație, toleranța față de PTHS, SYMETA.
</t>
    </r>
    <r>
      <rPr>
        <sz val="11"/>
        <rFont val="Arial"/>
        <family val="2"/>
        <charset val="204"/>
      </rPr>
      <t xml:space="preserve">
Numitor:</t>
    </r>
    <r>
      <rPr>
        <sz val="11"/>
        <color indexed="56"/>
        <rFont val="Arial"/>
        <family val="2"/>
      </rPr>
      <t xml:space="preserve"> N/A</t>
    </r>
  </si>
  <si>
    <r>
      <rPr>
        <sz val="11"/>
        <rFont val="Arial"/>
        <family val="2"/>
        <charset val="204"/>
      </rPr>
      <t xml:space="preserve">List of participants in the training </t>
    </r>
    <r>
      <rPr>
        <sz val="11"/>
        <color indexed="56"/>
        <rFont val="Arial"/>
        <family val="2"/>
      </rPr>
      <t>// Listele participanților la instruiri</t>
    </r>
  </si>
  <si>
    <r>
      <rPr>
        <sz val="11"/>
        <rFont val="Arial"/>
        <family val="2"/>
        <charset val="204"/>
      </rPr>
      <t>Health cards of patients on evidence with HIV infection, registers of HIV patients tested for TB</t>
    </r>
    <r>
      <rPr>
        <sz val="11"/>
        <color indexed="56"/>
        <rFont val="Arial"/>
        <family val="2"/>
      </rPr>
      <t xml:space="preserve"> // Cartelele medicale ale pacienților HIV infectați aflați la evidență testați la TB</t>
    </r>
  </si>
  <si>
    <r>
      <rPr>
        <sz val="11"/>
        <rFont val="Arial"/>
        <family val="2"/>
        <charset val="204"/>
      </rPr>
      <t>Regsters and health cards of IDUs on ARV treatment</t>
    </r>
    <r>
      <rPr>
        <sz val="11"/>
        <color indexed="56"/>
        <rFont val="Arial"/>
        <family val="2"/>
      </rPr>
      <t xml:space="preserve"> // Registrele și cartelele medicale ale UDI care beneficiază de tratament ARV</t>
    </r>
  </si>
  <si>
    <r>
      <rPr>
        <sz val="11"/>
        <rFont val="Arial"/>
        <family val="2"/>
        <charset val="204"/>
      </rPr>
      <t>Regsters and health cards of IDUs on substitution treatment</t>
    </r>
    <r>
      <rPr>
        <sz val="11"/>
        <color indexed="56"/>
        <rFont val="Arial"/>
        <family val="2"/>
      </rPr>
      <t xml:space="preserve"> // Registrele și cartelele medicale ale UDI care beneficiază de tratament de substituție</t>
    </r>
  </si>
  <si>
    <r>
      <rPr>
        <sz val="11"/>
        <rFont val="Arial"/>
        <family val="2"/>
        <charset val="204"/>
      </rPr>
      <t>Registers of LGBT who have benefited from certain services</t>
    </r>
    <r>
      <rPr>
        <sz val="11"/>
        <color indexed="56"/>
        <rFont val="Arial"/>
        <family val="2"/>
      </rPr>
      <t xml:space="preserve"> // Registrele LGBT care au beneficiat de anumite servicii</t>
    </r>
  </si>
  <si>
    <r>
      <rPr>
        <sz val="11"/>
        <rFont val="Arial"/>
        <family val="2"/>
        <charset val="204"/>
      </rPr>
      <t xml:space="preserve">Registers of CSWs who have benefited from certain services </t>
    </r>
    <r>
      <rPr>
        <sz val="11"/>
        <color indexed="56"/>
        <rFont val="Arial"/>
        <family val="2"/>
      </rPr>
      <t>// Registrele LSC care au beneficiat de anumite servicii</t>
    </r>
  </si>
  <si>
    <r>
      <rPr>
        <sz val="11"/>
        <rFont val="Arial"/>
        <family val="2"/>
        <charset val="204"/>
      </rPr>
      <t xml:space="preserve">Registers of IDUs who have benefited from certain services </t>
    </r>
    <r>
      <rPr>
        <sz val="11"/>
        <color indexed="56"/>
        <rFont val="Arial"/>
        <family val="2"/>
      </rPr>
      <t>// Registrele UDI care au beneficiat de anumite servicii</t>
    </r>
  </si>
  <si>
    <r>
      <rPr>
        <sz val="10"/>
        <rFont val="Arial"/>
        <family val="2"/>
        <charset val="204"/>
      </rPr>
      <t>Percentage of infants born to HIV infected mothers who are HIV infected</t>
    </r>
    <r>
      <rPr>
        <sz val="10"/>
        <color indexed="56"/>
        <rFont val="Arial"/>
        <family val="2"/>
        <charset val="204"/>
      </rPr>
      <t xml:space="preserve"> // Procentul copiilor HIV pozitivi născuţi de către mame HIV pozitive</t>
    </r>
  </si>
  <si>
    <r>
      <rPr>
        <sz val="10"/>
        <rFont val="Arial"/>
        <family val="2"/>
        <charset val="204"/>
      </rPr>
      <t>Percentage of adults and children with HIV known to be on treatment 12 months after initiation of antiretroviral therapy</t>
    </r>
    <r>
      <rPr>
        <sz val="10"/>
        <color indexed="56"/>
        <rFont val="Arial"/>
        <family val="2"/>
        <charset val="204"/>
      </rPr>
      <t xml:space="preserve"> // Procentul adulţilor şi copiilor HIV infectaţi care se află în tratament 12 luni după iniţierea tratamentului antiretroviral </t>
    </r>
  </si>
  <si>
    <r>
      <rPr>
        <sz val="10"/>
        <rFont val="Arial"/>
        <family val="2"/>
        <charset val="204"/>
      </rPr>
      <t xml:space="preserve">Number and percentage of pregnant women reached with voluntary testing and counseling services and who know their results. </t>
    </r>
    <r>
      <rPr>
        <sz val="10"/>
        <color indexed="56"/>
        <rFont val="Arial"/>
        <family val="2"/>
        <charset val="204"/>
      </rPr>
      <t>// Numărul și procentul femeilor gravide acoperite de servicii de testare și consiliere și care-și cunosc rezultatul</t>
    </r>
  </si>
  <si>
    <r>
      <rPr>
        <sz val="10"/>
        <rFont val="Arial"/>
        <family val="2"/>
        <charset val="204"/>
      </rPr>
      <t xml:space="preserve">Number and percentage of injecting drug users (IDUs) reached with prevention programmes </t>
    </r>
    <r>
      <rPr>
        <sz val="10"/>
        <color indexed="56"/>
        <rFont val="Arial"/>
        <family val="2"/>
        <charset val="204"/>
      </rPr>
      <t xml:space="preserve"> // Numărul şi procentul utilizatorilor de droguri injectabile (UDI) cuprinşi în programele de prevenire</t>
    </r>
  </si>
  <si>
    <r>
      <rPr>
        <sz val="10"/>
        <rFont val="Arial"/>
        <family val="2"/>
        <charset val="204"/>
      </rPr>
      <t>Number and percentage of commercial sex workers (CSWs) reached with outreach programmes</t>
    </r>
    <r>
      <rPr>
        <sz val="10"/>
        <color indexed="56"/>
        <rFont val="Arial"/>
        <family val="2"/>
        <charset val="204"/>
      </rPr>
      <t xml:space="preserve"> // Numărul şi procentul lucratoarelor sexului comercial (LSC) cuprinse în  programele de prevenire în teren</t>
    </r>
  </si>
  <si>
    <r>
      <rPr>
        <sz val="10"/>
        <rFont val="Arial"/>
        <family val="2"/>
        <charset val="204"/>
      </rPr>
      <t>Number and percentage of lesbian, gay, bi-sexual and trans-sexual reached with outreach programmes</t>
    </r>
    <r>
      <rPr>
        <sz val="10"/>
        <color indexed="56"/>
        <rFont val="Arial"/>
        <family val="2"/>
        <charset val="204"/>
      </rPr>
      <t xml:space="preserve"> // Numărul şi procentul lesbienelor, gay-lor, bisexualilor si trans-sexualilor cuprinşi în  programele de prevenire în teren</t>
    </r>
  </si>
  <si>
    <r>
      <rPr>
        <sz val="10"/>
        <rFont val="Arial"/>
        <family val="2"/>
        <charset val="204"/>
      </rPr>
      <t>Number of drug users reached with drug substitution therapy</t>
    </r>
    <r>
      <rPr>
        <sz val="10"/>
        <color indexed="56"/>
        <rFont val="Arial"/>
        <family val="2"/>
        <charset val="204"/>
      </rPr>
      <t xml:space="preserve">  // Numărul utilizatorilor de droguri care beneficiază de tratament de substituţie  </t>
    </r>
  </si>
  <si>
    <r>
      <rPr>
        <sz val="10"/>
        <rFont val="Arial"/>
        <family val="2"/>
        <charset val="204"/>
      </rPr>
      <t>Number of people with advanced HIV infection that have started antiretroviral combination therapy</t>
    </r>
    <r>
      <rPr>
        <sz val="10"/>
        <color indexed="56"/>
        <rFont val="Arial"/>
        <family val="2"/>
        <charset val="204"/>
      </rPr>
      <t xml:space="preserve"> // Numărul pesoanelor cu infecţia HIV/SIDA avansată care au initiat tratament antiretroviral combinat</t>
    </r>
  </si>
  <si>
    <r>
      <rPr>
        <sz val="10"/>
        <rFont val="Arial"/>
        <family val="2"/>
        <charset val="204"/>
      </rPr>
      <t>Number and percentage of PLWHA screened for TB</t>
    </r>
    <r>
      <rPr>
        <sz val="10"/>
        <color indexed="56"/>
        <rFont val="Arial"/>
        <family val="2"/>
        <charset val="204"/>
      </rPr>
      <t xml:space="preserve"> // Numărul şi procentul persoanelor care trăiesc cu HIV/SIDA testate pentru TB</t>
    </r>
  </si>
  <si>
    <r>
      <rPr>
        <sz val="10"/>
        <rFont val="Arial"/>
        <family val="2"/>
        <charset val="204"/>
      </rPr>
      <t>Number of healthcare providers trained</t>
    </r>
    <r>
      <rPr>
        <sz val="10"/>
        <color indexed="56"/>
        <rFont val="Arial"/>
        <family val="2"/>
        <charset val="204"/>
      </rPr>
      <t xml:space="preserve"> // Numărul prestatorilor de servicii medicale instruiţi</t>
    </r>
  </si>
  <si>
    <t xml:space="preserve"> </t>
  </si>
  <si>
    <t>Acces la prevenire si testare</t>
  </si>
  <si>
    <t>Sporire accesului educational a populatiei afectate de HIV/SIDA la servicii sociale si de sanatate</t>
  </si>
  <si>
    <t>COORDONARE IMBUNATATITA SI PARTENERIAT</t>
  </si>
  <si>
    <t>De a imbunatati performanta programului prin imbunatatirea infrastructurii</t>
  </si>
  <si>
    <t xml:space="preserve">Utilizarea dobinzii </t>
  </si>
  <si>
    <t>F1: Bugetul și debursările de către Fondul Global</t>
  </si>
  <si>
    <t>F2: Bugetul și cheltuielile actuale după Obiectivele Grantului</t>
  </si>
  <si>
    <t>Obiectivele Grantului</t>
  </si>
  <si>
    <t>F3: Debursări și cheltuieli</t>
  </si>
  <si>
    <t>Către perioada de raportare</t>
  </si>
  <si>
    <t>Perioada de raportare curentă</t>
  </si>
  <si>
    <t xml:space="preserve">F4: Ultima perioadă de raportare și debursare a RP </t>
  </si>
  <si>
    <t>Ultima debursare a surselor: Număr de zile calendaristice</t>
  </si>
  <si>
    <t>Preconizat (zile)</t>
  </si>
  <si>
    <t>Actual (zile)</t>
  </si>
  <si>
    <t>Zile necesare pentru remiterea PU/DR final către ALF</t>
  </si>
  <si>
    <t>Zile necesare pentru debursare către RP</t>
  </si>
  <si>
    <t>Zile necesare pentru debursare către SR</t>
  </si>
  <si>
    <t>Informația pe Management:</t>
  </si>
  <si>
    <t xml:space="preserve">      Întroduceți datele pentru management în celulele albastre</t>
  </si>
  <si>
    <t xml:space="preserve">M1: Statutul Condițiilor Precedente și a Acțiunilor Prestabilite în Timp </t>
  </si>
  <si>
    <t>Finisate</t>
  </si>
  <si>
    <t>Ne finisate, dar realizarea  în conformitate cu planul</t>
  </si>
  <si>
    <t>Ne finisate, și au depășit planul de realizare</t>
  </si>
  <si>
    <t>Condiții Precedente (CP)</t>
  </si>
  <si>
    <t>Acțiuni Prestabilite în Timp (TBA)</t>
  </si>
  <si>
    <t>Planificate</t>
  </si>
  <si>
    <t>Completate</t>
  </si>
  <si>
    <t>Vacante</t>
  </si>
  <si>
    <t>IP UCIMP RSS</t>
  </si>
  <si>
    <t xml:space="preserve">M3: Aranjamente contractuale (SR) </t>
  </si>
  <si>
    <t>M4: Numărul rapoartelor complete recepționate la timp</t>
  </si>
  <si>
    <t>Identificați</t>
  </si>
  <si>
    <t>Evaluați</t>
  </si>
  <si>
    <t>Aprobați</t>
  </si>
  <si>
    <t>Contracte semnate</t>
  </si>
  <si>
    <t>Au recepționat surse</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</si>
  <si>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</si>
  <si>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</si>
  <si>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</si>
  <si>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</si>
  <si>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</si>
  <si>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</si>
  <si>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</si>
  <si>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</si>
  <si>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</si>
  <si>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</si>
  <si>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 Include numai EFR categoriile 4 și 5  (Produse medicale și Echipamente medicale &amp; Medicamente și Produse farmaceutice)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</si>
  <si>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</si>
  <si>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</si>
  <si>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</si>
  <si>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</si>
  <si>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</si>
  <si>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</si>
  <si>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</si>
  <si>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</si>
  <si>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</si>
  <si>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</si>
  <si>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</si>
  <si>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Informația Programatică:</t>
  </si>
  <si>
    <t>Indicatori de Program  (Performance Framework )</t>
  </si>
  <si>
    <t xml:space="preserve">Direct rezulta din activitatea FG? </t>
  </si>
  <si>
    <t>Tabelul este în mod automat reînnoit. Nu necesită introducerea datelor și/sau informației.</t>
  </si>
  <si>
    <t>Direct rezulta din activitatea FG?</t>
  </si>
  <si>
    <t>Perioada Raportată</t>
  </si>
  <si>
    <t>Buget Cumulativ</t>
  </si>
  <si>
    <t>Debursări cumulative</t>
  </si>
  <si>
    <t>Informația despre indicatori</t>
  </si>
  <si>
    <t>Informația despre perioada raportată</t>
  </si>
  <si>
    <t>Informație despre Grant</t>
  </si>
  <si>
    <t>Țara:</t>
  </si>
  <si>
    <t>No. Grantului :</t>
  </si>
  <si>
    <t>Recipientul Principal:</t>
  </si>
  <si>
    <t>Data Demarării (zz/ll/aa):</t>
  </si>
  <si>
    <t>Ultimul Rating:</t>
  </si>
  <si>
    <t>Numele Grantului:</t>
  </si>
  <si>
    <t>Componenta:</t>
  </si>
  <si>
    <t>Runda:</t>
  </si>
  <si>
    <t>Agentul Local:</t>
  </si>
  <si>
    <t>MOL-H-PCIMU</t>
  </si>
  <si>
    <t>Suma totală:</t>
  </si>
  <si>
    <t>Faza:</t>
  </si>
  <si>
    <t xml:space="preserve">Introduceți datele bazîndu-vă de celulele codificate prin culoare </t>
  </si>
  <si>
    <t xml:space="preserve">Informația Financiară: </t>
  </si>
  <si>
    <t xml:space="preserve">Informația pe Management: </t>
  </si>
  <si>
    <t xml:space="preserve">Informația Programatică: </t>
  </si>
  <si>
    <t xml:space="preserve">Introduceți datele financiare în celulele colorate în oranj </t>
  </si>
  <si>
    <t>Data de introducere a informației:</t>
  </si>
  <si>
    <t>De la:</t>
  </si>
  <si>
    <t>Pînă la:</t>
  </si>
  <si>
    <t>Perioada de Raportare:</t>
  </si>
  <si>
    <t>Pregătit de către:</t>
  </si>
  <si>
    <t>Valuta Grantului</t>
  </si>
  <si>
    <t>Debursat de către Fondul Global</t>
  </si>
  <si>
    <t xml:space="preserve">Cheltuielile și debursările RP </t>
  </si>
  <si>
    <t>Debursări către SR</t>
  </si>
  <si>
    <t>Cheltuielile SR</t>
  </si>
  <si>
    <t xml:space="preserve">conform planului si cererii de debursare </t>
  </si>
  <si>
    <t xml:space="preserve">conform cererii de debursare din partea RP </t>
  </si>
  <si>
    <t>Nu sunt probleme în aranjamentele contractuale cu SR</t>
  </si>
  <si>
    <t>Nu sunt condiții precedente neîndeplinite de către RP</t>
  </si>
  <si>
    <t>SR au remis rapoartele trimestriale în timp util conform acordurilor de sub-recipient.</t>
  </si>
  <si>
    <t>Tatiana Vinicenco</t>
  </si>
  <si>
    <t>&gt;80</t>
  </si>
  <si>
    <r>
      <t xml:space="preserve">50.2% of PLWHA have been screened for tuberculosis during year 2012. In absolute figures this represents 2,409 PLWHA (1,725 from the right bank and 684 from the left bank) from the total of 4,800 PLWHA (3,278 on the right bank and 1,522 on the left bank) on evidence at the end of year 2012.
</t>
    </r>
    <r>
      <rPr>
        <sz val="8"/>
        <color theme="4" tint="-0.249977111117893"/>
        <rFont val="Calibri"/>
        <family val="2"/>
        <charset val="204"/>
      </rPr>
      <t>//50.2% din PTHS au fost testați la TB pe parcursul anului 2012. În cifre absolute aceasta constituie 2,409 PTHS (1,725 pe malul drept și 684 pe malul stîng) din totalul de 4,800 PTHS (3,278 de pe malul drept și 1,522 de pe malul stîng) aflați la evidență la finele anului 2012.</t>
    </r>
  </si>
  <si>
    <r>
      <t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t>
    </r>
    <r>
      <rPr>
        <sz val="8"/>
        <color indexed="62"/>
        <rFont val="Calibri"/>
        <family val="2"/>
        <charset val="204"/>
      </rPr>
      <t xml:space="preserve">//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t>
    </r>
    <r>
      <rPr>
        <sz val="8"/>
        <color indexed="8"/>
        <rFont val="Calibri"/>
        <family val="2"/>
      </rPr>
      <t xml:space="preserve">
</t>
    </r>
  </si>
  <si>
    <r>
      <t xml:space="preserve">During 2012 the number of pregnant women that benefited from VCT services and who know their results amounted at 26,787 from 44987 cases. This represents 59.5% of the women who have undertaken an HIV test. during pregnancy, at least once (26.787/44,987). Activities under this indicator are partially supported by the current GF Grant.
</t>
    </r>
    <r>
      <rPr>
        <sz val="8"/>
        <color theme="4" tint="-0.249977111117893"/>
        <rFont val="Calibri"/>
        <family val="2"/>
        <charset val="204"/>
      </rPr>
      <t>// Numărul femeilor gravide care au beneficiat de servicii CTV pe parcursul 2012  și care-și cunoșteau rezultatul a constituit 26,787 din 44987 cazuri. Aceasta reprezintă 59.5% din femeile care s-au testat la HIV pe parcursul sarcinii (cel puțin o dată). Activitățile ce țin de acest indicator sunt parțial acoperite din sursele grantului FG.</t>
    </r>
  </si>
  <si>
    <t>HIV infected pregnant women's health cards.</t>
  </si>
  <si>
    <r>
      <rPr>
        <b/>
        <sz val="11"/>
        <rFont val="Arial"/>
        <family val="2"/>
        <charset val="204"/>
      </rPr>
      <t>1.1 Number and percentage of injecting drug users (IDUs) reached with prevention programmes</t>
    </r>
    <r>
      <rPr>
        <b/>
        <sz val="11"/>
        <color indexed="56"/>
        <rFont val="Arial"/>
        <family val="2"/>
      </rPr>
      <t xml:space="preserve"> // Numărul şi procentul utilizatorilor de droguri injectabile (UDI) cuprinşi în programele de prevenire</t>
    </r>
  </si>
  <si>
    <r>
      <rPr>
        <b/>
        <sz val="11"/>
        <rFont val="Arial"/>
        <family val="2"/>
        <charset val="204"/>
      </rPr>
      <t>1.3 Number and percentage of commercial sex workers (CSWs) reached with outreach programmes</t>
    </r>
    <r>
      <rPr>
        <b/>
        <sz val="11"/>
        <color indexed="56"/>
        <rFont val="Arial"/>
        <family val="2"/>
      </rPr>
      <t xml:space="preserve"> // Numărul şi procentul lucratoarelor sexului comercial (LSC) cuprinse în  programele de prevenire în teren</t>
    </r>
  </si>
  <si>
    <r>
      <rPr>
        <b/>
        <sz val="11"/>
        <rFont val="Arial"/>
        <family val="2"/>
        <charset val="204"/>
      </rPr>
      <t>1.4 Number and percentage of lesbian, gay, bi-sexual and trans-sexual reached with outreach programmes</t>
    </r>
    <r>
      <rPr>
        <b/>
        <sz val="11"/>
        <color indexed="56"/>
        <rFont val="Arial"/>
        <family val="2"/>
      </rPr>
      <t xml:space="preserve"> // Numărul şi procentul lesbienelor, gay-lor, bisexualilor si trans-sexualilor cuprinşi în  programele de prevenire în teren</t>
    </r>
  </si>
  <si>
    <r>
      <rPr>
        <b/>
        <sz val="11"/>
        <rFont val="Arial"/>
        <family val="2"/>
        <charset val="204"/>
      </rPr>
      <t>1.2 Number of drug users reached with drug substitution therapy</t>
    </r>
    <r>
      <rPr>
        <b/>
        <sz val="11"/>
        <color indexed="56"/>
        <rFont val="Arial"/>
        <family val="2"/>
      </rPr>
      <t xml:space="preserve"> // Numărul utilizatorilor de droguri care beneficiază de tratament de substituţie </t>
    </r>
  </si>
  <si>
    <r>
      <rPr>
        <b/>
        <sz val="11"/>
        <rFont val="Arial"/>
        <family val="2"/>
        <charset val="204"/>
      </rPr>
      <t>Percentage of infants born to HIV infected mothers who are HIV infected</t>
    </r>
    <r>
      <rPr>
        <b/>
        <sz val="11"/>
        <color indexed="56"/>
        <rFont val="Arial"/>
        <family val="2"/>
      </rPr>
      <t xml:space="preserve"> // Procentul copiilor HIV pozitivi născuţi de către mame HIV pozitive</t>
    </r>
  </si>
  <si>
    <r>
      <rPr>
        <b/>
        <sz val="11"/>
        <rFont val="Arial"/>
        <family val="2"/>
        <charset val="204"/>
      </rPr>
      <t>Percentage of adults and children with HIV known to be on treatment 12 months after initiation of antiretroviral therapy</t>
    </r>
    <r>
      <rPr>
        <b/>
        <sz val="11"/>
        <color indexed="56"/>
        <rFont val="Arial"/>
        <family val="2"/>
      </rPr>
      <t xml:space="preserve"> // Procentul adulţilor şi copiilor HIV infectaţi care se află în tratament 12 luni după iniţierea tratamentului antiretroviral </t>
    </r>
  </si>
  <si>
    <r>
      <rPr>
        <b/>
        <sz val="11"/>
        <rFont val="Arial"/>
        <family val="2"/>
        <charset val="204"/>
      </rPr>
      <t xml:space="preserve">2.2 % of HIV-positive pregnant women who received ARV treatment to reduce the risk of mother-to-child transmission </t>
    </r>
    <r>
      <rPr>
        <b/>
        <sz val="11"/>
        <color theme="4" tint="-0.499984740745262"/>
        <rFont val="Arial"/>
        <family val="2"/>
        <charset val="204"/>
      </rPr>
      <t>// Procentul gravidelor HIV+ care au primit tratament ARV pentru a preveni transmiterea infectiei de la mama la fat</t>
    </r>
  </si>
  <si>
    <t xml:space="preserve"> Definiție (conform Planului M&amp;E, 2012)</t>
  </si>
  <si>
    <t>P7 (Q1-2.2013)</t>
  </si>
  <si>
    <t>Faza 2</t>
  </si>
  <si>
    <t>Managementul proiectului</t>
  </si>
  <si>
    <t>Angajamente Faza 1</t>
  </si>
  <si>
    <t>N/A</t>
  </si>
  <si>
    <t>Raportul de Progres final a fost remis Agentului Local al FG si către Secretariatul Fondului Global, in vederea accesarii următoarei debursari de surse.</t>
  </si>
  <si>
    <t>P8 (Q3-4.2013)</t>
  </si>
  <si>
    <t>P9 (Q1-2.2014)</t>
  </si>
  <si>
    <r>
      <t>P2 (</t>
    </r>
    <r>
      <rPr>
        <b/>
        <sz val="11"/>
        <color indexed="17"/>
        <rFont val="Calibri"/>
        <family val="2"/>
        <charset val="204"/>
      </rPr>
      <t>Q3-Q4 2010</t>
    </r>
    <r>
      <rPr>
        <b/>
        <sz val="11"/>
        <color indexed="8"/>
        <rFont val="Calibri"/>
        <family val="2"/>
      </rPr>
      <t>)</t>
    </r>
  </si>
  <si>
    <r>
      <t xml:space="preserve">P3 </t>
    </r>
    <r>
      <rPr>
        <sz val="11"/>
        <color indexed="8"/>
        <rFont val="Calibri"/>
        <family val="2"/>
      </rPr>
      <t>(</t>
    </r>
    <r>
      <rPr>
        <b/>
        <sz val="11"/>
        <color indexed="17"/>
        <rFont val="Calibri"/>
        <family val="2"/>
        <charset val="204"/>
      </rPr>
      <t>Q1-Q2 2011</t>
    </r>
    <r>
      <rPr>
        <sz val="11"/>
        <color indexed="8"/>
        <rFont val="Calibri"/>
        <family val="2"/>
      </rPr>
      <t>)</t>
    </r>
  </si>
  <si>
    <r>
      <t>P4 (</t>
    </r>
    <r>
      <rPr>
        <b/>
        <sz val="11"/>
        <color indexed="17"/>
        <rFont val="Calibri"/>
        <family val="2"/>
        <charset val="204"/>
      </rPr>
      <t>Q3-Q4 2011</t>
    </r>
    <r>
      <rPr>
        <b/>
        <sz val="11"/>
        <color indexed="8"/>
        <rFont val="Calibri"/>
        <family val="2"/>
      </rPr>
      <t>)</t>
    </r>
  </si>
  <si>
    <r>
      <t xml:space="preserve">P5 </t>
    </r>
    <r>
      <rPr>
        <b/>
        <sz val="11"/>
        <color rgb="FF00B050"/>
        <rFont val="Calibri"/>
        <family val="2"/>
        <charset val="204"/>
      </rPr>
      <t>(Q1-Q2 2012)</t>
    </r>
  </si>
  <si>
    <r>
      <t xml:space="preserve">P6 </t>
    </r>
    <r>
      <rPr>
        <b/>
        <sz val="11"/>
        <color rgb="FF00B050"/>
        <rFont val="Calibri"/>
        <family val="2"/>
        <charset val="204"/>
      </rPr>
      <t>(Q3-Q4 2012)</t>
    </r>
  </si>
  <si>
    <r>
      <t xml:space="preserve">P7 </t>
    </r>
    <r>
      <rPr>
        <b/>
        <sz val="11"/>
        <color rgb="FF00B050"/>
        <rFont val="Calibri"/>
        <family val="2"/>
        <charset val="204"/>
      </rPr>
      <t>(Q1-Q2 2013)</t>
    </r>
  </si>
  <si>
    <r>
      <t xml:space="preserve">P8 </t>
    </r>
    <r>
      <rPr>
        <b/>
        <sz val="11"/>
        <color rgb="FF00B050"/>
        <rFont val="Calibri"/>
        <family val="2"/>
        <charset val="204"/>
      </rPr>
      <t>(Q3-Q4 2013)</t>
    </r>
  </si>
  <si>
    <r>
      <t xml:space="preserve">P9 </t>
    </r>
    <r>
      <rPr>
        <b/>
        <sz val="11"/>
        <color rgb="FF00B050"/>
        <rFont val="Calibri"/>
        <family val="2"/>
      </rPr>
      <t>(Q1-Q2 2014)</t>
    </r>
  </si>
  <si>
    <t xml:space="preserve">Utilizarea resurselor în perioada de raportare a fost la un nivel de 103% față de bugetul planificat, variația absolută față de bugetul planificat constituind 16,660 EUR, fiind condiționată in special de:
La O I au fost înregistrate supracheltuieli în valoare de 33.781 EUR în special în legătură cu: efectuarea plaților în avans pentru implementarea activităților în perioadele următoare; creșterea bugetului prevăzut în acordul cu FSM pentru acoperirea unor activități suplimentare.
La O II au fost înregistrate cheltuieli sub nivelul planificat în valoare totală de 49.057 EUR, în special în legătură cu: (i) economii înregistrate la achiziționarea de lapte praf pentru copiii născuți de mame HIV+ si (ii) acoperirea din surse bugetare, începând cu a. 2013, a achiziționării de teste la HIV destinate testării gravidelor în primul trimestru de sarcina și înainte de naștere, pentru malul drept.
La componenta de Management au fost înregistrate cheltuieli sub nivelul planificat în valoare de 3.475 EUR, în special în legătură cu economiile înregistrate la componenta de salarizare a personalului și de menținere a oficiului.
Din dobânda acumulată în contul grantului HIV au fost acoperite cheltuieli nebugetate, în valoare totală de 2.201 EUR, în special pentru achitarea serviciilor de traducere, achitarea taxelor bancare, achitarea serviciilor de internet rapid pentru SDMC, achiziționarea, la solicitarea Centrului SIDA de la Tiraspol a unui lot de teste la sifilis pentru malul sting, achitarea serviciilor de brocheraj, acoperirea cheltuielilor aferente plasării în mass-media a anunțurilor privind achizițiile realizate de IP UCIMP RSS, deservirea tehnica a vehiculelor IP UCIMP RSS.  
Adițional, au fost suportate cheltuieli nebugetate în legătură cu deservirea angajamentelor din faza I a grantului consolidat (01.04.2010-31.12.2012), în special pentru implementarea softului pentru ținerea evidenței beneficiarilor programelor de reducere a riscurilor în rândul LSC si BSB, acoperirea cheltuielilor de depozitare a prezervativelor, achiziționarea de teste rapide la saliva.
   </t>
  </si>
  <si>
    <t xml:space="preserve">M2: Statutul pozițiilor cheie ale RP </t>
  </si>
  <si>
    <t>Catre finele semestrului I 2014 numarul cumulativ al persoanelor care au initiat tratament ARV de la inceputul programului a fost de 3,675. Numarul pacienților în tratament ARV la 30 iunie 2014 a fost de 2,740: 1,854 - pe malul drept (1.791 adulti si 63 copii, dintre care 959 - barbati si 895 - femei) și 886 - pe malul stîng (861 adulti si 25 copii, din care 438 barbati si 448 - femei).</t>
  </si>
  <si>
    <t>Nu au fost inregistrate lipsuri de medicamente ARV sau intreruperi de tratament. De mentionat ca incepind cu anul 2013 (necesitatile pentru a. 2014), achizitionarea de preparate ARV, inclusiv acoperirea necesitatilor privind tratamentului PMTCT, se efectueaza din 2 surse: grantul FG si surse bugetare.</t>
  </si>
  <si>
    <t>Pentru toate produsele medicale si medicamente sunt incheiate contracte si vor fi livrate catre beneficiar conform schemelor de distirbutie planificate de catre beneficiar. La moment se afla in proces de negociere achizitia de preparate ARV pentru acoperirea necesitatilor estimate pt. a. 2015.</t>
  </si>
  <si>
    <t>Rezultatul (1.073) include 416 beneficiari noi incluși în programe de asistență pe parcursul semestrului I 2014. Serviciile (educație de la egal la egal, distribuire de prezervative, activități educative și distribuire de materiale informaționale, servicii de consiliere, managementul BTS etc.) sunt prestate prin intermediul unui proiect  localizat în Chișinău, acoperind beneficiari Chisinau, Balti siTiraspol.
N.B. Aplicînd aceleași principii de ajustare a numitorului corespunzător ponderii acoperirii absolute raportate pentru semestrul I 2013 în totalul acoperirii absolute raportate pentru a. 2013, și luînd în calcul noile estimări ale populației BSB (13500), obținem o rată de acoperire de 14.8% și, respectiv un porcent de realizare a țintei în valoare de 112.2% (detalii sunt prezentate in nota informativa anexata la dashboard).</t>
  </si>
  <si>
    <t>Implementarea Grantului este in conformitate cu planul de lucru. Nivelul de debursare si atingere a tintelor sunt satisfacatoare. Ultimul rating de performanta a grantului acordat de FG a fost pentru semestrul II 2013 - A2.</t>
  </si>
  <si>
    <t>Numerator: Number of HIV-positive pregnant women who received a ARV prophylaxis treatment to reduce the likelihood of MTCT in accordance with nationally approved treatment protocols. 
Denominator: Number of HIV positive pregnant women who delivered during the reporting period.</t>
  </si>
  <si>
    <t>Catre finele semestrului I 2014 numarul cumulativ al persoanelor care au initiat tratament ARV de la inceputul programului a fost de 3,675. Numarul pacienților în tratament ARV la 30 iunie 2014 a fost de 2,740, inclusiv 1,854 - pe malul drept (1.791 adulti si 63 copii, dintre care 959 - barbati si 895 - femei) și 886 - pe malul stîng (861 adulti si 25 copii, din care 438 barbati si 448 - femei).</t>
  </si>
  <si>
    <t>Indicatorul se raporteaza anual.  Rezultatul raportat este pentru a. 2013.</t>
  </si>
  <si>
    <t>Rezultatul (7,740) include 922 beneficiari noi incluși în programe de asistență pe parcursul semestrului raportat. În total se implementează 7 proiecte (inclusiv unl în Tiraspol) care acoperă atît civilii (5 proiecte) cît și sectorul penitenciar (2 proiecte), în cadrul cărora se implementează activități de prevenire (educație de la egal la egal, schimb de seringi, distribuire de prezervative, activități educative, distribuire de materiale informaționale, servicii de consiliere etc.) 
Proiectele din sectorul civil (5 la numar) sunt regionale, acoperind de la 2 la 6 raioane. Sectorul penitenciar acoperă 12 instituții penitenciare de pe malul drept (Pruncul, Rusca, Cricova - 2 penitenciare, Branesti, Soroca, Leova, Balti, Taraclia, Chisinau, Rezina si, incepind cu luna mai - penitenciarul nr. 12 din Bender) si 3 penitenciare de pe malul sting (Grigoriopol, s. Glinoe si Tiraspol). 
Indicatorul nu include beneficiarii din sectorul penitenciar din motivul dificultatilor intimpinate in legatura cu inregistrarea si tinerea evidentei  beneficiarilor conditionate de pastrarea confidentialitatii beneficiarilor de servicii.
N.B. În urma ajustării numitorului în baza experienței a. 2013 (proportional ponderii acoperirii absolute in semestrul I 2013 in totalul acoperirii absolute anuale raportate pentru a. 2013), și luînd în calcul noile estimări ale populației UDI în baza studiului bio-comportamental din 2012-2013 (30,000), obținem o rată de acoperire cu servicii în valoare de 29.9% și, respectiv un procent de atingere a țintei de 92.3% (detalii sunt prezentate in nota informativa anexata la dashboard).</t>
  </si>
  <si>
    <r>
      <t xml:space="preserve">Rezultatul (2,315) include 288 beneficiari noi incluși în programe de asistență pe parcursul semestrului raportat. În total se implementează 3 proiecte, unul în Chișinău, unul în Orhei și unul - în regiunea de nord acoperind regiunile Bălți și Ungheni. Incepind cu 2014 servicii de de reducere a riscurilor au fost extinse si in localitatea Bender.  Serviciile acordate în cadrul acestor proiecte includ educație de la egal la egal, distribuire de prezervative, activități educative și distribuire de materiale informaționale, servicii de consiliere, managementul BTS etc. 
N.B. În urma ajustării numitorului în baza experienței a. 2013 (proportional ponderii acoperirii absolute in semestrul I 2013 in totalul acoperirii absolute anuale raportate pentru a. 2013) și, luînd în calcul noile estimări ale populației LSC în baza studiului bio-comportamental din 2012-2013 (12,000), obținem o rată de acoperire cu servicii în valoare de 21.6% și, respectiv un procent de atingere a țintei de </t>
    </r>
    <r>
      <rPr>
        <b/>
        <sz val="8"/>
        <rFont val="Calibri"/>
        <family val="2"/>
        <charset val="204"/>
      </rPr>
      <t>92.9%</t>
    </r>
    <r>
      <rPr>
        <sz val="8"/>
        <rFont val="Calibri"/>
        <family val="2"/>
        <charset val="204"/>
      </rPr>
      <t xml:space="preserve"> (detalii sunt prezentate in nota informativa anexata la dashboard).</t>
    </r>
  </si>
  <si>
    <t xml:space="preserve">Terapia de substituție cu metadona se implementează prin intermediul a 3 proiecte (toate pe malul drept): 2 în sectorul civil (Dispensarul Narcologic Republican în Chișinău și Spitalul Municipal Bălți) și 1 - în sectorul penitenciar (Departamentul Instituțiilor Penitenciare în 7 instituții penitenciare: Pruncul, Cricova Rusca, Branesti, Soroca, Balti and Chisinau). 68 beneficiari noi au fost incluși în program pe parcursul semestrului raportat. Numărul beneficiarilor permanenți ai TSM la 30 iunie 2014 a fost de 337, inclusiv 62 beneficiari din sectorul penitenciar, 203 - în Dispensarul Narcologic Republican și 72 - în Spitalul Municipal Bălți. </t>
  </si>
  <si>
    <r>
      <t xml:space="preserve">% of HIV-positive pregnant women who received ARV treatment to reduce the risk of mother-to-child transmission // </t>
    </r>
    <r>
      <rPr>
        <sz val="10"/>
        <color rgb="FF0070C0"/>
        <rFont val="Arial"/>
        <family val="2"/>
        <charset val="204"/>
      </rPr>
      <t>Procentul gravidelor HIV+ care au primit tratament ARV pentru a preveni transmiterea infectiei de la mama la fat</t>
    </r>
  </si>
  <si>
    <t xml:space="preserve">Indicatorul se raporteaza anual.  Rezultatul raportat este pentru a. 2013. 145 din cele 153 femei HIV+ care au nascut in perioada de raportare au primit tratament profilactic ARV, inclusiv: 135 au primit tratament profilactic complet, 8 - tratament profilactic incomplet (mai putin de 4 saptamini), 2 - au primit de tratament profilactic la nastere, iar 8 - nu au primit tratament. Copiii nascuti din mame HIV+ au beneficiat de tratament profilactic in primele 7 zile de viata.
</t>
  </si>
  <si>
    <t>Indicatorul se raporteaza anual.  Rezultatul raportat este pentru a. 2013. 145 din cele 153 femei HIV+ care au nascut in perioada de raportare au primit tratament profilactic ARV, inclusiv: 135 au primit tratament profilactic complet, 8 - tratament profilactic incomplet (mai putin de 4 saptamini), 2 - au primit de tratament profilactic la nastere, iar 8 - nu au primit tratament. Copiii nascuti din mame HIV+ au beneficiat de tratament profilactic in primele 7 zile de viata.</t>
  </si>
  <si>
    <t>Percentage of infants born to HIV infected mothers who are HIV infected // Procentul copiilor HIV pozitivi născuţi de către mame HIV pozitive</t>
  </si>
  <si>
    <t xml:space="preserve">Indicatorul se raporteaza anual.  Rezultatul raportat este pentru a. 2013. 9 copii nascuti de mame HIV+ pe parcursul a. 2013 au fost diagnosticati cu HIV (in total 153 femei HIV+ au nascut pe parcursul perioadei de raportare). </t>
  </si>
  <si>
    <t>Numarator: Number of infants born to HIV infected mothers who are HIV infected from the annual cohort // Numărul copiilor nascuti din mame HIV-pozitive care sunt infectați din cohorta anuală
Numitor:Total number of infants born to HIV infected mothers during the year // Numărul total de copii nascuți din mame HIV pozitive pe parcursul anului</t>
  </si>
  <si>
    <r>
      <rPr>
        <sz val="11"/>
        <rFont val="Arial"/>
        <family val="2"/>
        <charset val="204"/>
      </rPr>
      <t>Numarator: Number of people with advanced HIV infection, who have started antiretroviral combination therapy during the reporting period.</t>
    </r>
    <r>
      <rPr>
        <sz val="11"/>
        <color indexed="56"/>
        <rFont val="Arial"/>
        <family val="2"/>
      </rPr>
      <t xml:space="preserve"> // Numitor: Numărul pesoanelor cu infecţia HIV/SIDA avansată care au initiat tratament antiretroviral combinat
</t>
    </r>
    <r>
      <rPr>
        <sz val="11"/>
        <rFont val="Arial"/>
        <family val="2"/>
        <charset val="204"/>
      </rPr>
      <t>Denominator: none</t>
    </r>
    <r>
      <rPr>
        <sz val="11"/>
        <color indexed="56"/>
        <rFont val="Arial"/>
        <family val="2"/>
      </rPr>
      <t xml:space="preserve"> // Numitor: N/A.</t>
    </r>
  </si>
  <si>
    <t>Numarator: Number of people continuously on antiretroviral therapy at 12 months after initiating treatment. Indicator definition. // Numărul persoanelor aflaţi continuu în tratament antiretroviral timp de 12 luni de la demararea acestuia                     
Denominator: Total number of people (adults and children) who initiated antiretroviral therapy in the start-up group 12 months earlier. //  Numitor: Numărul total al persoanelor (adulţi şi copii) care au demarat tratamentul antiretroviral 12 anterior perioadei de raportare</t>
  </si>
  <si>
    <t>Indicatorul se raporteaza anual.  Rezultatul raportat este pentru a. 2013. (483 din 595 pacienti HIV+ care au initiat TARV pe parcursul a. 2012 erau in viata si in tratament ARV 12 luni dupa initiere).</t>
  </si>
  <si>
    <r>
      <rPr>
        <b/>
        <sz val="11"/>
        <color rgb="FFFF0000"/>
        <rFont val="Calibri"/>
        <family val="2"/>
        <charset val="204"/>
      </rPr>
      <t>Monitorizarea implementarii sistemului informational SYME HIV</t>
    </r>
    <r>
      <rPr>
        <sz val="11"/>
        <color rgb="FFFF0000"/>
        <rFont val="Calibri"/>
        <family val="2"/>
      </rPr>
      <t xml:space="preserve"> in contextul angajamentului Ministerului Sanatatii asumat in cadrul sedintei CNC din 11.08.2014 si confirmat in scrisoarea CNC in adresa FG din 25 august curent, conform caruia 
Ministerul Sanatatii si-a asumat sa intreprinda toate masurile necesare pentru aprobarea, prin Hotarire de Guvern, a Regulamentului privind functionarea sistemului informational integrat SYME HIV catre finele lunii octombrie curent.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</si>
</sst>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_([$€]* #,##0.00_);_([$€]* \(#,##0.00\);_([$€]* &quot;-&quot;??_);_(@_)"/>
    <numFmt numFmtId="170" formatCode="[$$-409]#,##0"/>
    <numFmt numFmtId="171" formatCode="[$-409]d/mmm/yyyy;@"/>
    <numFmt numFmtId="172" formatCode="[$$-409]#,##0_);\([$$-409]#,##0\)"/>
    <numFmt numFmtId="173" formatCode="#,##0.0"/>
    <numFmt numFmtId="174" formatCode="0.0%"/>
  </numFmts>
  <fonts count="167">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44"/>
      <name val="Calibri"/>
      <family val="2"/>
      <charset val="204"/>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b/>
      <sz val="11"/>
      <color indexed="17"/>
      <name val="Calibri"/>
      <family val="2"/>
      <charset val="204"/>
    </font>
    <font>
      <sz val="8"/>
      <color indexed="8"/>
      <name val="Calibri"/>
      <family val="2"/>
      <charset val="204"/>
    </font>
    <font>
      <b/>
      <sz val="11"/>
      <color indexed="56"/>
      <name val="Arial"/>
      <family val="2"/>
    </font>
    <font>
      <sz val="11"/>
      <color indexed="56"/>
      <name val="Arial"/>
      <family val="2"/>
    </font>
    <font>
      <sz val="10"/>
      <color indexed="56"/>
      <name val="Arial"/>
      <family val="2"/>
      <charset val="204"/>
    </font>
    <font>
      <sz val="8"/>
      <color indexed="62"/>
      <name val="Calibri"/>
      <family val="2"/>
      <charset val="204"/>
    </font>
    <font>
      <b/>
      <sz val="18"/>
      <color indexed="62"/>
      <name val="Calibri"/>
      <family val="2"/>
      <charset val="204"/>
    </font>
    <font>
      <b/>
      <sz val="11"/>
      <name val="Arial"/>
      <family val="2"/>
      <charset val="204"/>
    </font>
    <font>
      <sz val="11"/>
      <name val="Arial"/>
      <family val="2"/>
      <charset val="204"/>
    </font>
    <font>
      <sz val="11"/>
      <color theme="1"/>
      <name val="Calibri"/>
      <family val="2"/>
      <scheme val="minor"/>
    </font>
    <font>
      <sz val="11"/>
      <color rgb="FF002060"/>
      <name val="Arial"/>
      <family val="2"/>
    </font>
    <font>
      <b/>
      <sz val="11"/>
      <color rgb="FF002060"/>
      <name val="Arial"/>
      <family val="2"/>
    </font>
    <font>
      <sz val="10"/>
      <color rgb="FF002060"/>
      <name val="Arial"/>
      <family val="2"/>
      <charset val="204"/>
    </font>
    <font>
      <sz val="11"/>
      <color rgb="FF002060"/>
      <name val="Arial"/>
      <family val="2"/>
      <charset val="204"/>
    </font>
    <font>
      <b/>
      <sz val="11"/>
      <color rgb="FF002060"/>
      <name val="Calibri"/>
      <family val="2"/>
      <charset val="204"/>
    </font>
    <font>
      <b/>
      <sz val="12"/>
      <color rgb="FF002060"/>
      <name val="Calibri"/>
      <family val="2"/>
      <charset val="204"/>
    </font>
    <font>
      <b/>
      <sz val="11"/>
      <color rgb="FF002060"/>
      <name val="Arial"/>
      <family val="2"/>
      <charset val="204"/>
    </font>
    <font>
      <sz val="11"/>
      <color rgb="FFFF0000"/>
      <name val="Calibri"/>
      <family val="2"/>
      <scheme val="minor"/>
    </font>
    <font>
      <b/>
      <sz val="8"/>
      <color theme="3" tint="-0.249977111117893"/>
      <name val="Calibri"/>
      <family val="2"/>
      <charset val="204"/>
    </font>
    <font>
      <sz val="8"/>
      <color theme="3" tint="-0.249977111117893"/>
      <name val="Calibri"/>
      <family val="2"/>
    </font>
    <font>
      <sz val="8"/>
      <color theme="4" tint="-0.249977111117893"/>
      <name val="Calibri"/>
      <family val="2"/>
      <charset val="204"/>
    </font>
    <font>
      <sz val="8"/>
      <color theme="1"/>
      <name val="Calibri"/>
      <family val="2"/>
      <charset val="204"/>
    </font>
    <font>
      <b/>
      <sz val="10"/>
      <name val="Arial"/>
      <family val="2"/>
      <charset val="204"/>
    </font>
    <font>
      <b/>
      <sz val="10"/>
      <color theme="1"/>
      <name val="Arial"/>
      <family val="2"/>
      <charset val="204"/>
    </font>
    <font>
      <sz val="9"/>
      <color indexed="81"/>
      <name val="Tahoma"/>
      <family val="2"/>
      <charset val="204"/>
    </font>
    <font>
      <b/>
      <sz val="9"/>
      <color indexed="81"/>
      <name val="Tahoma"/>
      <family val="2"/>
      <charset val="204"/>
    </font>
    <font>
      <b/>
      <sz val="11"/>
      <color theme="4" tint="-0.499984740745262"/>
      <name val="Arial"/>
      <family val="2"/>
      <charset val="204"/>
    </font>
    <font>
      <sz val="11"/>
      <name val="Calibri"/>
      <family val="2"/>
      <scheme val="minor"/>
    </font>
    <font>
      <sz val="11"/>
      <color rgb="FFFF0000"/>
      <name val="Calibri"/>
      <family val="2"/>
    </font>
    <font>
      <b/>
      <sz val="11"/>
      <color rgb="FF00B050"/>
      <name val="Calibri"/>
      <family val="2"/>
      <charset val="204"/>
    </font>
    <font>
      <b/>
      <sz val="11"/>
      <color rgb="FF00B050"/>
      <name val="Calibri"/>
      <family val="2"/>
    </font>
    <font>
      <sz val="8"/>
      <name val="Calibri"/>
      <family val="2"/>
      <charset val="204"/>
    </font>
    <font>
      <b/>
      <sz val="8"/>
      <name val="Calibri"/>
      <family val="2"/>
      <charset val="204"/>
    </font>
    <font>
      <sz val="10"/>
      <color rgb="FF0070C0"/>
      <name val="Arial"/>
      <family val="2"/>
      <charset val="204"/>
    </font>
    <font>
      <b/>
      <sz val="11"/>
      <color rgb="FFFF0000"/>
      <name val="Calibri"/>
      <family val="2"/>
      <charset val="204"/>
    </font>
    <font>
      <sz val="11"/>
      <color rgb="FFFF0000"/>
      <name val="Calibri"/>
      <family val="2"/>
      <charset val="204"/>
    </font>
  </fonts>
  <fills count="39">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solid">
        <fgColor indexed="43"/>
        <bgColor indexed="52"/>
      </patternFill>
    </fill>
    <fill>
      <patternFill patternType="gray0625">
        <f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
      <patternFill patternType="solid">
        <fgColor rgb="FF00B0F0"/>
        <bgColor indexed="64"/>
      </patternFill>
    </fill>
    <fill>
      <patternFill patternType="solid">
        <fgColor indexed="65"/>
        <bgColor indexed="64"/>
      </patternFill>
    </fill>
    <fill>
      <patternFill patternType="gray125">
        <fgColor indexed="52"/>
        <bgColor indexed="43"/>
      </patternFill>
    </fill>
  </fills>
  <borders count="24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style="thin">
        <color indexed="64"/>
      </left>
      <right style="thin">
        <color indexed="64"/>
      </right>
      <top style="thin">
        <color indexed="64"/>
      </top>
      <bottom style="medium">
        <color indexed="51"/>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right style="thin">
        <color indexed="64"/>
      </right>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57"/>
      </left>
      <right style="hair">
        <color indexed="57"/>
      </right>
      <top style="medium">
        <color indexed="57"/>
      </top>
      <bottom style="medium">
        <color indexed="57"/>
      </bottom>
      <diagonal/>
    </border>
    <border>
      <left style="thin">
        <color indexed="64"/>
      </left>
      <right style="thin">
        <color indexed="64"/>
      </right>
      <top style="thin">
        <color indexed="64"/>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51"/>
      </top>
      <bottom style="thin">
        <color indexed="64"/>
      </bottom>
      <diagonal/>
    </border>
    <border>
      <left/>
      <right/>
      <top style="medium">
        <color rgb="FFFFC000"/>
      </top>
      <bottom/>
      <diagonal/>
    </border>
    <border>
      <left style="thin">
        <color indexed="64"/>
      </left>
      <right style="medium">
        <color indexed="51"/>
      </right>
      <top style="thin">
        <color indexed="64"/>
      </top>
      <bottom style="medium">
        <color rgb="FFFFC000"/>
      </bottom>
      <diagonal/>
    </border>
    <border>
      <left style="medium">
        <color indexed="51"/>
      </left>
      <right style="medium">
        <color indexed="51"/>
      </right>
      <top style="thin">
        <color indexed="64"/>
      </top>
      <bottom/>
      <diagonal/>
    </border>
    <border>
      <left style="medium">
        <color indexed="51"/>
      </left>
      <right/>
      <top style="thin">
        <color indexed="64"/>
      </top>
      <bottom/>
      <diagonal/>
    </border>
    <border>
      <left/>
      <right style="medium">
        <color indexed="51"/>
      </right>
      <top style="thin">
        <color indexed="64"/>
      </top>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69"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40" fillId="0" borderId="0"/>
    <xf numFmtId="43" fontId="140" fillId="0" borderId="0"/>
    <xf numFmtId="43" fontId="140" fillId="0" borderId="0"/>
    <xf numFmtId="43" fontId="140"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40"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40" fillId="0" borderId="9" applyNumberFormat="0" applyFill="0" applyAlignment="0" applyProtection="0"/>
    <xf numFmtId="0" fontId="76" fillId="0" borderId="0" applyNumberFormat="0" applyFill="0" applyBorder="0" applyAlignment="0" applyProtection="0"/>
  </cellStyleXfs>
  <cellXfs count="992">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40" fillId="0" borderId="0" xfId="49" applyProtection="1"/>
    <xf numFmtId="43" fontId="15" fillId="0" borderId="0" xfId="49" applyFont="1" applyProtection="1"/>
    <xf numFmtId="0" fontId="18" fillId="0" borderId="0" xfId="49" applyNumberFormat="1" applyFont="1" applyBorder="1" applyProtection="1"/>
    <xf numFmtId="43" fontId="140" fillId="0" borderId="0" xfId="51" applyProtection="1"/>
    <xf numFmtId="43" fontId="140" fillId="0" borderId="0" xfId="51" applyFill="1" applyBorder="1" applyAlignment="1" applyProtection="1">
      <alignment horizontal="left"/>
    </xf>
    <xf numFmtId="0" fontId="0" fillId="0" borderId="0" xfId="0" applyFill="1" applyBorder="1" applyProtection="1"/>
    <xf numFmtId="43" fontId="140"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5"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40" fillId="0" borderId="0" xfId="61" applyFill="1" applyBorder="1" applyAlignment="1" applyProtection="1">
      <alignment vertical="center"/>
      <protection locked="0"/>
    </xf>
    <xf numFmtId="164"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40"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40"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40"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5"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0" fontId="14" fillId="0" borderId="23" xfId="0" applyFont="1" applyBorder="1" applyAlignment="1" applyProtection="1">
      <alignment horizontal="center"/>
    </xf>
    <xf numFmtId="1" fontId="21" fillId="20" borderId="24" xfId="0" applyNumberFormat="1" applyFont="1" applyFill="1" applyBorder="1" applyAlignment="1" applyProtection="1">
      <alignment horizontal="center"/>
    </xf>
    <xf numFmtId="0" fontId="14" fillId="0" borderId="25" xfId="0" applyFont="1" applyBorder="1" applyAlignment="1" applyProtection="1">
      <alignment horizontal="center"/>
    </xf>
    <xf numFmtId="1" fontId="21" fillId="20" borderId="26" xfId="0" applyNumberFormat="1" applyFont="1" applyFill="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0" fillId="0" borderId="0" xfId="28" applyFont="1" applyFill="1" applyBorder="1" applyProtection="1"/>
    <xf numFmtId="43" fontId="0" fillId="0" borderId="0" xfId="0" applyNumberFormat="1" applyFill="1" applyBorder="1" applyProtection="1"/>
    <xf numFmtId="43" fontId="68" fillId="0" borderId="28" xfId="61" applyFont="1" applyFill="1" applyBorder="1" applyAlignment="1" applyProtection="1"/>
    <xf numFmtId="43" fontId="39" fillId="0" borderId="28" xfId="61" applyFont="1" applyFill="1" applyBorder="1" applyAlignment="1" applyProtection="1">
      <alignment vertical="center"/>
    </xf>
    <xf numFmtId="3" fontId="67" fillId="22" borderId="10" xfId="0" applyNumberFormat="1" applyFont="1" applyFill="1" applyBorder="1" applyAlignment="1" applyProtection="1">
      <alignment vertical="center"/>
      <protection locked="0"/>
    </xf>
    <xf numFmtId="3" fontId="67" fillId="22" borderId="31"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5"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5"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3" fontId="28" fillId="0" borderId="10"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6"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8"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7"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2" xfId="0" applyNumberFormat="1" applyFont="1" applyFill="1" applyBorder="1" applyAlignment="1" applyProtection="1">
      <alignment horizontal="right"/>
    </xf>
    <xf numFmtId="0" fontId="53" fillId="0" borderId="33" xfId="0" applyNumberFormat="1" applyFont="1" applyFill="1" applyBorder="1" applyAlignment="1" applyProtection="1">
      <alignment horizontal="right"/>
    </xf>
    <xf numFmtId="0" fontId="53" fillId="0" borderId="34"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5" xfId="0" applyNumberFormat="1" applyFont="1" applyFill="1" applyBorder="1" applyAlignment="1" applyProtection="1">
      <alignment horizontal="right"/>
    </xf>
    <xf numFmtId="9" fontId="55" fillId="0" borderId="0" xfId="0" applyNumberFormat="1" applyFont="1" applyFill="1" applyBorder="1" applyProtection="1"/>
    <xf numFmtId="0" fontId="53" fillId="0" borderId="36" xfId="0" applyNumberFormat="1" applyFont="1" applyFill="1" applyBorder="1" applyAlignment="1" applyProtection="1">
      <alignment horizontal="right"/>
    </xf>
    <xf numFmtId="0" fontId="53" fillId="0" borderId="37" xfId="0" applyNumberFormat="1" applyFont="1" applyFill="1" applyBorder="1" applyAlignment="1" applyProtection="1">
      <alignment horizontal="right"/>
    </xf>
    <xf numFmtId="0" fontId="34" fillId="0" borderId="38" xfId="0" applyNumberFormat="1" applyFont="1" applyFill="1" applyBorder="1" applyAlignment="1" applyProtection="1">
      <alignment vertical="center"/>
    </xf>
    <xf numFmtId="0" fontId="34" fillId="0" borderId="39" xfId="0" applyNumberFormat="1" applyFont="1" applyFill="1" applyBorder="1" applyAlignment="1" applyProtection="1">
      <alignment vertical="center"/>
    </xf>
    <xf numFmtId="0" fontId="34" fillId="0" borderId="40"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5" fontId="6" fillId="0" borderId="0" xfId="28" applyNumberFormat="1" applyFont="1" applyFill="1" applyBorder="1" applyAlignment="1" applyProtection="1">
      <protection locked="0"/>
    </xf>
    <xf numFmtId="165"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4" fontId="15" fillId="20" borderId="0" xfId="0" applyNumberFormat="1" applyFont="1" applyFill="1"/>
    <xf numFmtId="165" fontId="15" fillId="20" borderId="0" xfId="0" applyNumberFormat="1" applyFont="1" applyFill="1"/>
    <xf numFmtId="3" fontId="15" fillId="20" borderId="0" xfId="0" applyNumberFormat="1" applyFont="1" applyFill="1" applyProtection="1"/>
    <xf numFmtId="164"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41" xfId="0" applyFont="1" applyFill="1" applyBorder="1" applyAlignment="1" applyProtection="1">
      <alignment horizontal="center" wrapText="1"/>
    </xf>
    <xf numFmtId="0" fontId="28" fillId="0" borderId="42" xfId="0" applyFont="1" applyFill="1" applyBorder="1" applyAlignment="1" applyProtection="1">
      <alignment horizontal="center" wrapText="1"/>
    </xf>
    <xf numFmtId="0" fontId="0" fillId="0" borderId="42"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3" xfId="58" applyFont="1" applyBorder="1" applyAlignment="1" applyProtection="1">
      <alignment horizontal="right"/>
    </xf>
    <xf numFmtId="0" fontId="12" fillId="0" borderId="0" xfId="0" applyFont="1"/>
    <xf numFmtId="0" fontId="0" fillId="20" borderId="0" xfId="0" applyFill="1" applyProtection="1"/>
    <xf numFmtId="0" fontId="0" fillId="20" borderId="44"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5" xfId="0" applyNumberFormat="1" applyFont="1" applyFill="1" applyBorder="1" applyAlignment="1" applyProtection="1">
      <alignment vertical="center"/>
    </xf>
    <xf numFmtId="43" fontId="140" fillId="0" borderId="0" xfId="52" applyFill="1" applyBorder="1" applyAlignment="1" applyProtection="1">
      <alignment horizontal="center"/>
    </xf>
    <xf numFmtId="0" fontId="34" fillId="0" borderId="0" xfId="0" quotePrefix="1" applyFont="1" applyProtection="1"/>
    <xf numFmtId="0" fontId="63" fillId="0" borderId="29" xfId="0" applyFont="1" applyBorder="1" applyAlignment="1">
      <alignment horizontal="justify"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89" fillId="0" borderId="46" xfId="0" applyFont="1" applyBorder="1" applyAlignment="1">
      <alignment horizontal="justify" vertical="center" wrapText="1"/>
    </xf>
    <xf numFmtId="43" fontId="92" fillId="0" borderId="28" xfId="61" applyFont="1" applyFill="1" applyBorder="1" applyAlignment="1" applyProtection="1"/>
    <xf numFmtId="43" fontId="9" fillId="0" borderId="28"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9" xfId="0" applyFont="1" applyBorder="1" applyAlignment="1">
      <alignment vertical="center" wrapText="1"/>
    </xf>
    <xf numFmtId="0" fontId="88" fillId="0" borderId="46" xfId="0" applyFont="1" applyBorder="1" applyAlignment="1">
      <alignment vertical="center" wrapText="1"/>
    </xf>
    <xf numFmtId="0" fontId="2" fillId="0" borderId="48" xfId="0" applyFont="1" applyFill="1" applyBorder="1" applyAlignment="1" applyProtection="1">
      <alignment horizontal="center"/>
    </xf>
    <xf numFmtId="0" fontId="1" fillId="0" borderId="0" xfId="0" applyFont="1"/>
    <xf numFmtId="0" fontId="94" fillId="0" borderId="0" xfId="0" applyFont="1"/>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43" fontId="96" fillId="0" borderId="28" xfId="61" applyFont="1" applyFill="1" applyBorder="1" applyAlignment="1" applyProtection="1">
      <alignment vertical="center"/>
    </xf>
    <xf numFmtId="0" fontId="95"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9"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5" fontId="0" fillId="0" borderId="0" xfId="0" applyNumberFormat="1" applyProtection="1"/>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2" fillId="0" borderId="0" xfId="0" applyFont="1" applyFill="1" applyBorder="1" applyAlignment="1" applyProtection="1">
      <alignment horizontal="right"/>
    </xf>
    <xf numFmtId="43" fontId="103" fillId="0" borderId="14" xfId="61" applyFont="1" applyFill="1" applyBorder="1" applyAlignment="1" applyProtection="1">
      <alignment horizontal="left" vertical="center"/>
    </xf>
    <xf numFmtId="0" fontId="104" fillId="0" borderId="0" xfId="0" applyFont="1" applyFill="1" applyBorder="1" applyProtection="1"/>
    <xf numFmtId="0" fontId="102" fillId="0" borderId="0" xfId="0" applyFont="1" applyBorder="1" applyProtection="1"/>
    <xf numFmtId="3" fontId="6" fillId="0" borderId="0" xfId="0" applyNumberFormat="1" applyFont="1" applyAlignment="1" applyProtection="1">
      <alignment horizontal="right"/>
    </xf>
    <xf numFmtId="15" fontId="101" fillId="0" borderId="0" xfId="0" applyNumberFormat="1" applyFont="1" applyFill="1" applyBorder="1" applyAlignment="1" applyProtection="1">
      <alignment horizontal="left"/>
    </xf>
    <xf numFmtId="0" fontId="108" fillId="0" borderId="0" xfId="0" applyFont="1" applyFill="1" applyBorder="1" applyAlignment="1" applyProtection="1">
      <alignment horizontal="center" wrapText="1"/>
    </xf>
    <xf numFmtId="0" fontId="102" fillId="0" borderId="0" xfId="0" applyFont="1" applyFill="1" applyBorder="1" applyAlignment="1" applyProtection="1">
      <alignment horizontal="center"/>
    </xf>
    <xf numFmtId="0" fontId="0" fillId="0" borderId="0" xfId="0" quotePrefix="1" applyProtection="1"/>
    <xf numFmtId="15" fontId="32" fillId="0" borderId="50"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1"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2" fillId="0" borderId="0" xfId="0" applyNumberFormat="1" applyFont="1" applyFill="1" applyBorder="1" applyAlignment="1" applyProtection="1">
      <alignment horizontal="center"/>
    </xf>
    <xf numFmtId="0" fontId="0" fillId="0" borderId="0" xfId="0" applyFill="1" applyBorder="1" applyProtection="1">
      <protection locked="0"/>
    </xf>
    <xf numFmtId="0" fontId="99" fillId="0" borderId="0" xfId="0" applyFont="1" applyFill="1" applyBorder="1" applyAlignment="1" applyProtection="1">
      <alignment horizontal="center" vertical="center"/>
    </xf>
    <xf numFmtId="0" fontId="6" fillId="0" borderId="52" xfId="0" applyFont="1" applyBorder="1" applyAlignment="1" applyProtection="1"/>
    <xf numFmtId="0" fontId="6" fillId="0" borderId="53" xfId="0" applyFont="1" applyBorder="1" applyAlignment="1" applyProtection="1"/>
    <xf numFmtId="0" fontId="25" fillId="0" borderId="54" xfId="0" applyFont="1" applyBorder="1" applyAlignment="1" applyProtection="1">
      <alignment vertical="distributed"/>
    </xf>
    <xf numFmtId="15" fontId="27" fillId="0" borderId="55"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6" fillId="0" borderId="0" xfId="0" applyFont="1" applyFill="1" applyBorder="1" applyAlignment="1" applyProtection="1">
      <alignment horizontal="center" vertical="center"/>
    </xf>
    <xf numFmtId="0" fontId="26" fillId="0" borderId="56"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7" xfId="0" applyNumberFormat="1" applyFont="1" applyFill="1" applyBorder="1" applyAlignment="1" applyProtection="1">
      <alignment horizontal="center"/>
    </xf>
    <xf numFmtId="0" fontId="32" fillId="25" borderId="58" xfId="0" applyFont="1" applyFill="1" applyBorder="1" applyAlignment="1" applyProtection="1">
      <alignment horizontal="centerContinuous"/>
    </xf>
    <xf numFmtId="15" fontId="110" fillId="0" borderId="42" xfId="0" applyNumberFormat="1" applyFont="1" applyFill="1" applyBorder="1" applyAlignment="1" applyProtection="1">
      <alignment horizontal="center" wrapText="1"/>
    </xf>
    <xf numFmtId="15" fontId="110" fillId="0" borderId="59" xfId="0" applyNumberFormat="1" applyFont="1" applyFill="1" applyBorder="1" applyAlignment="1" applyProtection="1">
      <alignment horizontal="center" wrapText="1"/>
    </xf>
    <xf numFmtId="0" fontId="37" fillId="0" borderId="56" xfId="0" applyFont="1" applyFill="1" applyBorder="1" applyAlignment="1" applyProtection="1">
      <alignment horizontal="center"/>
    </xf>
    <xf numFmtId="0" fontId="37" fillId="0" borderId="60" xfId="0" applyFont="1" applyFill="1" applyBorder="1" applyAlignment="1" applyProtection="1">
      <alignment horizontal="center"/>
    </xf>
    <xf numFmtId="0" fontId="32" fillId="25" borderId="61"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1" fillId="0" borderId="0" xfId="0" applyFont="1" applyFill="1" applyBorder="1" applyAlignment="1" applyProtection="1">
      <alignment horizontal="center"/>
    </xf>
    <xf numFmtId="0" fontId="107"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9"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62" xfId="0" applyBorder="1" applyAlignment="1" applyProtection="1">
      <alignment horizontal="center"/>
    </xf>
    <xf numFmtId="0" fontId="0" fillId="0" borderId="42" xfId="0" applyFill="1" applyBorder="1" applyAlignment="1" applyProtection="1">
      <alignment horizontal="center"/>
    </xf>
    <xf numFmtId="0" fontId="1" fillId="0" borderId="41" xfId="0" applyFont="1" applyFill="1" applyBorder="1" applyAlignment="1" applyProtection="1">
      <alignment horizontal="center" wrapText="1"/>
    </xf>
    <xf numFmtId="0" fontId="0" fillId="0" borderId="41" xfId="0" applyBorder="1" applyAlignment="1">
      <alignment horizontal="center" wrapText="1"/>
    </xf>
    <xf numFmtId="0" fontId="28" fillId="0" borderId="41" xfId="0" applyFont="1" applyBorder="1" applyAlignment="1">
      <alignment horizontal="center" wrapText="1"/>
    </xf>
    <xf numFmtId="0" fontId="1" fillId="0" borderId="59" xfId="0" applyFont="1" applyFill="1" applyBorder="1" applyAlignment="1" applyProtection="1">
      <alignment horizontal="center" wrapText="1"/>
    </xf>
    <xf numFmtId="3" fontId="67" fillId="23" borderId="31"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0" fontId="77" fillId="0" borderId="63" xfId="0" applyFont="1" applyFill="1" applyBorder="1" applyAlignment="1" applyProtection="1">
      <alignment horizontal="center" vertical="center"/>
    </xf>
    <xf numFmtId="43" fontId="115" fillId="0" borderId="20" xfId="61" applyFont="1" applyFill="1" applyBorder="1" applyAlignment="1" applyProtection="1">
      <alignment vertical="center"/>
    </xf>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3" xfId="58" applyFont="1" applyFill="1" applyBorder="1" applyAlignment="1" applyProtection="1">
      <alignment horizontal="right"/>
    </xf>
    <xf numFmtId="0" fontId="28" fillId="0" borderId="64" xfId="0" applyFont="1" applyFill="1" applyBorder="1" applyAlignment="1" applyProtection="1">
      <alignment wrapText="1"/>
    </xf>
    <xf numFmtId="0" fontId="34" fillId="0" borderId="65" xfId="0" applyFont="1" applyFill="1" applyBorder="1" applyAlignment="1" applyProtection="1">
      <alignment horizontal="center" wrapText="1"/>
    </xf>
    <xf numFmtId="0" fontId="21" fillId="20" borderId="29" xfId="0" applyFont="1" applyFill="1" applyBorder="1" applyAlignment="1" applyProtection="1"/>
    <xf numFmtId="0" fontId="21" fillId="20" borderId="66"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8" xfId="0" applyFill="1" applyBorder="1" applyProtection="1"/>
    <xf numFmtId="43" fontId="116" fillId="0" borderId="28" xfId="61" applyFont="1" applyFill="1" applyBorder="1" applyAlignment="1" applyProtection="1">
      <alignment vertical="center"/>
    </xf>
    <xf numFmtId="0" fontId="0" fillId="0" borderId="28" xfId="0" applyBorder="1" applyProtection="1"/>
    <xf numFmtId="0" fontId="0" fillId="0" borderId="28" xfId="0" applyBorder="1"/>
    <xf numFmtId="9" fontId="15" fillId="0" borderId="0" xfId="56" applyFont="1" applyProtection="1"/>
    <xf numFmtId="14" fontId="24" fillId="24" borderId="43" xfId="58" applyNumberFormat="1" applyFont="1" applyFill="1" applyBorder="1" applyAlignment="1" applyProtection="1">
      <alignment horizontal="center" vertical="center"/>
    </xf>
    <xf numFmtId="43" fontId="24" fillId="24" borderId="43" xfId="58" applyFont="1" applyFill="1" applyBorder="1" applyAlignment="1" applyProtection="1">
      <alignment horizontal="center" vertical="center"/>
    </xf>
    <xf numFmtId="15" fontId="24" fillId="24" borderId="43" xfId="58" applyNumberFormat="1" applyFont="1" applyFill="1" applyBorder="1" applyAlignment="1" applyProtection="1">
      <alignment horizontal="center" vertical="center"/>
    </xf>
    <xf numFmtId="171" fontId="24" fillId="24" borderId="43" xfId="58" applyNumberFormat="1" applyFont="1" applyFill="1" applyBorder="1" applyAlignment="1" applyProtection="1">
      <alignment horizontal="center"/>
    </xf>
    <xf numFmtId="3" fontId="24" fillId="24" borderId="43" xfId="58" applyNumberFormat="1" applyFont="1" applyFill="1" applyBorder="1" applyAlignment="1" applyProtection="1">
      <alignment horizontal="center"/>
    </xf>
    <xf numFmtId="43" fontId="24" fillId="24"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43" fontId="90" fillId="0" borderId="0" xfId="0" applyNumberFormat="1" applyFont="1" applyAlignment="1"/>
    <xf numFmtId="0" fontId="34" fillId="0" borderId="41" xfId="0" applyFont="1" applyFill="1" applyBorder="1" applyAlignment="1" applyProtection="1">
      <alignment horizontal="center" wrapText="1"/>
    </xf>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9"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4" borderId="10" xfId="0" applyNumberFormat="1" applyFill="1" applyBorder="1" applyProtection="1">
      <protection locked="0"/>
    </xf>
    <xf numFmtId="3" fontId="0" fillId="0" borderId="10" xfId="0" applyNumberFormat="1" applyFill="1" applyBorder="1" applyProtection="1"/>
    <xf numFmtId="3" fontId="0" fillId="24" borderId="68" xfId="0" applyNumberFormat="1" applyFill="1" applyBorder="1" applyProtection="1">
      <protection locked="0"/>
    </xf>
    <xf numFmtId="170" fontId="21" fillId="20" borderId="0" xfId="0" applyNumberFormat="1" applyFont="1" applyFill="1"/>
    <xf numFmtId="170"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 fontId="0" fillId="25" borderId="10" xfId="0" applyNumberFormat="1" applyFill="1" applyBorder="1" applyAlignment="1" applyProtection="1">
      <alignment horizontal="center"/>
      <protection locked="0"/>
    </xf>
    <xf numFmtId="1" fontId="0" fillId="25" borderId="57"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 fontId="0" fillId="25" borderId="70" xfId="0" applyNumberFormat="1" applyFill="1" applyBorder="1" applyAlignment="1" applyProtection="1">
      <alignment horizontal="center"/>
      <protection locked="0"/>
    </xf>
    <xf numFmtId="164" fontId="32" fillId="19" borderId="71" xfId="0" applyNumberFormat="1" applyFont="1" applyFill="1" applyBorder="1" applyAlignment="1" applyProtection="1">
      <alignment horizontal="center"/>
      <protection locked="0"/>
    </xf>
    <xf numFmtId="164" fontId="32" fillId="19" borderId="72" xfId="0" applyNumberFormat="1" applyFont="1" applyFill="1" applyBorder="1" applyAlignment="1" applyProtection="1">
      <alignment horizontal="center"/>
      <protection locked="0"/>
    </xf>
    <xf numFmtId="164" fontId="32" fillId="19" borderId="73" xfId="0" applyNumberFormat="1" applyFont="1" applyFill="1" applyBorder="1" applyAlignment="1" applyProtection="1">
      <alignment horizontal="center"/>
      <protection locked="0"/>
    </xf>
    <xf numFmtId="164" fontId="32" fillId="19" borderId="74" xfId="0" applyNumberFormat="1" applyFont="1" applyFill="1" applyBorder="1" applyAlignment="1" applyProtection="1">
      <alignment horizontal="center"/>
      <protection locked="0"/>
    </xf>
    <xf numFmtId="164" fontId="32" fillId="19" borderId="75" xfId="0" applyNumberFormat="1" applyFont="1" applyFill="1" applyBorder="1" applyAlignment="1" applyProtection="1">
      <alignment horizontal="center"/>
      <protection locked="0"/>
    </xf>
    <xf numFmtId="0" fontId="0" fillId="0" borderId="76" xfId="0" applyFill="1" applyBorder="1" applyAlignment="1" applyProtection="1">
      <alignment horizontal="center"/>
    </xf>
    <xf numFmtId="43" fontId="35" fillId="0" borderId="0" xfId="0" applyNumberFormat="1" applyFont="1"/>
    <xf numFmtId="0" fontId="0" fillId="0" borderId="0" xfId="0" applyBorder="1" applyAlignment="1">
      <alignment horizontal="left"/>
    </xf>
    <xf numFmtId="43" fontId="1" fillId="0" borderId="43" xfId="58" applyFont="1" applyBorder="1" applyAlignment="1" applyProtection="1">
      <alignment horizontal="right"/>
    </xf>
    <xf numFmtId="43" fontId="124" fillId="0" borderId="0" xfId="51" applyFont="1" applyFill="1" applyBorder="1" applyProtection="1"/>
    <xf numFmtId="3" fontId="28" fillId="25" borderId="71" xfId="0" applyNumberFormat="1" applyFont="1" applyFill="1" applyBorder="1" applyAlignment="1" applyProtection="1">
      <protection locked="0"/>
    </xf>
    <xf numFmtId="3" fontId="28" fillId="25" borderId="77"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9"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21" fillId="25" borderId="79" xfId="28" applyNumberFormat="1" applyFont="1" applyFill="1" applyBorder="1" applyAlignment="1" applyProtection="1">
      <protection locked="0"/>
    </xf>
    <xf numFmtId="164" fontId="14" fillId="19" borderId="81" xfId="0" applyNumberFormat="1" applyFont="1" applyFill="1" applyBorder="1" applyAlignment="1" applyProtection="1">
      <alignment horizontal="center"/>
      <protection locked="0"/>
    </xf>
    <xf numFmtId="164" fontId="14" fillId="19" borderId="82"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1" fillId="25" borderId="83" xfId="28" applyNumberFormat="1" applyFont="1" applyFill="1" applyBorder="1" applyAlignment="1" applyProtection="1">
      <protection locked="0"/>
    </xf>
    <xf numFmtId="3" fontId="1" fillId="25" borderId="83" xfId="28" applyNumberFormat="1" applyFont="1" applyFill="1" applyBorder="1" applyProtection="1">
      <protection locked="0"/>
    </xf>
    <xf numFmtId="49" fontId="25" fillId="0" borderId="84" xfId="0" applyNumberFormat="1" applyFont="1" applyFill="1" applyBorder="1" applyAlignment="1" applyProtection="1">
      <alignment vertical="center" wrapText="1"/>
    </xf>
    <xf numFmtId="0" fontId="91" fillId="0" borderId="85" xfId="0" applyNumberFormat="1" applyFont="1" applyFill="1" applyBorder="1" applyAlignment="1" applyProtection="1">
      <alignment horizontal="center" vertical="center" wrapText="1"/>
    </xf>
    <xf numFmtId="0" fontId="91" fillId="0" borderId="86" xfId="0" applyNumberFormat="1" applyFont="1" applyFill="1" applyBorder="1" applyAlignment="1" applyProtection="1">
      <alignment horizontal="center" vertical="center" wrapText="1"/>
    </xf>
    <xf numFmtId="49" fontId="26" fillId="0" borderId="87" xfId="0" applyNumberFormat="1" applyFont="1" applyFill="1" applyBorder="1" applyAlignment="1" applyProtection="1">
      <alignment wrapText="1"/>
      <protection locked="0"/>
    </xf>
    <xf numFmtId="3" fontId="1" fillId="25" borderId="88" xfId="28" applyNumberFormat="1" applyFont="1" applyFill="1" applyBorder="1" applyProtection="1">
      <protection locked="0"/>
    </xf>
    <xf numFmtId="49" fontId="26" fillId="0" borderId="87" xfId="0" applyNumberFormat="1" applyFont="1" applyFill="1" applyBorder="1" applyAlignment="1" applyProtection="1">
      <protection locked="0"/>
    </xf>
    <xf numFmtId="0" fontId="26" fillId="0" borderId="87" xfId="0" applyFont="1" applyFill="1" applyBorder="1" applyAlignment="1" applyProtection="1">
      <alignment wrapText="1"/>
      <protection locked="0"/>
    </xf>
    <xf numFmtId="0" fontId="0" fillId="0" borderId="89" xfId="0" applyBorder="1" applyAlignment="1" applyProtection="1"/>
    <xf numFmtId="3" fontId="0" fillId="0" borderId="90" xfId="0" applyNumberFormat="1" applyBorder="1" applyProtection="1"/>
    <xf numFmtId="3" fontId="0" fillId="0" borderId="91"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8" xfId="0" applyNumberFormat="1" applyFill="1" applyBorder="1" applyAlignment="1" applyProtection="1">
      <alignment horizontal="left"/>
      <protection locked="0"/>
    </xf>
    <xf numFmtId="0" fontId="0" fillId="24" borderId="68" xfId="0" applyNumberFormat="1" applyFill="1" applyBorder="1" applyProtection="1">
      <protection locked="0"/>
    </xf>
    <xf numFmtId="0" fontId="0" fillId="24" borderId="68" xfId="0" applyNumberFormat="1" applyFill="1" applyBorder="1" applyAlignment="1" applyProtection="1">
      <alignment horizontal="center"/>
      <protection locked="0"/>
    </xf>
    <xf numFmtId="0" fontId="0" fillId="22" borderId="92" xfId="0" applyFill="1" applyBorder="1"/>
    <xf numFmtId="0" fontId="0" fillId="0" borderId="20" xfId="0" applyBorder="1" applyProtection="1"/>
    <xf numFmtId="43" fontId="39" fillId="24" borderId="93" xfId="61" applyFont="1" applyFill="1" applyBorder="1" applyAlignment="1" applyProtection="1">
      <alignment horizontal="center" vertical="center"/>
    </xf>
    <xf numFmtId="43" fontId="39" fillId="0" borderId="94" xfId="61" applyFont="1" applyFill="1" applyBorder="1" applyAlignment="1" applyProtection="1">
      <alignment vertical="center"/>
    </xf>
    <xf numFmtId="0" fontId="0" fillId="0" borderId="95" xfId="0" applyNumberFormat="1" applyFill="1" applyBorder="1"/>
    <xf numFmtId="15" fontId="27" fillId="0" borderId="96"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0" fillId="0" borderId="0" xfId="0" applyNumberFormat="1" applyFill="1" applyBorder="1" applyProtection="1">
      <protection locked="0"/>
    </xf>
    <xf numFmtId="3" fontId="67" fillId="0" borderId="10" xfId="0" applyNumberFormat="1" applyFont="1" applyFill="1" applyBorder="1" applyAlignment="1" applyProtection="1">
      <alignment vertical="center"/>
    </xf>
    <xf numFmtId="3" fontId="67" fillId="0" borderId="97" xfId="0" applyNumberFormat="1" applyFont="1" applyFill="1" applyBorder="1" applyAlignment="1" applyProtection="1">
      <alignment vertical="center"/>
    </xf>
    <xf numFmtId="167" fontId="0" fillId="0" borderId="10" xfId="0" applyNumberFormat="1" applyFill="1" applyBorder="1" applyAlignment="1" applyProtection="1">
      <alignment horizontal="center"/>
    </xf>
    <xf numFmtId="167" fontId="15" fillId="27" borderId="98" xfId="0" applyNumberFormat="1" applyFont="1" applyFill="1" applyBorder="1" applyAlignment="1" applyProtection="1">
      <alignment horizontal="center"/>
    </xf>
    <xf numFmtId="167" fontId="21" fillId="27" borderId="98" xfId="0" applyNumberFormat="1" applyFont="1" applyFill="1" applyBorder="1" applyAlignment="1" applyProtection="1">
      <alignment horizont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9" xfId="0" applyFont="1" applyFill="1" applyBorder="1" applyAlignment="1" applyProtection="1">
      <alignment horizontal="center" vertical="center" wrapText="1"/>
    </xf>
    <xf numFmtId="0" fontId="77" fillId="0" borderId="100" xfId="0" applyFont="1" applyFill="1" applyBorder="1" applyAlignment="1" applyProtection="1">
      <alignment horizontal="center"/>
    </xf>
    <xf numFmtId="0" fontId="77" fillId="0" borderId="101" xfId="0" applyFont="1" applyFill="1" applyBorder="1" applyAlignment="1" applyProtection="1">
      <alignment horizontal="center"/>
    </xf>
    <xf numFmtId="0" fontId="77" fillId="0" borderId="102" xfId="0" applyNumberFormat="1"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3" xfId="0" applyNumberFormat="1" applyFont="1" applyFill="1" applyBorder="1" applyAlignment="1" applyProtection="1">
      <alignment horizontal="center" vertical="center"/>
    </xf>
    <xf numFmtId="0" fontId="77" fillId="0" borderId="104" xfId="0" applyNumberFormat="1" applyFont="1" applyFill="1" applyBorder="1" applyAlignment="1" applyProtection="1">
      <alignment horizontal="center" vertical="center"/>
    </xf>
    <xf numFmtId="0" fontId="81"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77" fillId="0" borderId="108" xfId="0"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2" fillId="0" borderId="112" xfId="0" applyFont="1" applyFill="1" applyBorder="1" applyAlignment="1" applyProtection="1">
      <alignment horizontal="center"/>
    </xf>
    <xf numFmtId="164" fontId="14" fillId="19" borderId="109" xfId="0" applyNumberFormat="1" applyFont="1" applyFill="1" applyBorder="1" applyAlignment="1" applyProtection="1">
      <alignment horizontal="center"/>
      <protection locked="0"/>
    </xf>
    <xf numFmtId="164" fontId="14" fillId="19" borderId="113" xfId="0" applyNumberFormat="1" applyFont="1" applyFill="1" applyBorder="1" applyAlignment="1" applyProtection="1">
      <alignment horizontal="center"/>
      <protection locked="0"/>
    </xf>
    <xf numFmtId="167" fontId="0" fillId="20" borderId="10" xfId="0" applyNumberFormat="1" applyFill="1" applyBorder="1" applyAlignment="1" applyProtection="1">
      <alignment horizontal="center"/>
    </xf>
    <xf numFmtId="167" fontId="0" fillId="0" borderId="10" xfId="0" applyNumberFormat="1" applyBorder="1" applyAlignment="1" applyProtection="1">
      <alignment horizontal="center"/>
    </xf>
    <xf numFmtId="167" fontId="0" fillId="20" borderId="68" xfId="0" applyNumberFormat="1" applyFill="1" applyBorder="1" applyAlignment="1" applyProtection="1">
      <alignment horizontal="center"/>
    </xf>
    <xf numFmtId="167" fontId="0" fillId="0" borderId="68" xfId="0" applyNumberFormat="1" applyBorder="1" applyAlignment="1" applyProtection="1">
      <alignment horizontal="center"/>
    </xf>
    <xf numFmtId="3" fontId="67" fillId="28" borderId="10" xfId="0" applyNumberFormat="1" applyFont="1" applyFill="1" applyBorder="1" applyAlignment="1" applyProtection="1">
      <alignment vertical="center"/>
      <protection locked="0"/>
    </xf>
    <xf numFmtId="3" fontId="67" fillId="28" borderId="31" xfId="0" applyNumberFormat="1" applyFont="1" applyFill="1" applyBorder="1" applyAlignment="1" applyProtection="1">
      <alignment vertical="center"/>
      <protection locked="0"/>
    </xf>
    <xf numFmtId="3" fontId="67" fillId="23" borderId="31" xfId="0" applyNumberFormat="1" applyFont="1" applyFill="1" applyBorder="1" applyAlignment="1" applyProtection="1">
      <alignment horizontal="right" vertical="center"/>
      <protection locked="0"/>
    </xf>
    <xf numFmtId="3" fontId="67" fillId="29" borderId="10" xfId="0" applyNumberFormat="1" applyFont="1" applyFill="1" applyBorder="1" applyAlignment="1" applyProtection="1">
      <alignment vertical="center"/>
    </xf>
    <xf numFmtId="0" fontId="0" fillId="0" borderId="237" xfId="0" applyBorder="1"/>
    <xf numFmtId="0" fontId="0" fillId="0" borderId="68" xfId="0" applyNumberFormat="1" applyFill="1" applyBorder="1" applyProtection="1"/>
    <xf numFmtId="3" fontId="0" fillId="0" borderId="68" xfId="0" applyNumberFormat="1" applyFill="1" applyBorder="1" applyProtection="1"/>
    <xf numFmtId="167" fontId="0" fillId="0" borderId="68" xfId="0" applyNumberFormat="1" applyFill="1" applyBorder="1" applyAlignment="1" applyProtection="1">
      <alignment horizontal="center"/>
    </xf>
    <xf numFmtId="0" fontId="0" fillId="0" borderId="60" xfId="0" applyBorder="1" applyAlignment="1" applyProtection="1">
      <alignment horizontal="center" wrapText="1"/>
    </xf>
    <xf numFmtId="3" fontId="1" fillId="0" borderId="68" xfId="28" applyNumberFormat="1" applyFont="1" applyFill="1" applyBorder="1" applyAlignment="1" applyProtection="1">
      <alignment horizontal="right"/>
    </xf>
    <xf numFmtId="3" fontId="0" fillId="0" borderId="68" xfId="0" applyNumberFormat="1" applyBorder="1" applyAlignment="1" applyProtection="1">
      <alignment horizontal="right" wrapText="1"/>
    </xf>
    <xf numFmtId="0" fontId="0" fillId="35" borderId="26" xfId="0" applyNumberFormat="1" applyFill="1" applyBorder="1" applyAlignment="1" applyProtection="1">
      <alignment horizontal="center"/>
      <protection locked="0"/>
    </xf>
    <xf numFmtId="3" fontId="0" fillId="24" borderId="58" xfId="0" applyNumberFormat="1" applyFill="1" applyBorder="1" applyAlignment="1" applyProtection="1">
      <alignment horizontal="right" wrapText="1"/>
      <protection locked="0"/>
    </xf>
    <xf numFmtId="3" fontId="0" fillId="0" borderId="58" xfId="0" applyNumberFormat="1" applyBorder="1" applyAlignment="1" applyProtection="1">
      <alignment horizontal="right" wrapText="1"/>
    </xf>
    <xf numFmtId="3" fontId="0" fillId="0" borderId="61" xfId="0" applyNumberFormat="1" applyBorder="1" applyAlignment="1" applyProtection="1">
      <alignment horizontal="right" wrapText="1"/>
    </xf>
    <xf numFmtId="167" fontId="0" fillId="0" borderId="58" xfId="0" applyNumberFormat="1" applyFill="1" applyBorder="1" applyProtection="1"/>
    <xf numFmtId="167" fontId="0" fillId="0" borderId="61" xfId="0" applyNumberFormat="1" applyFill="1" applyBorder="1" applyProtection="1"/>
    <xf numFmtId="3" fontId="67" fillId="0" borderId="31" xfId="0" applyNumberFormat="1" applyFont="1" applyFill="1" applyBorder="1" applyAlignment="1" applyProtection="1">
      <alignment vertical="center"/>
    </xf>
    <xf numFmtId="3" fontId="67" fillId="29" borderId="31" xfId="0" applyNumberFormat="1" applyFont="1" applyFill="1" applyBorder="1" applyAlignment="1" applyProtection="1">
      <alignment vertical="center"/>
    </xf>
    <xf numFmtId="3" fontId="67" fillId="0" borderId="238"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3" fontId="67" fillId="28" borderId="10" xfId="0" applyNumberFormat="1" applyFont="1" applyFill="1" applyBorder="1" applyAlignment="1" applyProtection="1">
      <alignment horizontal="center" vertical="center"/>
      <protection locked="0"/>
    </xf>
    <xf numFmtId="3" fontId="2" fillId="22" borderId="10" xfId="0" applyNumberFormat="1" applyFont="1" applyFill="1" applyBorder="1" applyAlignment="1" applyProtection="1">
      <alignment horizontal="center" vertical="center"/>
      <protection locked="0"/>
    </xf>
    <xf numFmtId="3" fontId="67" fillId="22" borderId="10" xfId="0" applyNumberFormat="1" applyFont="1" applyFill="1" applyBorder="1" applyAlignment="1" applyProtection="1">
      <alignment horizontal="center" vertical="center"/>
      <protection locked="0"/>
    </xf>
    <xf numFmtId="3" fontId="2" fillId="23" borderId="10" xfId="0" applyNumberFormat="1" applyFont="1" applyFill="1" applyBorder="1" applyAlignment="1" applyProtection="1">
      <alignment horizontal="center" vertical="center"/>
      <protection locked="0"/>
    </xf>
    <xf numFmtId="3" fontId="67" fillId="23"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protection locked="0"/>
    </xf>
    <xf numFmtId="49" fontId="26" fillId="0" borderId="87" xfId="0" applyNumberFormat="1" applyFont="1" applyFill="1" applyBorder="1" applyAlignment="1" applyProtection="1">
      <alignment horizontal="justify" wrapText="1"/>
      <protection locked="0"/>
    </xf>
    <xf numFmtId="0" fontId="141" fillId="22" borderId="29" xfId="0" applyFont="1" applyFill="1" applyBorder="1" applyAlignment="1">
      <alignment horizontal="justify" vertical="center" wrapText="1"/>
    </xf>
    <xf numFmtId="0" fontId="142" fillId="22" borderId="46" xfId="0" applyFont="1" applyFill="1" applyBorder="1" applyAlignment="1">
      <alignment horizontal="justify" vertical="center" wrapText="1"/>
    </xf>
    <xf numFmtId="0" fontId="142" fillId="22" borderId="47" xfId="0" applyFont="1" applyFill="1" applyBorder="1" applyAlignment="1">
      <alignment horizontal="justify" vertical="center" wrapText="1"/>
    </xf>
    <xf numFmtId="0" fontId="141" fillId="22" borderId="29" xfId="0" applyFont="1" applyFill="1" applyBorder="1" applyAlignment="1">
      <alignment horizontal="left" vertical="center" wrapText="1"/>
    </xf>
    <xf numFmtId="0" fontId="141" fillId="22" borderId="46" xfId="0" applyFont="1" applyFill="1" applyBorder="1" applyAlignment="1">
      <alignment horizontal="left" vertical="center" wrapText="1"/>
    </xf>
    <xf numFmtId="0" fontId="141" fillId="22" borderId="47" xfId="0" applyFont="1" applyFill="1" applyBorder="1" applyAlignment="1">
      <alignment horizontal="left" vertical="center" wrapText="1"/>
    </xf>
    <xf numFmtId="0" fontId="141" fillId="0" borderId="46" xfId="0" applyFont="1" applyBorder="1" applyAlignment="1" applyProtection="1">
      <alignment horizontal="left" vertical="center" wrapText="1"/>
      <protection locked="0"/>
    </xf>
    <xf numFmtId="0" fontId="141" fillId="0" borderId="47" xfId="0" applyFont="1" applyBorder="1" applyAlignment="1" applyProtection="1">
      <alignment horizontal="left" vertical="center" wrapText="1"/>
      <protection locked="0"/>
    </xf>
    <xf numFmtId="0" fontId="143" fillId="0" borderId="10" xfId="0" applyFont="1" applyFill="1" applyBorder="1" applyAlignment="1" applyProtection="1">
      <alignment horizontal="center"/>
    </xf>
    <xf numFmtId="3" fontId="67" fillId="23" borderId="10" xfId="0" quotePrefix="1" applyNumberFormat="1" applyFont="1" applyFill="1" applyBorder="1" applyAlignment="1" applyProtection="1">
      <alignment horizontal="center" vertical="center"/>
      <protection locked="0"/>
    </xf>
    <xf numFmtId="3" fontId="28" fillId="0" borderId="10" xfId="0" applyNumberFormat="1" applyFont="1" applyBorder="1" applyAlignment="1" applyProtection="1">
      <alignment horizontal="center" vertical="center" wrapText="1"/>
    </xf>
    <xf numFmtId="1" fontId="2" fillId="28" borderId="10" xfId="0" quotePrefix="1" applyNumberFormat="1" applyFont="1" applyFill="1" applyBorder="1" applyAlignment="1" applyProtection="1">
      <alignment horizontal="center" vertical="center"/>
      <protection locked="0"/>
    </xf>
    <xf numFmtId="0" fontId="0" fillId="0" borderId="21" xfId="0" applyBorder="1" applyAlignment="1" applyProtection="1">
      <alignment horizontal="center"/>
    </xf>
    <xf numFmtId="0" fontId="144" fillId="0" borderId="29" xfId="0" applyFont="1" applyBorder="1" applyAlignment="1" applyProtection="1">
      <alignment horizontal="left" vertical="center" wrapText="1"/>
      <protection locked="0"/>
    </xf>
    <xf numFmtId="0" fontId="77" fillId="0" borderId="236" xfId="0" applyFont="1" applyFill="1" applyBorder="1" applyAlignment="1" applyProtection="1">
      <alignment horizontal="center" vertical="center" wrapText="1"/>
    </xf>
    <xf numFmtId="173" fontId="28" fillId="0" borderId="10" xfId="0" applyNumberFormat="1" applyFont="1" applyBorder="1" applyAlignment="1" applyProtection="1">
      <alignment horizontal="center" vertical="center" wrapText="1"/>
    </xf>
    <xf numFmtId="3" fontId="28" fillId="0" borderId="10" xfId="0" quotePrefix="1" applyNumberFormat="1" applyFont="1" applyBorder="1" applyAlignment="1" applyProtection="1">
      <alignment horizontal="right" vertical="center" wrapText="1"/>
    </xf>
    <xf numFmtId="3" fontId="28" fillId="0" borderId="10" xfId="0" applyNumberFormat="1" applyFont="1" applyBorder="1" applyAlignment="1" applyProtection="1">
      <alignment horizontal="right" vertical="center" wrapText="1"/>
    </xf>
    <xf numFmtId="173" fontId="153" fillId="23" borderId="10" xfId="0" applyNumberFormat="1" applyFont="1" applyFill="1" applyBorder="1" applyAlignment="1" applyProtection="1">
      <alignment horizontal="center" vertical="center"/>
      <protection locked="0"/>
    </xf>
    <xf numFmtId="3" fontId="153" fillId="23" borderId="10" xfId="0" applyNumberFormat="1" applyFont="1" applyFill="1" applyBorder="1" applyAlignment="1" applyProtection="1">
      <alignment horizontal="center" vertical="center"/>
      <protection locked="0"/>
    </xf>
    <xf numFmtId="173" fontId="153" fillId="28" borderId="10" xfId="0" applyNumberFormat="1" applyFont="1" applyFill="1" applyBorder="1" applyAlignment="1" applyProtection="1">
      <alignment horizontal="center" vertical="center"/>
      <protection locked="0"/>
    </xf>
    <xf numFmtId="3" fontId="153" fillId="28"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wrapText="1"/>
      <protection locked="0"/>
    </xf>
    <xf numFmtId="173" fontId="77" fillId="23" borderId="10" xfId="0" applyNumberFormat="1" applyFont="1" applyFill="1" applyBorder="1" applyAlignment="1" applyProtection="1">
      <alignment horizontal="center" vertical="center"/>
      <protection locked="0"/>
    </xf>
    <xf numFmtId="3" fontId="77" fillId="23" borderId="10" xfId="0" applyNumberFormat="1" applyFont="1" applyFill="1" applyBorder="1" applyAlignment="1" applyProtection="1">
      <alignment horizontal="center" vertical="center"/>
      <protection locked="0"/>
    </xf>
    <xf numFmtId="3" fontId="77" fillId="28" borderId="10" xfId="0" applyNumberFormat="1" applyFont="1" applyFill="1" applyBorder="1" applyAlignment="1" applyProtection="1">
      <alignment horizontal="center" vertical="center"/>
      <protection locked="0"/>
    </xf>
    <xf numFmtId="173" fontId="77" fillId="28" borderId="10" xfId="0" applyNumberFormat="1" applyFont="1" applyFill="1" applyBorder="1" applyAlignment="1" applyProtection="1">
      <alignment horizontal="center" vertical="center"/>
      <protection locked="0"/>
    </xf>
    <xf numFmtId="4" fontId="6" fillId="0" borderId="78" xfId="28" applyNumberFormat="1" applyFont="1" applyFill="1" applyBorder="1" applyAlignment="1" applyProtection="1"/>
    <xf numFmtId="4" fontId="6" fillId="0" borderId="80" xfId="28" applyNumberFormat="1" applyFont="1" applyFill="1" applyBorder="1" applyAlignment="1" applyProtection="1"/>
    <xf numFmtId="3" fontId="154" fillId="28" borderId="10" xfId="0" applyNumberFormat="1" applyFont="1" applyFill="1" applyBorder="1" applyAlignment="1" applyProtection="1">
      <alignment horizontal="center" vertical="center"/>
      <protection locked="0"/>
    </xf>
    <xf numFmtId="3" fontId="153" fillId="23" borderId="10" xfId="0" applyNumberFormat="1" applyFont="1" applyFill="1" applyBorder="1" applyAlignment="1" applyProtection="1">
      <alignment vertical="center"/>
      <protection locked="0"/>
    </xf>
    <xf numFmtId="3" fontId="153" fillId="28" borderId="10" xfId="0" applyNumberFormat="1" applyFont="1" applyFill="1" applyBorder="1" applyAlignment="1" applyProtection="1">
      <alignment vertical="center"/>
      <protection locked="0"/>
    </xf>
    <xf numFmtId="0" fontId="0" fillId="19" borderId="0" xfId="0" applyFill="1" applyBorder="1" applyAlignment="1" applyProtection="1">
      <alignment horizontal="center" vertical="center" textRotation="90"/>
    </xf>
    <xf numFmtId="49" fontId="28" fillId="0" borderId="0" xfId="0" applyNumberFormat="1" applyFont="1" applyAlignment="1" applyProtection="1">
      <alignment horizontal="center"/>
    </xf>
    <xf numFmtId="0" fontId="114" fillId="0" borderId="0" xfId="0" applyFont="1" applyFill="1" applyAlignment="1" applyProtection="1">
      <alignment horizontal="right"/>
    </xf>
    <xf numFmtId="0" fontId="0" fillId="0" borderId="0" xfId="0" applyFill="1" applyProtection="1"/>
    <xf numFmtId="0" fontId="12" fillId="0" borderId="0" xfId="0" applyFont="1" applyFill="1"/>
    <xf numFmtId="0" fontId="143" fillId="37" borderId="10" xfId="0" applyFont="1" applyFill="1" applyBorder="1" applyAlignment="1" applyProtection="1">
      <alignment horizontal="center"/>
    </xf>
    <xf numFmtId="3" fontId="67" fillId="28" borderId="10" xfId="0" applyNumberFormat="1" applyFont="1" applyFill="1" applyBorder="1" applyAlignment="1" applyProtection="1">
      <alignment horizontal="right" vertical="center"/>
      <protection locked="0"/>
    </xf>
    <xf numFmtId="3" fontId="67" fillId="28" borderId="31" xfId="0" applyNumberFormat="1" applyFont="1" applyFill="1" applyBorder="1" applyAlignment="1" applyProtection="1">
      <alignment horizontal="right" vertical="center"/>
      <protection locked="0"/>
    </xf>
    <xf numFmtId="0" fontId="21" fillId="37" borderId="0" xfId="0" applyFont="1" applyFill="1"/>
    <xf numFmtId="0" fontId="0" fillId="37" borderId="0" xfId="0" applyFill="1"/>
    <xf numFmtId="3" fontId="153" fillId="28" borderId="10" xfId="0" applyNumberFormat="1" applyFont="1" applyFill="1" applyBorder="1" applyAlignment="1" applyProtection="1">
      <alignment horizontal="right" vertical="center"/>
      <protection locked="0"/>
    </xf>
    <xf numFmtId="3" fontId="67" fillId="38" borderId="10" xfId="0" applyNumberFormat="1" applyFont="1" applyFill="1" applyBorder="1" applyAlignment="1" applyProtection="1">
      <alignment vertical="center"/>
      <protection locked="0"/>
    </xf>
    <xf numFmtId="3" fontId="67" fillId="38" borderId="31" xfId="0" applyNumberFormat="1" applyFont="1" applyFill="1" applyBorder="1" applyAlignment="1" applyProtection="1">
      <alignment vertical="center"/>
      <protection locked="0"/>
    </xf>
    <xf numFmtId="0" fontId="67" fillId="0" borderId="67" xfId="0" applyFont="1" applyFill="1" applyBorder="1" applyAlignment="1" applyProtection="1">
      <alignment horizontal="center"/>
    </xf>
    <xf numFmtId="0" fontId="67" fillId="0" borderId="29" xfId="0" applyFont="1" applyFill="1" applyBorder="1" applyAlignment="1" applyProtection="1">
      <alignment horizontal="center"/>
    </xf>
    <xf numFmtId="0" fontId="67" fillId="29" borderId="10" xfId="0" applyFont="1" applyFill="1" applyBorder="1" applyAlignment="1" applyProtection="1">
      <alignment horizontal="center"/>
    </xf>
    <xf numFmtId="0" fontId="67" fillId="0" borderId="30" xfId="0" applyFont="1" applyFill="1" applyBorder="1" applyAlignment="1" applyProtection="1">
      <alignment horizontal="center"/>
    </xf>
    <xf numFmtId="0" fontId="30" fillId="22" borderId="0" xfId="0" applyFont="1" applyFill="1" applyBorder="1" applyAlignment="1" applyProtection="1">
      <alignment horizontal="left" vertical="top"/>
      <protection locked="0"/>
    </xf>
    <xf numFmtId="0" fontId="0" fillId="0" borderId="0" xfId="0" applyBorder="1" applyAlignment="1">
      <alignment horizontal="left" vertical="top"/>
    </xf>
    <xf numFmtId="0" fontId="34" fillId="22" borderId="0" xfId="0" applyFont="1" applyFill="1" applyBorder="1" applyAlignment="1" applyProtection="1">
      <alignment horizontal="left" vertical="top"/>
      <protection locked="0"/>
    </xf>
    <xf numFmtId="0" fontId="0" fillId="0" borderId="0" xfId="0" applyAlignment="1">
      <alignment vertical="top"/>
    </xf>
    <xf numFmtId="0" fontId="0" fillId="0" borderId="0" xfId="0" applyFill="1" applyBorder="1" applyAlignment="1">
      <alignment horizontal="left" vertical="top" wrapText="1"/>
    </xf>
    <xf numFmtId="0" fontId="0" fillId="0" borderId="0" xfId="0" applyFill="1" applyAlignment="1">
      <alignment vertical="top"/>
    </xf>
    <xf numFmtId="3" fontId="67" fillId="22" borderId="10" xfId="0" quotePrefix="1" applyNumberFormat="1" applyFont="1" applyFill="1" applyBorder="1" applyAlignment="1" applyProtection="1">
      <alignment horizontal="center" vertical="center"/>
      <protection locked="0"/>
    </xf>
    <xf numFmtId="173" fontId="67" fillId="23" borderId="10" xfId="0" applyNumberFormat="1" applyFont="1" applyFill="1" applyBorder="1" applyAlignment="1" applyProtection="1">
      <alignment horizontal="center" vertical="center"/>
      <protection locked="0"/>
    </xf>
    <xf numFmtId="43" fontId="17" fillId="30"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0" fillId="0" borderId="114" xfId="0" applyBorder="1" applyAlignment="1">
      <alignment horizontal="center"/>
    </xf>
    <xf numFmtId="0" fontId="63" fillId="0" borderId="29" xfId="0" applyFont="1" applyBorder="1" applyAlignment="1">
      <alignment horizontal="left" vertical="center" wrapText="1"/>
    </xf>
    <xf numFmtId="0" fontId="63" fillId="0" borderId="46" xfId="0" applyFont="1" applyBorder="1" applyAlignment="1">
      <alignment horizontal="left" vertical="center" wrapText="1"/>
    </xf>
    <xf numFmtId="0" fontId="63" fillId="0" borderId="47" xfId="0" applyFont="1" applyBorder="1" applyAlignment="1">
      <alignment horizontal="left" vertical="center" wrapText="1"/>
    </xf>
    <xf numFmtId="0" fontId="0" fillId="0" borderId="114" xfId="0" applyBorder="1" applyAlignment="1">
      <alignment horizontal="center" wrapText="1"/>
    </xf>
    <xf numFmtId="0" fontId="0" fillId="0" borderId="0" xfId="0" applyBorder="1" applyAlignment="1">
      <alignment horizontal="center" wrapText="1"/>
    </xf>
    <xf numFmtId="0" fontId="87" fillId="24" borderId="29" xfId="0" applyFont="1" applyFill="1" applyBorder="1" applyAlignment="1">
      <alignment horizontal="center"/>
    </xf>
    <xf numFmtId="0" fontId="87" fillId="24" borderId="46" xfId="0" applyFont="1" applyFill="1" applyBorder="1" applyAlignment="1">
      <alignment horizontal="center"/>
    </xf>
    <xf numFmtId="0" fontId="87" fillId="24" borderId="47" xfId="0" applyFont="1" applyFill="1" applyBorder="1" applyAlignment="1">
      <alignment horizontal="center"/>
    </xf>
    <xf numFmtId="0" fontId="89" fillId="0" borderId="29" xfId="0" applyFont="1" applyBorder="1" applyAlignment="1">
      <alignment horizontal="justify" vertical="center" wrapText="1"/>
    </xf>
    <xf numFmtId="0" fontId="89" fillId="0" borderId="46" xfId="0" applyFont="1" applyBorder="1" applyAlignment="1">
      <alignment horizontal="justify" vertical="center" wrapText="1"/>
    </xf>
    <xf numFmtId="0" fontId="89" fillId="0" borderId="47" xfId="0" applyFont="1" applyBorder="1" applyAlignment="1">
      <alignment horizontal="justify" vertical="center" wrapText="1"/>
    </xf>
    <xf numFmtId="0" fontId="0" fillId="0" borderId="0" xfId="0" applyBorder="1" applyAlignment="1">
      <alignment horizontal="center"/>
    </xf>
    <xf numFmtId="0" fontId="86" fillId="0" borderId="0" xfId="0" applyFont="1" applyAlignment="1">
      <alignment horizontal="center"/>
    </xf>
    <xf numFmtId="43" fontId="17" fillId="31" borderId="0" xfId="47" applyFont="1" applyFill="1" applyAlignment="1" applyProtection="1">
      <alignment horizontal="center" vertical="center"/>
    </xf>
    <xf numFmtId="0" fontId="87" fillId="25" borderId="29" xfId="0" applyFont="1" applyFill="1" applyBorder="1" applyAlignment="1">
      <alignment horizontal="center"/>
    </xf>
    <xf numFmtId="0" fontId="87" fillId="25" borderId="46" xfId="0" applyFont="1" applyFill="1" applyBorder="1" applyAlignment="1">
      <alignment horizontal="center"/>
    </xf>
    <xf numFmtId="0" fontId="87" fillId="25" borderId="47" xfId="0" applyFont="1" applyFill="1" applyBorder="1" applyAlignment="1">
      <alignment horizontal="center"/>
    </xf>
    <xf numFmtId="9" fontId="89" fillId="0" borderId="29" xfId="56" applyFont="1" applyBorder="1" applyAlignment="1">
      <alignment horizontal="justify" vertical="center" wrapText="1"/>
    </xf>
    <xf numFmtId="9" fontId="89" fillId="0" borderId="46" xfId="56" applyFont="1" applyBorder="1" applyAlignment="1">
      <alignment horizontal="justify" vertical="center" wrapText="1"/>
    </xf>
    <xf numFmtId="9" fontId="89" fillId="0" borderId="47" xfId="56" applyFont="1" applyBorder="1" applyAlignment="1">
      <alignment horizontal="justify" vertical="center" wrapText="1"/>
    </xf>
    <xf numFmtId="43" fontId="88" fillId="0" borderId="29" xfId="0" applyNumberFormat="1" applyFont="1" applyBorder="1" applyAlignment="1">
      <alignment horizontal="left" vertical="center" wrapText="1"/>
    </xf>
    <xf numFmtId="0" fontId="88" fillId="0" borderId="46" xfId="0" applyFont="1" applyBorder="1" applyAlignment="1">
      <alignment horizontal="left" vertical="center" wrapText="1"/>
    </xf>
    <xf numFmtId="0" fontId="88" fillId="0" borderId="47" xfId="0" applyFont="1" applyBorder="1" applyAlignment="1">
      <alignment horizontal="left" vertical="center" wrapText="1"/>
    </xf>
    <xf numFmtId="0" fontId="88" fillId="0" borderId="46" xfId="0" applyFont="1" applyBorder="1" applyAlignment="1">
      <alignment horizontal="left" vertical="center"/>
    </xf>
    <xf numFmtId="0" fontId="88" fillId="0" borderId="47" xfId="0" applyFont="1" applyBorder="1" applyAlignment="1">
      <alignment horizontal="left" vertical="center"/>
    </xf>
    <xf numFmtId="43" fontId="88" fillId="0" borderId="29" xfId="0" applyNumberFormat="1" applyFont="1" applyBorder="1" applyAlignment="1">
      <alignment horizontal="justify" vertical="center" wrapText="1"/>
    </xf>
    <xf numFmtId="0" fontId="88" fillId="0" borderId="46" xfId="0" applyFont="1" applyBorder="1" applyAlignment="1">
      <alignment horizontal="justify" vertical="center"/>
    </xf>
    <xf numFmtId="0" fontId="88" fillId="0" borderId="47" xfId="0" applyFont="1" applyBorder="1" applyAlignment="1">
      <alignment horizontal="justify" vertical="center"/>
    </xf>
    <xf numFmtId="0" fontId="0" fillId="0" borderId="29"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145" fillId="22" borderId="29" xfId="0" applyFont="1" applyFill="1" applyBorder="1" applyAlignment="1">
      <alignment horizontal="center" vertical="center" wrapText="1"/>
    </xf>
    <xf numFmtId="0" fontId="145" fillId="22" borderId="46" xfId="0" applyFont="1" applyFill="1" applyBorder="1" applyAlignment="1">
      <alignment horizontal="center" vertical="center"/>
    </xf>
    <xf numFmtId="0" fontId="145" fillId="22" borderId="47" xfId="0" applyFont="1" applyFill="1" applyBorder="1" applyAlignment="1">
      <alignment horizontal="center" vertical="center"/>
    </xf>
    <xf numFmtId="0" fontId="146" fillId="22" borderId="29" xfId="0" applyFont="1" applyFill="1" applyBorder="1" applyAlignment="1">
      <alignment horizontal="center" vertical="center"/>
    </xf>
    <xf numFmtId="0" fontId="146" fillId="22" borderId="46" xfId="0" applyFont="1" applyFill="1" applyBorder="1" applyAlignment="1">
      <alignment horizontal="center" vertical="center"/>
    </xf>
    <xf numFmtId="0" fontId="146" fillId="22" borderId="47" xfId="0" applyFont="1" applyFill="1" applyBorder="1" applyAlignment="1">
      <alignment horizontal="center" vertical="center"/>
    </xf>
    <xf numFmtId="0" fontId="24" fillId="0" borderId="29"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93" fillId="22" borderId="29" xfId="0" applyFont="1" applyFill="1" applyBorder="1" applyAlignment="1">
      <alignment horizontal="center" wrapText="1"/>
    </xf>
    <xf numFmtId="0" fontId="93" fillId="22" borderId="46" xfId="0" applyFont="1" applyFill="1" applyBorder="1" applyAlignment="1">
      <alignment horizontal="center" wrapText="1"/>
    </xf>
    <xf numFmtId="0" fontId="93" fillId="22" borderId="47" xfId="0" applyFont="1" applyFill="1" applyBorder="1" applyAlignment="1">
      <alignment horizontal="center" wrapText="1"/>
    </xf>
    <xf numFmtId="0" fontId="93" fillId="22" borderId="29" xfId="0" applyFont="1" applyFill="1" applyBorder="1" applyAlignment="1">
      <alignment horizontal="center"/>
    </xf>
    <xf numFmtId="0" fontId="93" fillId="22" borderId="46" xfId="0" applyFont="1" applyFill="1" applyBorder="1" applyAlignment="1">
      <alignment horizontal="center"/>
    </xf>
    <xf numFmtId="0" fontId="93" fillId="22" borderId="47" xfId="0" applyFont="1" applyFill="1" applyBorder="1" applyAlignment="1">
      <alignment horizontal="center"/>
    </xf>
    <xf numFmtId="0" fontId="141" fillId="0" borderId="29" xfId="0" applyFont="1" applyBorder="1" applyAlignment="1" applyProtection="1">
      <alignment horizontal="center" vertical="center" wrapText="1"/>
      <protection locked="0"/>
    </xf>
    <xf numFmtId="0" fontId="141" fillId="0" borderId="46" xfId="0" applyFont="1" applyBorder="1" applyAlignment="1" applyProtection="1">
      <alignment horizontal="center" vertical="center" wrapText="1"/>
      <protection locked="0"/>
    </xf>
    <xf numFmtId="0" fontId="141" fillId="0" borderId="47" xfId="0" applyFont="1" applyBorder="1" applyAlignment="1" applyProtection="1">
      <alignment horizontal="center" vertical="center" wrapText="1"/>
      <protection locked="0"/>
    </xf>
    <xf numFmtId="0" fontId="144" fillId="0" borderId="29" xfId="0" applyFont="1" applyBorder="1" applyAlignment="1" applyProtection="1">
      <alignment horizontal="left" vertical="center" wrapText="1"/>
      <protection locked="0"/>
    </xf>
    <xf numFmtId="0" fontId="141" fillId="0" borderId="46" xfId="0" applyFont="1" applyBorder="1" applyAlignment="1" applyProtection="1">
      <alignment horizontal="left" vertical="center" wrapText="1"/>
      <protection locked="0"/>
    </xf>
    <xf numFmtId="0" fontId="141" fillId="0" borderId="47" xfId="0" applyFont="1" applyBorder="1" applyAlignment="1" applyProtection="1">
      <alignment horizontal="left" vertical="center" wrapText="1"/>
      <protection locked="0"/>
    </xf>
    <xf numFmtId="0" fontId="141" fillId="0" borderId="29" xfId="0" applyFont="1" applyBorder="1" applyAlignment="1" applyProtection="1">
      <alignment horizontal="left" vertical="center" wrapText="1"/>
      <protection locked="0"/>
    </xf>
    <xf numFmtId="0" fontId="147" fillId="0" borderId="29" xfId="0" applyFont="1" applyBorder="1" applyAlignment="1" applyProtection="1">
      <alignment vertical="center" wrapText="1"/>
      <protection locked="0"/>
    </xf>
    <xf numFmtId="0" fontId="147" fillId="0" borderId="46" xfId="0" applyFont="1" applyBorder="1" applyAlignment="1" applyProtection="1">
      <alignment vertical="center" wrapText="1"/>
      <protection locked="0"/>
    </xf>
    <xf numFmtId="0" fontId="147" fillId="0" borderId="47" xfId="0" applyFont="1" applyBorder="1" applyAlignment="1" applyProtection="1">
      <alignment vertical="center" wrapText="1"/>
      <protection locked="0"/>
    </xf>
    <xf numFmtId="0" fontId="142" fillId="0" borderId="46" xfId="0" applyFont="1" applyBorder="1" applyAlignment="1" applyProtection="1">
      <alignment vertical="center" wrapText="1"/>
      <protection locked="0"/>
    </xf>
    <xf numFmtId="0" fontId="142" fillId="0" borderId="47" xfId="0" applyFont="1" applyBorder="1" applyAlignment="1" applyProtection="1">
      <alignment vertical="center" wrapText="1"/>
      <protection locked="0"/>
    </xf>
    <xf numFmtId="0" fontId="144" fillId="0" borderId="46" xfId="0" applyFont="1" applyBorder="1" applyAlignment="1" applyProtection="1">
      <alignment horizontal="left" vertical="center" wrapText="1"/>
      <protection locked="0"/>
    </xf>
    <xf numFmtId="0" fontId="144" fillId="0" borderId="47" xfId="0" applyFont="1" applyBorder="1" applyAlignment="1" applyProtection="1">
      <alignment horizontal="left" vertical="center" wrapText="1"/>
      <protection locked="0"/>
    </xf>
    <xf numFmtId="0" fontId="144" fillId="0" borderId="29" xfId="0" applyFont="1" applyBorder="1" applyAlignment="1" applyProtection="1">
      <alignment horizontal="justify" vertical="center" wrapText="1"/>
      <protection locked="0"/>
    </xf>
    <xf numFmtId="0" fontId="142" fillId="0" borderId="46" xfId="0" applyFont="1" applyBorder="1" applyAlignment="1" applyProtection="1">
      <alignment horizontal="justify" vertical="center" wrapText="1"/>
      <protection locked="0"/>
    </xf>
    <xf numFmtId="0" fontId="142" fillId="0" borderId="47" xfId="0" applyFont="1" applyBorder="1" applyAlignment="1" applyProtection="1">
      <alignment horizontal="justify" vertical="center" wrapText="1"/>
      <protection locked="0"/>
    </xf>
    <xf numFmtId="0" fontId="147" fillId="0" borderId="29" xfId="0" applyFont="1" applyFill="1" applyBorder="1" applyAlignment="1" applyProtection="1">
      <alignment vertical="center" wrapText="1"/>
      <protection locked="0"/>
    </xf>
    <xf numFmtId="0" fontId="147" fillId="0" borderId="46" xfId="0" applyFont="1" applyFill="1" applyBorder="1" applyAlignment="1" applyProtection="1">
      <alignment vertical="center" wrapText="1"/>
      <protection locked="0"/>
    </xf>
    <xf numFmtId="0" fontId="147" fillId="0" borderId="47" xfId="0" applyFont="1" applyFill="1" applyBorder="1" applyAlignment="1" applyProtection="1">
      <alignment vertical="center" wrapText="1"/>
      <protection locked="0"/>
    </xf>
    <xf numFmtId="0" fontId="88" fillId="0" borderId="46" xfId="0" applyFont="1" applyBorder="1" applyAlignment="1">
      <alignment horizontal="justify" vertical="center" wrapText="1"/>
    </xf>
    <xf numFmtId="0" fontId="88" fillId="0" borderId="47" xfId="0" applyFont="1" applyBorder="1" applyAlignment="1">
      <alignment horizontal="justify" vertical="center" wrapText="1"/>
    </xf>
    <xf numFmtId="0" fontId="63" fillId="0" borderId="29" xfId="0" applyFont="1" applyBorder="1" applyAlignment="1">
      <alignment horizontal="justify" vertical="center" wrapText="1"/>
    </xf>
    <xf numFmtId="43" fontId="88" fillId="0" borderId="115" xfId="0" applyNumberFormat="1" applyFont="1" applyBorder="1" applyAlignment="1">
      <alignment horizontal="left" vertical="center" wrapText="1"/>
    </xf>
    <xf numFmtId="0" fontId="88" fillId="0" borderId="114" xfId="0" applyFont="1" applyBorder="1" applyAlignment="1">
      <alignment horizontal="left" vertical="center" wrapText="1"/>
    </xf>
    <xf numFmtId="0" fontId="88" fillId="0" borderId="116" xfId="0" applyFont="1" applyBorder="1" applyAlignment="1">
      <alignment horizontal="left" vertical="center" wrapText="1"/>
    </xf>
    <xf numFmtId="0" fontId="88" fillId="0" borderId="67" xfId="0" applyFont="1" applyBorder="1" applyAlignment="1">
      <alignment horizontal="left" vertical="center" wrapText="1"/>
    </xf>
    <xf numFmtId="0" fontId="88" fillId="0" borderId="109" xfId="0" applyFont="1" applyBorder="1" applyAlignment="1">
      <alignment horizontal="left" vertical="center" wrapText="1"/>
    </xf>
    <xf numFmtId="0" fontId="88" fillId="0" borderId="111" xfId="0" applyFont="1" applyBorder="1" applyAlignment="1">
      <alignment horizontal="left"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63" fillId="0" borderId="115" xfId="0" applyFont="1" applyBorder="1" applyAlignment="1">
      <alignment horizontal="justify" wrapText="1"/>
    </xf>
    <xf numFmtId="0" fontId="63" fillId="0" borderId="114" xfId="0" applyFont="1" applyBorder="1" applyAlignment="1">
      <alignment horizontal="justify" wrapText="1"/>
    </xf>
    <xf numFmtId="0" fontId="63" fillId="0" borderId="116" xfId="0" applyFont="1" applyBorder="1" applyAlignment="1">
      <alignment horizontal="justify" wrapText="1"/>
    </xf>
    <xf numFmtId="0" fontId="89" fillId="0" borderId="67" xfId="0" applyFont="1" applyBorder="1" applyAlignment="1">
      <alignment horizontal="justify" vertical="center" wrapText="1"/>
    </xf>
    <xf numFmtId="0" fontId="89" fillId="0" borderId="109" xfId="0" applyFont="1" applyBorder="1" applyAlignment="1">
      <alignment horizontal="justify" vertical="center" wrapText="1"/>
    </xf>
    <xf numFmtId="0" fontId="89" fillId="0" borderId="111" xfId="0" applyFont="1" applyBorder="1" applyAlignment="1">
      <alignment horizontal="justify" vertical="center" wrapText="1"/>
    </xf>
    <xf numFmtId="0" fontId="122" fillId="0" borderId="29" xfId="0" applyFont="1" applyBorder="1" applyAlignment="1">
      <alignment horizontal="justify" vertical="center" wrapText="1"/>
    </xf>
    <xf numFmtId="0" fontId="122" fillId="0" borderId="46" xfId="0" applyFont="1" applyBorder="1" applyAlignment="1">
      <alignment horizontal="justify" vertical="center" wrapText="1"/>
    </xf>
    <xf numFmtId="0" fontId="122" fillId="0" borderId="47" xfId="0" applyFont="1" applyBorder="1" applyAlignment="1">
      <alignment horizontal="justify" vertical="center" wrapText="1"/>
    </xf>
    <xf numFmtId="0" fontId="122" fillId="0" borderId="29" xfId="0" applyFont="1" applyBorder="1" applyAlignment="1">
      <alignment horizontal="left" vertical="center" wrapText="1"/>
    </xf>
    <xf numFmtId="0" fontId="119" fillId="0" borderId="46" xfId="0" applyFont="1" applyBorder="1" applyAlignment="1">
      <alignment horizontal="left" vertical="center" wrapText="1"/>
    </xf>
    <xf numFmtId="0" fontId="119" fillId="0" borderId="47" xfId="0" applyFont="1" applyBorder="1" applyAlignment="1">
      <alignment horizontal="left" vertical="center" wrapText="1"/>
    </xf>
    <xf numFmtId="0" fontId="63" fillId="0" borderId="115" xfId="0" applyFont="1" applyBorder="1" applyAlignment="1">
      <alignment horizontal="left" vertical="center" wrapText="1"/>
    </xf>
    <xf numFmtId="0" fontId="63" fillId="0" borderId="114" xfId="0" applyFont="1" applyBorder="1" applyAlignment="1">
      <alignment horizontal="left" vertical="center" wrapText="1"/>
    </xf>
    <xf numFmtId="0" fontId="63" fillId="0" borderId="116" xfId="0" applyFont="1" applyBorder="1" applyAlignment="1">
      <alignment horizontal="left" vertical="center" wrapText="1"/>
    </xf>
    <xf numFmtId="0" fontId="63" fillId="0" borderId="67" xfId="0" applyFont="1" applyBorder="1" applyAlignment="1">
      <alignment horizontal="left" vertical="center" wrapText="1"/>
    </xf>
    <xf numFmtId="0" fontId="63" fillId="0" borderId="109" xfId="0" applyFont="1" applyBorder="1" applyAlignment="1">
      <alignment horizontal="left" vertical="center" wrapText="1"/>
    </xf>
    <xf numFmtId="0" fontId="63" fillId="0" borderId="111" xfId="0" applyFont="1" applyBorder="1" applyAlignment="1">
      <alignment horizontal="left" vertical="center" wrapText="1"/>
    </xf>
    <xf numFmtId="0" fontId="142" fillId="0" borderId="46" xfId="0" applyFont="1" applyBorder="1" applyAlignment="1" applyProtection="1">
      <alignment horizontal="left" vertical="center" wrapText="1"/>
      <protection locked="0"/>
    </xf>
    <xf numFmtId="0" fontId="142" fillId="0" borderId="47" xfId="0" applyFont="1" applyBorder="1" applyAlignment="1" applyProtection="1">
      <alignment horizontal="left" vertical="center" wrapText="1"/>
      <protection locked="0"/>
    </xf>
    <xf numFmtId="0" fontId="142" fillId="22" borderId="29" xfId="0" applyFont="1" applyFill="1" applyBorder="1" applyAlignment="1">
      <alignment vertical="center" wrapText="1"/>
    </xf>
    <xf numFmtId="0" fontId="142" fillId="22" borderId="46" xfId="0" applyFont="1" applyFill="1" applyBorder="1" applyAlignment="1">
      <alignment vertical="center" wrapText="1"/>
    </xf>
    <xf numFmtId="0" fontId="142" fillId="22" borderId="47" xfId="0" applyFont="1" applyFill="1" applyBorder="1" applyAlignment="1">
      <alignment vertical="center" wrapText="1"/>
    </xf>
    <xf numFmtId="0" fontId="141" fillId="0" borderId="29" xfId="0" applyFont="1" applyBorder="1" applyAlignment="1" applyProtection="1">
      <alignment horizontal="justify" vertical="center" wrapText="1"/>
      <protection locked="0"/>
    </xf>
    <xf numFmtId="0" fontId="122" fillId="0" borderId="67" xfId="0" applyFont="1" applyBorder="1" applyAlignment="1">
      <alignment horizontal="justify" vertical="center" wrapText="1"/>
    </xf>
    <xf numFmtId="0" fontId="122" fillId="0" borderId="109" xfId="0" applyFont="1" applyBorder="1" applyAlignment="1">
      <alignment horizontal="justify" vertical="center" wrapText="1"/>
    </xf>
    <xf numFmtId="0" fontId="122" fillId="0" borderId="111" xfId="0" applyFont="1" applyBorder="1" applyAlignment="1">
      <alignment horizontal="justify" vertical="center" wrapText="1"/>
    </xf>
    <xf numFmtId="0" fontId="144" fillId="0" borderId="29" xfId="0" applyNumberFormat="1" applyFont="1" applyBorder="1" applyAlignment="1" applyProtection="1">
      <alignment horizontal="left" vertical="center" wrapText="1"/>
      <protection locked="0"/>
    </xf>
    <xf numFmtId="0" fontId="141" fillId="0" borderId="46" xfId="0" applyNumberFormat="1" applyFont="1" applyBorder="1" applyAlignment="1" applyProtection="1">
      <alignment horizontal="left" vertical="center" wrapText="1"/>
      <protection locked="0"/>
    </xf>
    <xf numFmtId="0" fontId="141" fillId="0" borderId="47" xfId="0" applyNumberFormat="1" applyFont="1" applyBorder="1" applyAlignment="1" applyProtection="1">
      <alignment horizontal="left" vertical="center" wrapText="1"/>
      <protection locked="0"/>
    </xf>
    <xf numFmtId="0" fontId="88" fillId="0" borderId="29" xfId="0" applyFont="1" applyBorder="1" applyAlignment="1" applyProtection="1">
      <alignment vertical="center" wrapText="1"/>
      <protection locked="0"/>
    </xf>
    <xf numFmtId="0" fontId="88" fillId="0" borderId="46" xfId="0" applyFont="1" applyBorder="1" applyAlignment="1" applyProtection="1">
      <alignment vertical="center" wrapText="1"/>
      <protection locked="0"/>
    </xf>
    <xf numFmtId="0" fontId="88" fillId="0" borderId="47" xfId="0" applyFont="1" applyBorder="1" applyAlignment="1" applyProtection="1">
      <alignment vertical="center" wrapText="1"/>
      <protection locked="0"/>
    </xf>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0" fontId="97" fillId="0" borderId="29" xfId="0" applyFont="1" applyFill="1" applyBorder="1" applyAlignment="1" applyProtection="1">
      <alignment vertical="center" wrapText="1"/>
      <protection locked="0"/>
    </xf>
    <xf numFmtId="0" fontId="97" fillId="0" borderId="46" xfId="0" applyFont="1" applyFill="1" applyBorder="1" applyAlignment="1" applyProtection="1">
      <alignment vertical="center" wrapText="1"/>
      <protection locked="0"/>
    </xf>
    <xf numFmtId="0" fontId="97" fillId="0" borderId="47" xfId="0" applyFont="1" applyFill="1" applyBorder="1" applyAlignment="1" applyProtection="1">
      <alignment vertical="center" wrapText="1"/>
      <protection locked="0"/>
    </xf>
    <xf numFmtId="0" fontId="142" fillId="0" borderId="46" xfId="0" applyFont="1" applyFill="1" applyBorder="1" applyAlignment="1" applyProtection="1">
      <alignment vertical="center" wrapText="1"/>
      <protection locked="0"/>
    </xf>
    <xf numFmtId="0" fontId="142" fillId="0" borderId="47" xfId="0" applyFont="1" applyFill="1" applyBorder="1" applyAlignment="1" applyProtection="1">
      <alignment vertical="center" wrapText="1"/>
      <protection locked="0"/>
    </xf>
    <xf numFmtId="0" fontId="141" fillId="0" borderId="29" xfId="0" applyFont="1" applyFill="1" applyBorder="1" applyAlignment="1" applyProtection="1">
      <alignment horizontal="justify" vertical="center" wrapText="1"/>
      <protection locked="0"/>
    </xf>
    <xf numFmtId="0" fontId="142" fillId="0" borderId="46" xfId="0" applyFont="1" applyFill="1" applyBorder="1" applyAlignment="1" applyProtection="1">
      <alignment horizontal="justify" vertical="center" wrapText="1"/>
      <protection locked="0"/>
    </xf>
    <xf numFmtId="0" fontId="142" fillId="0" borderId="47" xfId="0" applyFont="1" applyFill="1" applyBorder="1" applyAlignment="1" applyProtection="1">
      <alignment horizontal="justify" vertical="center" wrapText="1"/>
      <protection locked="0"/>
    </xf>
    <xf numFmtId="0" fontId="67" fillId="0" borderId="118" xfId="0" applyFont="1" applyFill="1" applyBorder="1" applyAlignment="1" applyProtection="1">
      <alignment horizontal="center" vertical="center" wrapText="1"/>
    </xf>
    <xf numFmtId="0" fontId="67" fillId="0" borderId="131" xfId="0" applyFont="1" applyFill="1" applyBorder="1" applyAlignment="1" applyProtection="1">
      <alignment horizontal="center" vertical="center" wrapText="1"/>
    </xf>
    <xf numFmtId="49" fontId="143" fillId="23" borderId="130" xfId="0" applyNumberFormat="1" applyFont="1" applyFill="1" applyBorder="1" applyAlignment="1" applyProtection="1">
      <alignment horizontal="left" vertical="center" wrapText="1"/>
      <protection locked="0"/>
    </xf>
    <xf numFmtId="49" fontId="143" fillId="23" borderId="10" xfId="0" applyNumberFormat="1" applyFont="1" applyFill="1" applyBorder="1" applyAlignment="1" applyProtection="1">
      <alignment horizontal="left" vertical="center" wrapText="1"/>
      <protection locked="0"/>
    </xf>
    <xf numFmtId="49" fontId="143" fillId="23" borderId="29" xfId="0" applyNumberFormat="1" applyFont="1" applyFill="1" applyBorder="1" applyAlignment="1" applyProtection="1">
      <alignment horizontal="left" vertical="center" wrapText="1"/>
      <protection locked="0"/>
    </xf>
    <xf numFmtId="0" fontId="67" fillId="0" borderId="47" xfId="0" applyFont="1" applyFill="1" applyBorder="1" applyAlignment="1" applyProtection="1">
      <alignment horizontal="center" vertical="center" wrapText="1"/>
    </xf>
    <xf numFmtId="0" fontId="67" fillId="0" borderId="117" xfId="0" applyFont="1" applyFill="1" applyBorder="1" applyAlignment="1" applyProtection="1">
      <alignment horizontal="center" vertical="center" wrapText="1"/>
    </xf>
    <xf numFmtId="0" fontId="143" fillId="22" borderId="118" xfId="0" applyNumberFormat="1" applyFont="1" applyFill="1" applyBorder="1" applyAlignment="1" applyProtection="1">
      <alignment horizontal="center" vertical="center" wrapText="1"/>
      <protection locked="0"/>
    </xf>
    <xf numFmtId="0" fontId="143" fillId="22" borderId="47" xfId="0" applyNumberFormat="1" applyFont="1" applyFill="1" applyBorder="1" applyAlignment="1" applyProtection="1">
      <alignment horizontal="center" vertical="center" wrapText="1"/>
      <protection locked="0"/>
    </xf>
    <xf numFmtId="0" fontId="143" fillId="23" borderId="118" xfId="0" applyNumberFormat="1" applyFont="1" applyFill="1" applyBorder="1" applyAlignment="1" applyProtection="1">
      <alignment horizontal="center" vertical="center" wrapText="1"/>
      <protection locked="0"/>
    </xf>
    <xf numFmtId="0" fontId="143" fillId="28" borderId="118" xfId="0" applyNumberFormat="1" applyFont="1" applyFill="1" applyBorder="1" applyAlignment="1" applyProtection="1">
      <alignment horizontal="center" vertical="center" wrapText="1"/>
      <protection locked="0"/>
    </xf>
    <xf numFmtId="0" fontId="67" fillId="0" borderId="108" xfId="0" applyFont="1" applyFill="1" applyBorder="1" applyAlignment="1" applyProtection="1">
      <alignment horizontal="left" vertical="center" wrapText="1"/>
    </xf>
    <xf numFmtId="0" fontId="67" fillId="0" borderId="109" xfId="0" applyFont="1" applyFill="1" applyBorder="1" applyAlignment="1" applyProtection="1">
      <alignment horizontal="left" vertical="center" wrapText="1"/>
    </xf>
    <xf numFmtId="0" fontId="67" fillId="0" borderId="113" xfId="0" applyFont="1" applyFill="1" applyBorder="1" applyAlignment="1" applyProtection="1">
      <alignment horizontal="left" vertical="center" wrapText="1"/>
    </xf>
    <xf numFmtId="0" fontId="67" fillId="0" borderId="127" xfId="0" applyFont="1" applyFill="1" applyBorder="1" applyAlignment="1" applyProtection="1">
      <alignment horizontal="left" vertical="center" wrapText="1"/>
    </xf>
    <xf numFmtId="0" fontId="67" fillId="0" borderId="128" xfId="0" applyFont="1" applyFill="1" applyBorder="1" applyAlignment="1" applyProtection="1">
      <alignment horizontal="left" vertical="center" wrapText="1"/>
    </xf>
    <xf numFmtId="0" fontId="67" fillId="0" borderId="129" xfId="0" applyFont="1" applyFill="1" applyBorder="1" applyAlignment="1" applyProtection="1">
      <alignment horizontal="left" vertical="center" wrapText="1"/>
    </xf>
    <xf numFmtId="0" fontId="67" fillId="29" borderId="118" xfId="0" applyFont="1" applyFill="1" applyBorder="1" applyAlignment="1" applyProtection="1">
      <alignment horizontal="center" vertical="center" wrapText="1"/>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46"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9" fontId="33" fillId="0" borderId="119" xfId="56" applyFont="1" applyFill="1" applyBorder="1" applyAlignment="1" applyProtection="1">
      <alignment horizontal="center" vertical="center"/>
    </xf>
    <xf numFmtId="9" fontId="33" fillId="0" borderId="120" xfId="56" applyFont="1" applyFill="1" applyBorder="1" applyAlignment="1" applyProtection="1">
      <alignment horizontal="center" vertical="center"/>
    </xf>
    <xf numFmtId="9" fontId="33" fillId="0" borderId="121" xfId="56" applyFont="1" applyFill="1" applyBorder="1" applyAlignment="1" applyProtection="1">
      <alignment horizontal="center" vertical="center"/>
    </xf>
    <xf numFmtId="49" fontId="143" fillId="23" borderId="122" xfId="0" applyNumberFormat="1" applyFont="1" applyFill="1" applyBorder="1" applyAlignment="1" applyProtection="1">
      <alignment horizontal="center" vertical="center" wrapText="1"/>
      <protection locked="0"/>
    </xf>
    <xf numFmtId="49" fontId="143" fillId="23" borderId="123" xfId="0" applyNumberFormat="1" applyFont="1" applyFill="1" applyBorder="1" applyAlignment="1" applyProtection="1">
      <alignment horizontal="center" vertical="center" wrapText="1"/>
      <protection locked="0"/>
    </xf>
    <xf numFmtId="0" fontId="0" fillId="32" borderId="124" xfId="0" applyFill="1" applyBorder="1" applyAlignment="1" applyProtection="1">
      <alignment horizontal="center"/>
    </xf>
    <xf numFmtId="0" fontId="0" fillId="32" borderId="125" xfId="0" applyFill="1" applyBorder="1" applyAlignment="1" applyProtection="1">
      <alignment horizontal="center"/>
    </xf>
    <xf numFmtId="0" fontId="0" fillId="32" borderId="126" xfId="0" applyFill="1" applyBorder="1" applyAlignment="1" applyProtection="1">
      <alignment horizontal="center"/>
    </xf>
    <xf numFmtId="49" fontId="143" fillId="22" borderId="122" xfId="0" applyNumberFormat="1" applyFont="1" applyFill="1" applyBorder="1" applyAlignment="1" applyProtection="1">
      <alignment horizontal="center" vertical="center" wrapText="1"/>
      <protection locked="0"/>
    </xf>
    <xf numFmtId="49" fontId="143" fillId="22" borderId="123" xfId="0" applyNumberFormat="1" applyFont="1" applyFill="1" applyBorder="1" applyAlignment="1" applyProtection="1">
      <alignment horizontal="center" vertical="center" wrapText="1"/>
      <protection locked="0"/>
    </xf>
    <xf numFmtId="0" fontId="0" fillId="22" borderId="29" xfId="0" applyFill="1" applyBorder="1" applyAlignment="1" applyProtection="1">
      <alignment horizontal="center"/>
    </xf>
    <xf numFmtId="0" fontId="0" fillId="22" borderId="47" xfId="0" applyFill="1" applyBorder="1" applyAlignment="1" applyProtection="1">
      <alignment horizontal="center"/>
    </xf>
    <xf numFmtId="43" fontId="61" fillId="31" borderId="0" xfId="39"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49" xfId="0" applyNumberFormat="1" applyFont="1" applyBorder="1" applyAlignment="1" applyProtection="1">
      <alignment horizontal="center"/>
    </xf>
    <xf numFmtId="0" fontId="77" fillId="0" borderId="137" xfId="0" applyFont="1" applyFill="1" applyBorder="1" applyAlignment="1" applyProtection="1">
      <alignment horizontal="center" vertical="center"/>
    </xf>
    <xf numFmtId="0" fontId="77" fillId="0" borderId="138" xfId="0" applyFont="1" applyFill="1" applyBorder="1" applyAlignment="1" applyProtection="1">
      <alignment horizontal="center" vertical="center"/>
    </xf>
    <xf numFmtId="0" fontId="77" fillId="0" borderId="139" xfId="0" applyFont="1" applyFill="1" applyBorder="1" applyAlignment="1" applyProtection="1">
      <alignment horizontal="center" vertical="center"/>
    </xf>
    <xf numFmtId="0" fontId="114" fillId="0" borderId="0" xfId="0" applyFont="1" applyAlignment="1" applyProtection="1">
      <alignment horizontal="right"/>
    </xf>
    <xf numFmtId="0" fontId="67" fillId="29" borderId="140" xfId="0" applyFont="1" applyFill="1" applyBorder="1" applyAlignment="1" applyProtection="1">
      <alignment horizontal="left" vertical="center" wrapText="1"/>
    </xf>
    <xf numFmtId="0" fontId="67" fillId="29" borderId="46" xfId="0" applyFont="1" applyFill="1" applyBorder="1" applyAlignment="1" applyProtection="1">
      <alignment horizontal="left" vertical="center" wrapText="1"/>
    </xf>
    <xf numFmtId="0" fontId="67" fillId="29" borderId="141" xfId="0" applyFont="1" applyFill="1" applyBorder="1" applyAlignment="1" applyProtection="1">
      <alignment horizontal="left" vertical="center" wrapText="1"/>
    </xf>
    <xf numFmtId="49" fontId="143" fillId="28" borderId="130" xfId="0" applyNumberFormat="1" applyFont="1" applyFill="1" applyBorder="1" applyAlignment="1" applyProtection="1">
      <alignment horizontal="left" vertical="center" wrapText="1"/>
      <protection locked="0"/>
    </xf>
    <xf numFmtId="49" fontId="143" fillId="28" borderId="10" xfId="0" applyNumberFormat="1" applyFont="1" applyFill="1" applyBorder="1" applyAlignment="1" applyProtection="1">
      <alignment horizontal="left" vertical="center" wrapText="1"/>
      <protection locked="0"/>
    </xf>
    <xf numFmtId="49" fontId="143" fillId="28" borderId="29" xfId="0" applyNumberFormat="1" applyFont="1" applyFill="1" applyBorder="1" applyAlignment="1" applyProtection="1">
      <alignment horizontal="left" vertical="center" wrapText="1"/>
      <protection locked="0"/>
    </xf>
    <xf numFmtId="0" fontId="67" fillId="29" borderId="47" xfId="0" applyFont="1" applyFill="1" applyBorder="1" applyAlignment="1" applyProtection="1">
      <alignment horizontal="center" vertical="center" wrapText="1"/>
    </xf>
    <xf numFmtId="49" fontId="0" fillId="0" borderId="29" xfId="0" applyNumberFormat="1" applyBorder="1" applyAlignment="1" applyProtection="1">
      <alignment horizontal="center"/>
      <protection locked="0"/>
    </xf>
    <xf numFmtId="49" fontId="0" fillId="0" borderId="47" xfId="0" applyNumberFormat="1" applyBorder="1" applyAlignment="1" applyProtection="1">
      <alignment horizontal="center"/>
      <protection locked="0"/>
    </xf>
    <xf numFmtId="49" fontId="0" fillId="0" borderId="29" xfId="0" applyNumberFormat="1" applyBorder="1" applyAlignment="1" applyProtection="1">
      <alignment horizontal="justify" wrapText="1"/>
      <protection locked="0"/>
    </xf>
    <xf numFmtId="49" fontId="0" fillId="0" borderId="46" xfId="0" applyNumberFormat="1" applyBorder="1" applyAlignment="1" applyProtection="1">
      <alignment horizontal="justify" wrapText="1"/>
      <protection locked="0"/>
    </xf>
    <xf numFmtId="49" fontId="0" fillId="0" borderId="47" xfId="0" applyNumberFormat="1" applyBorder="1" applyAlignment="1" applyProtection="1">
      <alignment horizontal="justify" wrapText="1"/>
      <protection locked="0"/>
    </xf>
    <xf numFmtId="0" fontId="114" fillId="0" borderId="51" xfId="0" applyFont="1" applyBorder="1" applyAlignment="1" applyProtection="1">
      <alignment horizontal="right"/>
    </xf>
    <xf numFmtId="0" fontId="114" fillId="0" borderId="142" xfId="0" applyFont="1" applyBorder="1" applyAlignment="1" applyProtection="1">
      <alignment horizontal="right"/>
    </xf>
    <xf numFmtId="3" fontId="158" fillId="0" borderId="29" xfId="0" applyNumberFormat="1" applyFont="1" applyFill="1" applyBorder="1" applyAlignment="1" applyProtection="1">
      <alignment horizontal="center"/>
      <protection locked="0"/>
    </xf>
    <xf numFmtId="3" fontId="158" fillId="0" borderId="47" xfId="0" applyNumberFormat="1" applyFon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6" xfId="0" applyNumberFormat="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40" fillId="0" borderId="10" xfId="58" applyNumberFormat="1" applyFill="1" applyBorder="1" applyAlignment="1" applyProtection="1">
      <alignment horizontal="center"/>
      <protection locked="0"/>
    </xf>
    <xf numFmtId="43" fontId="15" fillId="36" borderId="10" xfId="58" applyFont="1" applyFill="1" applyBorder="1" applyAlignment="1" applyProtection="1">
      <alignment horizontal="center"/>
      <protection locked="0"/>
    </xf>
    <xf numFmtId="49" fontId="14" fillId="0" borderId="2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0" fillId="0" borderId="132" xfId="0" applyBorder="1" applyAlignment="1" applyProtection="1">
      <alignment horizontal="center"/>
    </xf>
    <xf numFmtId="0" fontId="0" fillId="0" borderId="21" xfId="0" applyBorder="1" applyAlignment="1" applyProtection="1">
      <alignment horizontal="center"/>
    </xf>
    <xf numFmtId="0" fontId="84" fillId="0" borderId="133" xfId="0" applyFont="1" applyBorder="1" applyAlignment="1" applyProtection="1">
      <alignment horizontal="right"/>
    </xf>
    <xf numFmtId="0" fontId="123" fillId="0" borderId="133" xfId="0" applyFont="1" applyBorder="1" applyAlignment="1"/>
    <xf numFmtId="0" fontId="0" fillId="19" borderId="143" xfId="0" applyFill="1" applyBorder="1" applyAlignment="1" applyProtection="1">
      <alignment horizontal="center" vertical="center" textRotation="90"/>
    </xf>
    <xf numFmtId="43" fontId="14" fillId="0" borderId="144" xfId="0" applyNumberFormat="1" applyFont="1" applyBorder="1" applyAlignment="1" applyProtection="1">
      <alignment horizontal="center"/>
    </xf>
    <xf numFmtId="0" fontId="14" fillId="0" borderId="145" xfId="0" applyFont="1" applyBorder="1" applyAlignment="1" applyProtection="1">
      <alignment horizontal="center"/>
    </xf>
    <xf numFmtId="0" fontId="14" fillId="0" borderId="146" xfId="0" applyFont="1" applyBorder="1" applyAlignment="1" applyProtection="1">
      <alignment horizontal="center"/>
    </xf>
    <xf numFmtId="0" fontId="26" fillId="0" borderId="147" xfId="0" applyFont="1" applyBorder="1" applyAlignment="1" applyProtection="1">
      <alignment horizontal="center" wrapText="1"/>
    </xf>
    <xf numFmtId="0" fontId="26" fillId="0" borderId="148" xfId="0" applyFont="1" applyBorder="1" applyAlignment="1" applyProtection="1">
      <alignment horizontal="center" wrapText="1"/>
    </xf>
    <xf numFmtId="0" fontId="26" fillId="0" borderId="149" xfId="0" applyFont="1" applyBorder="1" applyAlignment="1" applyProtection="1">
      <alignment horizontal="center" wrapText="1"/>
    </xf>
    <xf numFmtId="49" fontId="143" fillId="28" borderId="47" xfId="0" applyNumberFormat="1" applyFont="1" applyFill="1" applyBorder="1" applyAlignment="1" applyProtection="1">
      <alignment horizontal="center" vertical="center" wrapText="1"/>
      <protection locked="0"/>
    </xf>
    <xf numFmtId="49" fontId="143" fillId="33" borderId="130" xfId="0" applyNumberFormat="1" applyFont="1" applyFill="1" applyBorder="1" applyAlignment="1" applyProtection="1">
      <alignment horizontal="left" vertical="center" wrapText="1"/>
      <protection locked="0"/>
    </xf>
    <xf numFmtId="49" fontId="143" fillId="33" borderId="10" xfId="0" applyNumberFormat="1" applyFont="1" applyFill="1" applyBorder="1" applyAlignment="1" applyProtection="1">
      <alignment horizontal="left" vertical="center" wrapText="1"/>
      <protection locked="0"/>
    </xf>
    <xf numFmtId="49" fontId="143" fillId="33" borderId="29" xfId="0" applyNumberFormat="1" applyFont="1" applyFill="1" applyBorder="1" applyAlignment="1" applyProtection="1">
      <alignment horizontal="left" vertical="center" wrapText="1"/>
      <protection locked="0"/>
    </xf>
    <xf numFmtId="0" fontId="0" fillId="0" borderId="134" xfId="0" applyFill="1" applyBorder="1" applyAlignment="1" applyProtection="1">
      <alignment horizontal="center" vertical="center"/>
      <protection locked="0"/>
    </xf>
    <xf numFmtId="0" fontId="0" fillId="0" borderId="135" xfId="0" applyFill="1" applyBorder="1" applyAlignment="1" applyProtection="1">
      <alignment horizontal="center" vertical="center"/>
      <protection locked="0"/>
    </xf>
    <xf numFmtId="0" fontId="0" fillId="0" borderId="136" xfId="0" applyFill="1" applyBorder="1" applyAlignment="1" applyProtection="1">
      <alignment horizontal="center" vertical="center"/>
      <protection locked="0"/>
    </xf>
    <xf numFmtId="49" fontId="143" fillId="28" borderId="122" xfId="0" applyNumberFormat="1" applyFont="1" applyFill="1" applyBorder="1" applyAlignment="1" applyProtection="1">
      <alignment horizontal="center" vertical="center" wrapText="1"/>
      <protection locked="0"/>
    </xf>
    <xf numFmtId="49" fontId="143" fillId="28" borderId="123" xfId="0" applyNumberFormat="1" applyFont="1" applyFill="1" applyBorder="1" applyAlignment="1" applyProtection="1">
      <alignment horizontal="center" vertical="center" wrapText="1"/>
      <protection locked="0"/>
    </xf>
    <xf numFmtId="43" fontId="24" fillId="24" borderId="43" xfId="58" applyFont="1" applyFill="1" applyBorder="1" applyAlignment="1" applyProtection="1">
      <alignment horizontal="center"/>
    </xf>
    <xf numFmtId="43" fontId="1" fillId="0" borderId="43" xfId="58" applyFont="1" applyFill="1" applyBorder="1" applyAlignment="1" applyProtection="1">
      <alignment horizontal="right"/>
    </xf>
    <xf numFmtId="43" fontId="117" fillId="30"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0" fontId="0" fillId="0" borderId="43" xfId="0" applyBorder="1" applyAlignment="1"/>
    <xf numFmtId="43" fontId="105" fillId="31" borderId="0" xfId="39" applyFont="1" applyFill="1" applyAlignment="1" applyProtection="1">
      <alignment horizontal="center" vertical="center"/>
    </xf>
    <xf numFmtId="43" fontId="33" fillId="24" borderId="0" xfId="50" applyFont="1" applyFill="1" applyAlignment="1" applyProtection="1">
      <alignment horizontal="center" vertical="center" wrapText="1"/>
    </xf>
    <xf numFmtId="172" fontId="24" fillId="24" borderId="43" xfId="58" applyNumberFormat="1" applyFont="1" applyFill="1" applyBorder="1" applyAlignment="1" applyProtection="1">
      <alignment horizontal="center" vertical="center"/>
    </xf>
    <xf numFmtId="43" fontId="1" fillId="0" borderId="43" xfId="58" applyFont="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172" fontId="34" fillId="22" borderId="29" xfId="0" applyNumberFormat="1" applyFont="1" applyFill="1" applyBorder="1" applyAlignment="1" applyProtection="1">
      <alignment horizontal="justify" vertical="top" wrapText="1"/>
      <protection locked="0"/>
    </xf>
    <xf numFmtId="172" fontId="34" fillId="22" borderId="46" xfId="0" applyNumberFormat="1" applyFont="1" applyFill="1" applyBorder="1" applyAlignment="1" applyProtection="1">
      <alignment horizontal="justify" vertical="top" wrapText="1"/>
      <protection locked="0"/>
    </xf>
    <xf numFmtId="172" fontId="34" fillId="22" borderId="47" xfId="0" applyNumberFormat="1" applyFont="1" applyFill="1" applyBorder="1" applyAlignment="1" applyProtection="1">
      <alignment horizontal="justify" vertical="top" wrapText="1"/>
      <protection locked="0"/>
    </xf>
    <xf numFmtId="0" fontId="152" fillId="22" borderId="29" xfId="0" applyFont="1" applyFill="1" applyBorder="1" applyAlignment="1" applyProtection="1">
      <alignment horizontal="left" vertical="top" wrapText="1"/>
      <protection locked="0"/>
    </xf>
    <xf numFmtId="0" fontId="148" fillId="0" borderId="46" xfId="0" applyFont="1" applyBorder="1" applyAlignment="1">
      <alignment vertical="top"/>
    </xf>
    <xf numFmtId="0" fontId="148" fillId="0" borderId="47" xfId="0" applyFont="1" applyBorder="1" applyAlignment="1">
      <alignment vertical="top"/>
    </xf>
    <xf numFmtId="0" fontId="34" fillId="22" borderId="29" xfId="0" applyFont="1" applyFill="1" applyBorder="1" applyAlignment="1" applyProtection="1">
      <alignment horizontal="left" wrapText="1"/>
      <protection locked="0"/>
    </xf>
    <xf numFmtId="0" fontId="0" fillId="0" borderId="46" xfId="0" applyBorder="1" applyAlignment="1" applyProtection="1">
      <alignment horizontal="left" wrapText="1"/>
      <protection locked="0"/>
    </xf>
    <xf numFmtId="0" fontId="0" fillId="0" borderId="47" xfId="0" applyBorder="1" applyAlignment="1" applyProtection="1">
      <alignment horizontal="left" wrapText="1"/>
      <protection locked="0"/>
    </xf>
    <xf numFmtId="0" fontId="118" fillId="0" borderId="150" xfId="0" applyFont="1" applyFill="1" applyBorder="1" applyAlignment="1" applyProtection="1">
      <alignment horizontal="left" wrapText="1"/>
    </xf>
    <xf numFmtId="0" fontId="118" fillId="0" borderId="98" xfId="0" applyFont="1" applyFill="1" applyBorder="1" applyAlignment="1" applyProtection="1">
      <alignment horizontal="left" wrapText="1"/>
    </xf>
    <xf numFmtId="0" fontId="118" fillId="0" borderId="151" xfId="0" applyFont="1" applyFill="1" applyBorder="1" applyAlignment="1" applyProtection="1">
      <alignment horizontal="left" wrapText="1"/>
    </xf>
    <xf numFmtId="0" fontId="118" fillId="0" borderId="152"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0" borderId="0" xfId="58" applyFont="1" applyFill="1" applyBorder="1" applyAlignment="1" applyProtection="1">
      <alignment horizontal="center"/>
    </xf>
    <xf numFmtId="0" fontId="111" fillId="0" borderId="0" xfId="0" applyFont="1" applyAlignment="1" applyProtection="1">
      <alignment horizontal="center"/>
    </xf>
    <xf numFmtId="43" fontId="110" fillId="0" borderId="124" xfId="0" applyNumberFormat="1" applyFont="1" applyBorder="1" applyAlignment="1" applyProtection="1">
      <alignment horizontal="center" vertical="center" wrapText="1"/>
    </xf>
    <xf numFmtId="43" fontId="110" fillId="0" borderId="125" xfId="0" applyNumberFormat="1" applyFont="1" applyBorder="1" applyAlignment="1" applyProtection="1">
      <alignment horizontal="center" vertical="center" wrapText="1"/>
    </xf>
    <xf numFmtId="43" fontId="110" fillId="0" borderId="126" xfId="0" applyNumberFormat="1" applyFont="1" applyBorder="1" applyAlignment="1" applyProtection="1">
      <alignment horizontal="center" vertical="center" wrapText="1"/>
    </xf>
    <xf numFmtId="0" fontId="0" fillId="0" borderId="153" xfId="0" applyBorder="1" applyAlignment="1" applyProtection="1">
      <alignment horizontal="center"/>
    </xf>
    <xf numFmtId="0" fontId="0" fillId="0" borderId="65" xfId="0" applyBorder="1" applyAlignment="1" applyProtection="1">
      <alignment horizontal="center"/>
    </xf>
    <xf numFmtId="0" fontId="30" fillId="22" borderId="29" xfId="0" applyFont="1" applyFill="1" applyBorder="1" applyAlignment="1" applyProtection="1">
      <alignment horizontal="left" wrapText="1"/>
      <protection locked="0"/>
    </xf>
    <xf numFmtId="43" fontId="37" fillId="0" borderId="0" xfId="0" applyNumberFormat="1" applyFont="1" applyAlignment="1" applyProtection="1">
      <alignment horizontal="left" wrapText="1"/>
    </xf>
    <xf numFmtId="43" fontId="35" fillId="0" borderId="0" xfId="0" applyNumberFormat="1" applyFont="1" applyAlignment="1">
      <alignment horizontal="left" wrapText="1"/>
    </xf>
    <xf numFmtId="172" fontId="34" fillId="22" borderId="29" xfId="0" applyNumberFormat="1" applyFont="1" applyFill="1" applyBorder="1" applyAlignment="1" applyProtection="1">
      <alignment horizontal="justify" vertical="center" wrapText="1"/>
      <protection locked="0"/>
    </xf>
    <xf numFmtId="172" fontId="0" fillId="0" borderId="46" xfId="0" applyNumberFormat="1" applyBorder="1" applyAlignment="1">
      <alignment horizontal="justify" vertical="center" wrapText="1"/>
    </xf>
    <xf numFmtId="172" fontId="0" fillId="0" borderId="47" xfId="0" applyNumberFormat="1" applyBorder="1" applyAlignment="1">
      <alignment horizontal="justify" vertical="center" wrapText="1"/>
    </xf>
    <xf numFmtId="172" fontId="34" fillId="22" borderId="46" xfId="0" applyNumberFormat="1" applyFont="1" applyFill="1" applyBorder="1" applyAlignment="1" applyProtection="1">
      <alignment horizontal="justify" vertical="center" wrapText="1"/>
      <protection locked="0"/>
    </xf>
    <xf numFmtId="172" fontId="34" fillId="22" borderId="47" xfId="0" applyNumberFormat="1" applyFont="1" applyFill="1" applyBorder="1" applyAlignment="1" applyProtection="1">
      <alignment horizontal="justify" vertical="center" wrapText="1"/>
      <protection locked="0"/>
    </xf>
    <xf numFmtId="0" fontId="85" fillId="0" borderId="0" xfId="0" applyFont="1" applyAlignment="1">
      <alignment horizontal="left" wrapText="1"/>
    </xf>
    <xf numFmtId="0" fontId="30" fillId="22" borderId="29" xfId="0" applyFont="1" applyFill="1" applyBorder="1" applyAlignment="1" applyProtection="1">
      <alignment horizontal="left" vertical="top" wrapText="1"/>
      <protection locked="0"/>
    </xf>
    <xf numFmtId="0" fontId="0" fillId="0" borderId="46" xfId="0" applyBorder="1" applyAlignment="1">
      <alignment horizontal="left" vertical="top" wrapText="1"/>
    </xf>
    <xf numFmtId="0" fontId="0" fillId="0" borderId="47" xfId="0" applyBorder="1" applyAlignment="1">
      <alignment horizontal="left" vertical="top" wrapText="1"/>
    </xf>
    <xf numFmtId="43" fontId="28" fillId="0" borderId="0" xfId="0" applyNumberFormat="1" applyFont="1" applyAlignment="1">
      <alignment horizontal="left"/>
    </xf>
    <xf numFmtId="43" fontId="14" fillId="0" borderId="0" xfId="0" applyNumberFormat="1" applyFont="1" applyAlignment="1">
      <alignment horizontal="center"/>
    </xf>
    <xf numFmtId="43" fontId="61" fillId="31" borderId="0" xfId="48" applyFont="1" applyFill="1" applyAlignment="1">
      <alignment horizontal="center" vertical="center"/>
    </xf>
    <xf numFmtId="0" fontId="111" fillId="0" borderId="0" xfId="0" applyFont="1" applyAlignment="1">
      <alignment horizontal="center"/>
    </xf>
    <xf numFmtId="43" fontId="28" fillId="0" borderId="0" xfId="0" applyNumberFormat="1" applyFont="1" applyAlignment="1">
      <alignment horizontal="right"/>
    </xf>
    <xf numFmtId="0" fontId="0" fillId="0" borderId="134" xfId="0" applyFill="1" applyBorder="1" applyAlignment="1" applyProtection="1">
      <alignment horizontal="center" vertical="center"/>
    </xf>
    <xf numFmtId="0" fontId="0" fillId="0" borderId="135" xfId="0" applyFill="1" applyBorder="1" applyAlignment="1" applyProtection="1">
      <alignment horizontal="center" vertical="center"/>
    </xf>
    <xf numFmtId="0" fontId="0" fillId="0" borderId="136" xfId="0" applyFill="1" applyBorder="1" applyAlignment="1" applyProtection="1">
      <alignment horizontal="center" vertical="center"/>
    </xf>
    <xf numFmtId="15" fontId="28" fillId="0" borderId="0" xfId="0" applyNumberFormat="1" applyFont="1" applyAlignment="1">
      <alignment horizontal="right"/>
    </xf>
    <xf numFmtId="0" fontId="0" fillId="0" borderId="46" xfId="0" applyBorder="1" applyAlignment="1">
      <alignment horizontal="left" wrapText="1"/>
    </xf>
    <xf numFmtId="0" fontId="0" fillId="0" borderId="47" xfId="0" applyBorder="1" applyAlignment="1">
      <alignment horizontal="left" wrapText="1"/>
    </xf>
    <xf numFmtId="43" fontId="14" fillId="0" borderId="0" xfId="0" applyNumberFormat="1" applyFont="1" applyAlignment="1">
      <alignment horizontal="center" wrapText="1"/>
    </xf>
    <xf numFmtId="0" fontId="14" fillId="0" borderId="0" xfId="0" applyFont="1" applyBorder="1" applyAlignment="1">
      <alignment horizontal="center"/>
    </xf>
    <xf numFmtId="43" fontId="61" fillId="31" borderId="0" xfId="48" applyFont="1" applyFill="1" applyAlignment="1" applyProtection="1">
      <alignment horizontal="center" vertical="center"/>
    </xf>
    <xf numFmtId="43" fontId="14" fillId="0" borderId="0" xfId="0" applyNumberFormat="1" applyFont="1" applyAlignment="1" applyProtection="1">
      <alignment horizontal="justify" wrapText="1"/>
    </xf>
    <xf numFmtId="0" fontId="149" fillId="0" borderId="114" xfId="0" applyFont="1" applyBorder="1" applyAlignment="1" applyProtection="1">
      <alignment horizontal="left" vertical="center" wrapText="1"/>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0" fontId="34" fillId="0" borderId="29" xfId="0" applyFont="1" applyBorder="1" applyAlignment="1" applyProtection="1">
      <alignment horizontal="center" vertical="center"/>
    </xf>
    <xf numFmtId="0" fontId="34" fillId="0" borderId="46" xfId="0" applyFont="1" applyBorder="1" applyAlignment="1" applyProtection="1">
      <alignment horizontal="center" vertical="center"/>
    </xf>
    <xf numFmtId="0" fontId="34" fillId="0" borderId="47" xfId="0" applyFont="1" applyBorder="1" applyAlignment="1" applyProtection="1">
      <alignment horizontal="center" vertical="center"/>
    </xf>
    <xf numFmtId="9" fontId="30" fillId="22" borderId="10" xfId="56" applyFont="1" applyFill="1" applyBorder="1" applyAlignment="1" applyProtection="1">
      <alignment horizontal="justify" vertical="center" wrapText="1"/>
      <protection locked="0"/>
    </xf>
    <xf numFmtId="9" fontId="162" fillId="22" borderId="10" xfId="56" applyFont="1" applyFill="1" applyBorder="1" applyAlignment="1" applyProtection="1">
      <alignment horizontal="justify" vertical="center" wrapText="1"/>
      <protection locked="0"/>
    </xf>
    <xf numFmtId="9" fontId="34" fillId="22" borderId="10" xfId="56" applyFont="1" applyFill="1" applyBorder="1" applyAlignment="1" applyProtection="1">
      <alignment horizontal="justify" vertical="center" wrapText="1"/>
      <protection locked="0"/>
    </xf>
    <xf numFmtId="9" fontId="28" fillId="0" borderId="29" xfId="56" applyFont="1" applyBorder="1" applyAlignment="1" applyProtection="1">
      <alignment horizontal="center" vertical="center" wrapText="1"/>
    </xf>
    <xf numFmtId="9" fontId="28" fillId="0" borderId="46" xfId="56" applyFont="1" applyBorder="1" applyAlignment="1" applyProtection="1">
      <alignment horizontal="center" vertical="center" wrapText="1"/>
    </xf>
    <xf numFmtId="9" fontId="28" fillId="0" borderId="47" xfId="56" applyFont="1" applyBorder="1" applyAlignment="1" applyProtection="1">
      <alignment horizontal="center" vertical="center" wrapText="1"/>
    </xf>
    <xf numFmtId="0" fontId="34" fillId="20" borderId="0" xfId="0" applyFont="1" applyFill="1" applyAlignment="1" applyProtection="1">
      <alignment horizontal="center" vertical="center" wrapText="1"/>
    </xf>
    <xf numFmtId="0" fontId="150" fillId="0" borderId="29" xfId="0" applyFont="1" applyBorder="1" applyAlignment="1" applyProtection="1">
      <alignment vertical="center" wrapText="1"/>
    </xf>
    <xf numFmtId="0" fontId="150" fillId="0" borderId="46" xfId="0" applyFont="1" applyBorder="1" applyAlignment="1" applyProtection="1">
      <alignment vertical="center" wrapText="1"/>
    </xf>
    <xf numFmtId="0" fontId="150" fillId="0" borderId="47" xfId="0" applyFont="1" applyBorder="1" applyAlignment="1" applyProtection="1">
      <alignment vertical="center" wrapText="1"/>
    </xf>
    <xf numFmtId="0" fontId="150" fillId="0" borderId="10" xfId="0" applyFont="1" applyBorder="1" applyAlignment="1" applyProtection="1">
      <alignment vertical="center" wrapText="1"/>
    </xf>
    <xf numFmtId="0" fontId="34" fillId="20" borderId="0" xfId="0" applyFont="1" applyFill="1" applyAlignment="1" applyProtection="1">
      <alignment horizontal="left"/>
      <protection locked="0"/>
    </xf>
    <xf numFmtId="0" fontId="34" fillId="20" borderId="44" xfId="0" applyFont="1" applyFill="1" applyBorder="1" applyAlignment="1" applyProtection="1">
      <alignment horizontal="left"/>
      <protection locked="0"/>
    </xf>
    <xf numFmtId="0" fontId="34" fillId="20" borderId="154"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132" fillId="22" borderId="10" xfId="56" applyFont="1" applyFill="1" applyBorder="1" applyAlignment="1" applyProtection="1">
      <alignment horizontal="justify" vertical="center" wrapText="1"/>
      <protection locked="0"/>
    </xf>
    <xf numFmtId="49" fontId="150" fillId="0" borderId="10" xfId="0" applyNumberFormat="1" applyFont="1" applyBorder="1" applyAlignment="1" applyProtection="1">
      <alignment vertical="center" wrapText="1"/>
    </xf>
    <xf numFmtId="0" fontId="34" fillId="22" borderId="29" xfId="0" applyFont="1" applyFill="1" applyBorder="1" applyAlignment="1" applyProtection="1">
      <alignment horizontal="justify" vertical="top" wrapText="1"/>
      <protection locked="0"/>
    </xf>
    <xf numFmtId="0" fontId="0" fillId="0" borderId="46" xfId="0" applyBorder="1" applyAlignment="1">
      <alignment horizontal="justify" vertical="top" wrapText="1"/>
    </xf>
    <xf numFmtId="0" fontId="0" fillId="0" borderId="47" xfId="0" applyBorder="1" applyAlignment="1">
      <alignment horizontal="justify" vertical="top" wrapText="1"/>
    </xf>
    <xf numFmtId="9" fontId="37" fillId="32" borderId="29" xfId="56" applyFont="1" applyFill="1" applyBorder="1" applyAlignment="1" applyProtection="1">
      <alignment horizontal="center" vertical="center" wrapText="1"/>
    </xf>
    <xf numFmtId="9" fontId="37" fillId="32" borderId="47" xfId="56" applyFont="1" applyFill="1" applyBorder="1" applyAlignment="1" applyProtection="1">
      <alignment horizontal="center" vertical="center" wrapText="1"/>
    </xf>
    <xf numFmtId="9" fontId="37" fillId="34" borderId="29" xfId="56" applyFont="1" applyFill="1" applyBorder="1" applyAlignment="1" applyProtection="1">
      <alignment horizontal="center" vertical="center" wrapText="1"/>
    </xf>
    <xf numFmtId="9" fontId="37" fillId="34" borderId="47" xfId="56" applyFont="1" applyFill="1" applyBorder="1" applyAlignment="1" applyProtection="1">
      <alignment horizontal="center" vertical="center" wrapText="1"/>
    </xf>
    <xf numFmtId="0" fontId="33" fillId="0" borderId="109"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22" borderId="46" xfId="0" applyFont="1" applyFill="1" applyBorder="1" applyAlignment="1" applyProtection="1">
      <alignment horizontal="justify" vertical="top" wrapText="1"/>
      <protection locked="0"/>
    </xf>
    <xf numFmtId="0" fontId="34" fillId="22" borderId="47" xfId="0" applyFont="1" applyFill="1" applyBorder="1" applyAlignment="1" applyProtection="1">
      <alignment horizontal="justify" vertical="top" wrapText="1"/>
      <protection locked="0"/>
    </xf>
    <xf numFmtId="0" fontId="149" fillId="0" borderId="114" xfId="0" applyFont="1" applyBorder="1" applyAlignment="1" applyProtection="1">
      <alignment horizontal="justify" vertical="center"/>
    </xf>
    <xf numFmtId="0" fontId="2" fillId="22" borderId="155" xfId="0" applyFont="1" applyFill="1" applyBorder="1" applyAlignment="1" applyProtection="1">
      <alignment horizontal="center" vertical="top" wrapText="1"/>
      <protection locked="0"/>
    </xf>
    <xf numFmtId="0" fontId="2" fillId="22" borderId="156" xfId="0" applyFont="1" applyFill="1" applyBorder="1" applyAlignment="1" applyProtection="1">
      <alignment horizontal="center" vertical="top" wrapText="1"/>
      <protection locked="0"/>
    </xf>
    <xf numFmtId="0" fontId="2" fillId="22" borderId="157"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0" fontId="60" fillId="25" borderId="161" xfId="0" applyFont="1" applyFill="1" applyBorder="1" applyAlignment="1" applyProtection="1">
      <alignment horizontal="center" vertical="center"/>
    </xf>
    <xf numFmtId="0" fontId="60" fillId="25" borderId="162" xfId="0" applyFont="1" applyFill="1" applyBorder="1" applyAlignment="1" applyProtection="1">
      <alignment horizontal="center" vertical="center"/>
    </xf>
    <xf numFmtId="0" fontId="60" fillId="25" borderId="163" xfId="0" applyFont="1" applyFill="1" applyBorder="1" applyAlignment="1" applyProtection="1">
      <alignment horizontal="center" vertical="center"/>
    </xf>
    <xf numFmtId="0" fontId="2" fillId="24" borderId="164" xfId="0" applyFont="1" applyFill="1" applyBorder="1" applyAlignment="1" applyProtection="1">
      <alignment horizontal="center" vertical="top" wrapText="1"/>
      <protection locked="0"/>
    </xf>
    <xf numFmtId="0" fontId="2" fillId="24" borderId="165" xfId="0" applyFont="1" applyFill="1" applyBorder="1" applyAlignment="1" applyProtection="1">
      <alignment horizontal="center" vertical="top" wrapText="1"/>
      <protection locked="0"/>
    </xf>
    <xf numFmtId="0" fontId="2" fillId="24" borderId="166" xfId="0" applyFont="1" applyFill="1" applyBorder="1" applyAlignment="1" applyProtection="1">
      <alignment horizontal="center" vertical="top" wrapText="1"/>
      <protection locked="0"/>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78" fillId="0" borderId="173" xfId="0" applyFont="1" applyFill="1" applyBorder="1" applyAlignment="1" applyProtection="1">
      <alignment horizontal="center"/>
    </xf>
    <xf numFmtId="0" fontId="78" fillId="0" borderId="174" xfId="0" applyFont="1" applyFill="1" applyBorder="1" applyAlignment="1" applyProtection="1">
      <alignment horizontal="center"/>
    </xf>
    <xf numFmtId="49" fontId="2" fillId="25" borderId="175" xfId="0" applyNumberFormat="1" applyFont="1" applyFill="1" applyBorder="1" applyAlignment="1" applyProtection="1">
      <alignment horizontal="center" vertical="center"/>
      <protection locked="0"/>
    </xf>
    <xf numFmtId="49" fontId="2" fillId="25" borderId="176" xfId="0" applyNumberFormat="1" applyFont="1" applyFill="1" applyBorder="1" applyAlignment="1" applyProtection="1">
      <alignment horizontal="center" vertical="center"/>
      <protection locked="0"/>
    </xf>
    <xf numFmtId="49" fontId="2" fillId="25" borderId="177" xfId="0" applyNumberFormat="1" applyFont="1" applyFill="1" applyBorder="1" applyAlignment="1" applyProtection="1">
      <alignment horizontal="center" vertical="center"/>
      <protection locked="0"/>
    </xf>
    <xf numFmtId="49" fontId="2" fillId="25" borderId="178"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0" fontId="78" fillId="0" borderId="0" xfId="0" applyFont="1" applyFill="1" applyBorder="1" applyAlignment="1" applyProtection="1">
      <alignment horizontal="center"/>
    </xf>
    <xf numFmtId="0" fontId="80" fillId="0" borderId="180" xfId="0" applyNumberFormat="1" applyFont="1" applyFill="1" applyBorder="1" applyAlignment="1" applyProtection="1">
      <alignment horizontal="left" vertical="top" wrapText="1"/>
    </xf>
    <xf numFmtId="0" fontId="80" fillId="0" borderId="181" xfId="0" applyNumberFormat="1" applyFont="1" applyFill="1" applyBorder="1" applyAlignment="1" applyProtection="1">
      <alignment horizontal="left" vertical="top" wrapText="1"/>
    </xf>
    <xf numFmtId="0" fontId="80" fillId="0" borderId="182" xfId="0" applyNumberFormat="1" applyFont="1" applyFill="1" applyBorder="1" applyAlignment="1" applyProtection="1">
      <alignment horizontal="left" vertical="top" wrapText="1"/>
    </xf>
    <xf numFmtId="0" fontId="80" fillId="0" borderId="183" xfId="0" applyNumberFormat="1" applyFont="1" applyFill="1" applyBorder="1" applyAlignment="1" applyProtection="1">
      <alignment horizontal="left" vertical="top" wrapText="1"/>
    </xf>
    <xf numFmtId="0" fontId="80" fillId="0" borderId="192" xfId="0" applyNumberFormat="1" applyFont="1" applyFill="1" applyBorder="1" applyAlignment="1" applyProtection="1">
      <alignment horizontal="left" vertical="top" wrapText="1"/>
    </xf>
    <xf numFmtId="49" fontId="2" fillId="25" borderId="184" xfId="0" applyNumberFormat="1" applyFont="1" applyFill="1" applyBorder="1" applyAlignment="1" applyProtection="1">
      <alignment horizontal="center" vertical="center"/>
      <protection locked="0"/>
    </xf>
    <xf numFmtId="49" fontId="2" fillId="25" borderId="185" xfId="0" applyNumberFormat="1" applyFont="1" applyFill="1" applyBorder="1" applyAlignment="1" applyProtection="1">
      <alignment horizontal="center" vertical="center"/>
      <protection locked="0"/>
    </xf>
    <xf numFmtId="49" fontId="2" fillId="25" borderId="186" xfId="0" applyNumberFormat="1" applyFont="1" applyFill="1" applyBorder="1" applyAlignment="1" applyProtection="1">
      <alignment horizontal="center" vertical="center"/>
      <protection locked="0"/>
    </xf>
    <xf numFmtId="0" fontId="125" fillId="24" borderId="193" xfId="0" applyFont="1" applyFill="1" applyBorder="1" applyAlignment="1" applyProtection="1">
      <alignment horizontal="center" vertical="center"/>
    </xf>
    <xf numFmtId="0" fontId="125" fillId="24" borderId="194" xfId="0" applyFont="1" applyFill="1" applyBorder="1" applyAlignment="1" applyProtection="1">
      <alignment horizontal="center" vertical="center"/>
    </xf>
    <xf numFmtId="0" fontId="0" fillId="0" borderId="194" xfId="0" applyBorder="1" applyAlignment="1">
      <alignment horizontal="center" vertical="center"/>
    </xf>
    <xf numFmtId="0" fontId="125" fillId="24" borderId="195" xfId="0" applyFont="1" applyFill="1" applyBorder="1" applyAlignment="1" applyProtection="1">
      <alignment horizontal="center" vertical="center"/>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111" fillId="0" borderId="0" xfId="0" applyFont="1" applyBorder="1" applyAlignment="1" applyProtection="1">
      <alignment horizontal="center"/>
    </xf>
    <xf numFmtId="43" fontId="15" fillId="30" borderId="0" xfId="59" applyFont="1" applyFill="1" applyBorder="1" applyAlignment="1" applyProtection="1">
      <alignment horizontal="center"/>
    </xf>
    <xf numFmtId="0" fontId="2" fillId="22" borderId="155" xfId="0" applyFont="1" applyFill="1" applyBorder="1" applyAlignment="1" applyProtection="1">
      <alignment horizontal="left" vertical="top" wrapText="1"/>
      <protection locked="0"/>
    </xf>
    <xf numFmtId="0" fontId="2" fillId="22" borderId="156" xfId="0" applyFont="1" applyFill="1" applyBorder="1" applyAlignment="1" applyProtection="1">
      <alignment horizontal="left" vertical="top" wrapText="1"/>
      <protection locked="0"/>
    </xf>
    <xf numFmtId="0" fontId="2" fillId="22" borderId="157" xfId="0" applyFont="1" applyFill="1" applyBorder="1" applyAlignment="1" applyProtection="1">
      <alignment horizontal="left" vertical="top" wrapText="1"/>
      <protection locked="0"/>
    </xf>
    <xf numFmtId="9" fontId="2" fillId="0" borderId="187" xfId="56" applyNumberFormat="1" applyFont="1" applyFill="1" applyBorder="1" applyAlignment="1" applyProtection="1">
      <alignment horizontal="left" vertical="center" wrapText="1"/>
    </xf>
    <xf numFmtId="0" fontId="2" fillId="0" borderId="176" xfId="56" applyNumberFormat="1" applyFont="1" applyFill="1" applyBorder="1" applyAlignment="1" applyProtection="1">
      <alignment horizontal="left" vertical="center" wrapText="1"/>
    </xf>
    <xf numFmtId="0" fontId="2" fillId="0" borderId="188" xfId="56" applyNumberFormat="1" applyFont="1" applyFill="1" applyBorder="1" applyAlignment="1" applyProtection="1">
      <alignment horizontal="left" vertical="center" wrapText="1"/>
    </xf>
    <xf numFmtId="0" fontId="80" fillId="0" borderId="198" xfId="0" applyNumberFormat="1" applyFont="1" applyFill="1" applyBorder="1" applyAlignment="1" applyProtection="1">
      <alignment horizontal="left" vertical="top" wrapText="1"/>
    </xf>
    <xf numFmtId="0" fontId="80" fillId="0" borderId="199" xfId="0" applyNumberFormat="1" applyFont="1" applyFill="1" applyBorder="1" applyAlignment="1" applyProtection="1">
      <alignment horizontal="left" vertical="top" wrapText="1"/>
    </xf>
    <xf numFmtId="0" fontId="2" fillId="0" borderId="187" xfId="56" applyNumberFormat="1" applyFont="1" applyFill="1" applyBorder="1" applyAlignment="1" applyProtection="1">
      <alignment horizontal="left" vertical="center" wrapText="1"/>
    </xf>
    <xf numFmtId="0" fontId="80" fillId="0" borderId="200"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2" fillId="22" borderId="189" xfId="0" applyFont="1" applyFill="1" applyBorder="1" applyAlignment="1" applyProtection="1">
      <alignment horizontal="center" vertical="top" wrapText="1"/>
      <protection locked="0"/>
    </xf>
    <xf numFmtId="0" fontId="2" fillId="22" borderId="190" xfId="0" applyFont="1" applyFill="1" applyBorder="1" applyAlignment="1" applyProtection="1">
      <alignment horizontal="center" vertical="top" wrapText="1"/>
      <protection locked="0"/>
    </xf>
    <xf numFmtId="0" fontId="2" fillId="22" borderId="191" xfId="0" applyFont="1" applyFill="1" applyBorder="1" applyAlignment="1" applyProtection="1">
      <alignment horizontal="center" vertical="top" wrapText="1"/>
      <protection locked="0"/>
    </xf>
    <xf numFmtId="0" fontId="60" fillId="22" borderId="202" xfId="0" applyFont="1" applyFill="1" applyBorder="1" applyAlignment="1" applyProtection="1">
      <alignment horizontal="center" vertical="center"/>
    </xf>
    <xf numFmtId="0" fontId="60" fillId="22" borderId="203" xfId="0" applyFont="1" applyFill="1" applyBorder="1" applyAlignment="1" applyProtection="1">
      <alignment horizontal="center" vertical="center"/>
    </xf>
    <xf numFmtId="0" fontId="60" fillId="22" borderId="204" xfId="0" applyFont="1" applyFill="1" applyBorder="1" applyAlignment="1" applyProtection="1">
      <alignment horizontal="center" vertical="center"/>
    </xf>
    <xf numFmtId="0" fontId="80" fillId="0" borderId="205" xfId="0" applyNumberFormat="1" applyFont="1" applyFill="1" applyBorder="1" applyAlignment="1" applyProtection="1">
      <alignment horizontal="left" vertical="center" wrapText="1"/>
    </xf>
    <xf numFmtId="0" fontId="80" fillId="0" borderId="206" xfId="0" applyNumberFormat="1" applyFont="1" applyFill="1" applyBorder="1" applyAlignment="1" applyProtection="1">
      <alignment horizontal="left" vertical="center" wrapText="1"/>
    </xf>
    <xf numFmtId="0" fontId="80" fillId="0" borderId="207" xfId="0" applyNumberFormat="1" applyFont="1" applyFill="1" applyBorder="1" applyAlignment="1" applyProtection="1">
      <alignment horizontal="left" vertical="center" wrapText="1"/>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21" fillId="0" borderId="214" xfId="0"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21" fillId="0" borderId="39" xfId="0" applyFont="1" applyBorder="1" applyAlignment="1" applyProtection="1">
      <alignment horizontal="left"/>
      <protection locked="0"/>
    </xf>
    <xf numFmtId="0" fontId="21" fillId="0" borderId="214" xfId="0" applyFont="1" applyBorder="1" applyAlignment="1" applyProtection="1">
      <alignment horizontal="left"/>
      <protection locked="0"/>
    </xf>
    <xf numFmtId="0" fontId="98" fillId="21" borderId="222" xfId="0" applyFont="1" applyFill="1" applyBorder="1" applyAlignment="1">
      <alignment horizontal="center" vertical="center" textRotation="90"/>
    </xf>
    <xf numFmtId="0" fontId="0" fillId="21" borderId="95" xfId="0" applyFill="1" applyBorder="1" applyAlignment="1">
      <alignment horizontal="center" vertical="center" textRotation="90"/>
    </xf>
    <xf numFmtId="0" fontId="0" fillId="21" borderId="112" xfId="0" applyFill="1" applyBorder="1" applyAlignment="1">
      <alignment horizontal="center" vertical="center" textRotation="90"/>
    </xf>
    <xf numFmtId="0" fontId="77" fillId="21" borderId="221"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0" fontId="21" fillId="0" borderId="213" xfId="0" applyFont="1" applyFill="1" applyBorder="1" applyAlignment="1" applyProtection="1">
      <alignment horizontal="left"/>
      <protection locked="0"/>
    </xf>
    <xf numFmtId="0" fontId="33" fillId="0" borderId="0" xfId="0" applyFont="1" applyAlignment="1">
      <alignment horizontal="center"/>
    </xf>
    <xf numFmtId="0" fontId="77" fillId="21" borderId="223" xfId="53" applyNumberFormat="1" applyFont="1" applyFill="1" applyBorder="1" applyAlignment="1">
      <alignment horizontal="center" vertical="center" wrapText="1"/>
    </xf>
    <xf numFmtId="0" fontId="77" fillId="21" borderId="224" xfId="53" applyNumberFormat="1" applyFont="1" applyFill="1" applyBorder="1" applyAlignment="1">
      <alignment horizontal="center" vertical="center" wrapText="1"/>
    </xf>
    <xf numFmtId="0" fontId="77" fillId="21" borderId="225" xfId="53" applyNumberFormat="1" applyFont="1" applyFill="1" applyBorder="1" applyAlignment="1">
      <alignment horizontal="center" vertical="center" wrapText="1"/>
    </xf>
    <xf numFmtId="0" fontId="21" fillId="0" borderId="226" xfId="0" applyFont="1" applyFill="1" applyBorder="1" applyAlignment="1" applyProtection="1">
      <alignment horizontal="left"/>
      <protection locked="0"/>
    </xf>
    <xf numFmtId="0" fontId="21" fillId="0" borderId="227" xfId="0" applyFont="1" applyFill="1" applyBorder="1" applyAlignment="1" applyProtection="1">
      <alignment horizontal="left"/>
      <protection locked="0"/>
    </xf>
    <xf numFmtId="0" fontId="21" fillId="0" borderId="213" xfId="0" applyFont="1" applyBorder="1" applyAlignment="1" applyProtection="1">
      <alignment horizontal="left"/>
      <protection locked="0"/>
    </xf>
    <xf numFmtId="0" fontId="21" fillId="0" borderId="228" xfId="0" applyFont="1" applyFill="1" applyBorder="1" applyAlignment="1" applyProtection="1">
      <alignment horizontal="left" vertical="top" wrapText="1"/>
      <protection locked="0"/>
    </xf>
    <xf numFmtId="0" fontId="21" fillId="0" borderId="229" xfId="0" applyFont="1" applyFill="1" applyBorder="1" applyAlignment="1" applyProtection="1">
      <alignment horizontal="left" vertical="top" wrapText="1"/>
      <protection locked="0"/>
    </xf>
    <xf numFmtId="0" fontId="21" fillId="0" borderId="230" xfId="0" applyFont="1" applyFill="1" applyBorder="1" applyAlignment="1" applyProtection="1">
      <alignment horizontal="left" vertical="top" wrapText="1"/>
      <protection locked="0"/>
    </xf>
    <xf numFmtId="0" fontId="21" fillId="0" borderId="219" xfId="0" applyFont="1" applyFill="1" applyBorder="1" applyAlignment="1" applyProtection="1">
      <alignment horizontal="left" vertical="top" wrapText="1"/>
      <protection locked="0"/>
    </xf>
    <xf numFmtId="0" fontId="21" fillId="0" borderId="185"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protection locked="0"/>
    </xf>
    <xf numFmtId="0" fontId="21" fillId="0" borderId="176" xfId="0" applyFont="1" applyFill="1" applyBorder="1" applyAlignment="1" applyProtection="1">
      <alignment horizontal="left"/>
      <protection locked="0"/>
    </xf>
    <xf numFmtId="0" fontId="21" fillId="0" borderId="209" xfId="0" applyFont="1" applyFill="1" applyBorder="1" applyAlignment="1" applyProtection="1">
      <alignment horizontal="left"/>
      <protection locked="0"/>
    </xf>
    <xf numFmtId="0" fontId="21" fillId="0" borderId="233" xfId="0" applyFont="1" applyFill="1" applyBorder="1" applyAlignment="1" applyProtection="1">
      <alignment horizontal="left"/>
      <protection locked="0"/>
    </xf>
    <xf numFmtId="0" fontId="21" fillId="0" borderId="210" xfId="0" applyFont="1" applyFill="1" applyBorder="1" applyAlignment="1" applyProtection="1">
      <alignment horizontal="left"/>
      <protection locked="0"/>
    </xf>
    <xf numFmtId="0" fontId="21" fillId="0" borderId="211" xfId="0" applyFont="1" applyFill="1" applyBorder="1" applyAlignment="1" applyProtection="1">
      <alignment horizontal="left"/>
      <protection locked="0"/>
    </xf>
    <xf numFmtId="0" fontId="21" fillId="0" borderId="226" xfId="0" applyFont="1" applyBorder="1" applyAlignment="1" applyProtection="1">
      <alignment horizontal="left"/>
      <protection locked="0"/>
    </xf>
    <xf numFmtId="0" fontId="21" fillId="0" borderId="227" xfId="0" applyFont="1" applyBorder="1" applyAlignment="1" applyProtection="1">
      <alignment horizontal="left"/>
      <protection locked="0"/>
    </xf>
    <xf numFmtId="0" fontId="21" fillId="0" borderId="176" xfId="0" applyFont="1" applyFill="1" applyBorder="1" applyAlignment="1" applyProtection="1">
      <alignment horizontal="left" vertical="center" wrapText="1"/>
      <protection locked="0"/>
    </xf>
    <xf numFmtId="0" fontId="21" fillId="0" borderId="209" xfId="0" applyFont="1" applyFill="1" applyBorder="1" applyAlignment="1" applyProtection="1">
      <alignment horizontal="left" vertical="center" wrapText="1"/>
      <protection locked="0"/>
    </xf>
    <xf numFmtId="0" fontId="21" fillId="0" borderId="210" xfId="0" applyFont="1" applyFill="1" applyBorder="1" applyAlignment="1" applyProtection="1">
      <alignment horizontal="left" vertical="center" wrapText="1"/>
      <protection locked="0"/>
    </xf>
    <xf numFmtId="0" fontId="21" fillId="0" borderId="211" xfId="0" applyFont="1" applyFill="1" applyBorder="1" applyAlignment="1" applyProtection="1">
      <alignment horizontal="left" vertical="center" wrapText="1"/>
      <protection locked="0"/>
    </xf>
    <xf numFmtId="0" fontId="21" fillId="0" borderId="212" xfId="0" applyFont="1" applyBorder="1" applyAlignment="1" applyProtection="1">
      <alignment horizontal="left"/>
      <protection locked="0"/>
    </xf>
    <xf numFmtId="0" fontId="159" fillId="0" borderId="176" xfId="0" applyFont="1" applyFill="1" applyBorder="1" applyAlignment="1" applyProtection="1">
      <alignment horizontal="left" vertical="center" wrapText="1"/>
      <protection locked="0"/>
    </xf>
    <xf numFmtId="0" fontId="159" fillId="0" borderId="209" xfId="0" applyFont="1" applyFill="1" applyBorder="1" applyAlignment="1" applyProtection="1">
      <alignment horizontal="left" vertical="center" wrapText="1"/>
      <protection locked="0"/>
    </xf>
    <xf numFmtId="0" fontId="158" fillId="22" borderId="115" xfId="0" applyFont="1" applyFill="1" applyBorder="1" applyAlignment="1" applyProtection="1">
      <alignment horizontal="left" wrapText="1"/>
      <protection locked="0"/>
    </xf>
    <xf numFmtId="0" fontId="158" fillId="22" borderId="114" xfId="0" applyFont="1" applyFill="1" applyBorder="1" applyAlignment="1" applyProtection="1">
      <alignment horizontal="left" wrapText="1"/>
      <protection locked="0"/>
    </xf>
    <xf numFmtId="0" fontId="158" fillId="22" borderId="116" xfId="0" applyFont="1" applyFill="1" applyBorder="1" applyAlignment="1" applyProtection="1">
      <alignment horizontal="left" wrapText="1"/>
      <protection locked="0"/>
    </xf>
    <xf numFmtId="0" fontId="158" fillId="22" borderId="67" xfId="0" applyFont="1" applyFill="1" applyBorder="1" applyAlignment="1" applyProtection="1">
      <alignment horizontal="left" wrapText="1"/>
      <protection locked="0"/>
    </xf>
    <xf numFmtId="0" fontId="158" fillId="22" borderId="109" xfId="0" applyFont="1" applyFill="1" applyBorder="1" applyAlignment="1" applyProtection="1">
      <alignment horizontal="left" wrapText="1"/>
      <protection locked="0"/>
    </xf>
    <xf numFmtId="0" fontId="158" fillId="22" borderId="111" xfId="0" applyFont="1" applyFill="1" applyBorder="1" applyAlignment="1" applyProtection="1">
      <alignment horizontal="left" wrapText="1"/>
      <protection locked="0"/>
    </xf>
    <xf numFmtId="0" fontId="77" fillId="21" borderId="208" xfId="53" applyNumberFormat="1" applyFont="1" applyFill="1" applyBorder="1" applyAlignment="1">
      <alignment horizontal="center" vertical="center" wrapText="1"/>
    </xf>
    <xf numFmtId="0" fontId="21" fillId="0" borderId="216" xfId="0" applyFont="1" applyFill="1" applyBorder="1" applyAlignment="1" applyProtection="1">
      <alignment horizontal="left" vertical="top" wrapText="1"/>
      <protection locked="0"/>
    </xf>
    <xf numFmtId="0" fontId="21" fillId="0" borderId="217" xfId="0" applyFont="1" applyFill="1" applyBorder="1" applyAlignment="1" applyProtection="1">
      <alignment horizontal="left" vertical="top" wrapText="1"/>
      <protection locked="0"/>
    </xf>
    <xf numFmtId="0" fontId="21" fillId="0" borderId="218"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3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215" xfId="0" applyFont="1" applyBorder="1" applyAlignment="1" applyProtection="1">
      <alignment horizontal="left"/>
      <protection locked="0"/>
    </xf>
    <xf numFmtId="43" fontId="15" fillId="30" borderId="0" xfId="60" applyFont="1" applyFill="1" applyBorder="1" applyAlignment="1" applyProtection="1">
      <alignment horizontal="center"/>
      <protection locked="0"/>
    </xf>
    <xf numFmtId="0" fontId="21" fillId="0" borderId="234" xfId="0" applyFont="1" applyFill="1" applyBorder="1" applyAlignment="1" applyProtection="1">
      <alignment horizontal="left"/>
      <protection locked="0"/>
    </xf>
    <xf numFmtId="0" fontId="21" fillId="0" borderId="235" xfId="0" applyFont="1" applyBorder="1" applyAlignment="1" applyProtection="1">
      <alignment horizontal="left"/>
      <protection locked="0"/>
    </xf>
    <xf numFmtId="0" fontId="21" fillId="0" borderId="234" xfId="0" applyFont="1" applyBorder="1" applyAlignment="1" applyProtection="1">
      <alignment horizontal="left"/>
      <protection locked="0"/>
    </xf>
    <xf numFmtId="43" fontId="17" fillId="31" borderId="0" xfId="39" applyFont="1" applyFill="1" applyAlignment="1">
      <alignment horizontal="center" vertical="center"/>
    </xf>
    <xf numFmtId="2" fontId="153" fillId="22" borderId="10" xfId="0" applyNumberFormat="1" applyFont="1" applyFill="1" applyBorder="1" applyAlignment="1" applyProtection="1">
      <alignment horizontal="center" vertical="center"/>
      <protection locked="0"/>
    </xf>
    <xf numFmtId="2" fontId="153" fillId="28" borderId="10" xfId="0" applyNumberFormat="1" applyFont="1" applyFill="1" applyBorder="1" applyAlignment="1" applyProtection="1">
      <alignment horizontal="center" vertical="center"/>
      <protection locked="0"/>
    </xf>
    <xf numFmtId="2" fontId="67" fillId="22" borderId="10" xfId="0" applyNumberFormat="1" applyFont="1" applyFill="1" applyBorder="1" applyAlignment="1" applyProtection="1">
      <alignment vertical="center"/>
      <protection locked="0"/>
    </xf>
    <xf numFmtId="0" fontId="143" fillId="22" borderId="239" xfId="0" applyNumberFormat="1" applyFont="1" applyFill="1" applyBorder="1" applyAlignment="1" applyProtection="1">
      <alignment horizontal="center" vertical="center" wrapText="1"/>
      <protection locked="0"/>
    </xf>
    <xf numFmtId="0" fontId="143" fillId="22" borderId="110" xfId="0" applyNumberFormat="1" applyFont="1" applyFill="1" applyBorder="1" applyAlignment="1" applyProtection="1">
      <alignment horizontal="center" vertical="center" wrapText="1"/>
      <protection locked="0"/>
    </xf>
    <xf numFmtId="49" fontId="143" fillId="22" borderId="240" xfId="0" applyNumberFormat="1" applyFont="1" applyFill="1" applyBorder="1" applyAlignment="1" applyProtection="1">
      <alignment horizontal="left" vertical="center" wrapText="1"/>
      <protection locked="0"/>
    </xf>
    <xf numFmtId="49" fontId="143" fillId="22" borderId="114" xfId="0" applyNumberFormat="1" applyFont="1" applyFill="1" applyBorder="1" applyAlignment="1" applyProtection="1">
      <alignment horizontal="left" vertical="center" wrapText="1"/>
      <protection locked="0"/>
    </xf>
    <xf numFmtId="49" fontId="143" fillId="22" borderId="241" xfId="0" applyNumberFormat="1" applyFont="1" applyFill="1" applyBorder="1" applyAlignment="1" applyProtection="1">
      <alignment horizontal="left" vertical="center" wrapText="1"/>
      <protection locked="0"/>
    </xf>
    <xf numFmtId="49" fontId="143" fillId="22" borderId="108" xfId="0" applyNumberFormat="1" applyFont="1" applyFill="1" applyBorder="1" applyAlignment="1" applyProtection="1">
      <alignment horizontal="left" vertical="center" wrapText="1"/>
      <protection locked="0"/>
    </xf>
    <xf numFmtId="49" fontId="143" fillId="22" borderId="109" xfId="0" applyNumberFormat="1" applyFont="1" applyFill="1" applyBorder="1" applyAlignment="1" applyProtection="1">
      <alignment horizontal="left" vertical="center" wrapText="1"/>
      <protection locked="0"/>
    </xf>
    <xf numFmtId="49" fontId="143" fillId="22" borderId="113" xfId="0" applyNumberFormat="1" applyFont="1" applyFill="1" applyBorder="1" applyAlignment="1" applyProtection="1">
      <alignment horizontal="left" vertical="center" wrapText="1"/>
      <protection locked="0"/>
    </xf>
    <xf numFmtId="43" fontId="21" fillId="0" borderId="0" xfId="59" applyFont="1" applyFill="1" applyBorder="1" applyAlignment="1" applyProtection="1">
      <alignment horizontal="center"/>
    </xf>
    <xf numFmtId="43" fontId="140" fillId="0" borderId="178" xfId="61" applyFill="1" applyBorder="1" applyAlignment="1" applyProtection="1">
      <alignment vertical="center"/>
    </xf>
    <xf numFmtId="49" fontId="67" fillId="28" borderId="240" xfId="0" applyNumberFormat="1" applyFont="1" applyFill="1" applyBorder="1" applyAlignment="1" applyProtection="1">
      <alignment horizontal="left" vertical="center" wrapText="1"/>
      <protection locked="0"/>
    </xf>
    <xf numFmtId="49" fontId="67" fillId="28" borderId="114" xfId="0" applyNumberFormat="1" applyFont="1" applyFill="1" applyBorder="1" applyAlignment="1" applyProtection="1">
      <alignment horizontal="left" vertical="center" wrapText="1"/>
      <protection locked="0"/>
    </xf>
    <xf numFmtId="49" fontId="67" fillId="28" borderId="241" xfId="0" applyNumberFormat="1" applyFont="1" applyFill="1" applyBorder="1" applyAlignment="1" applyProtection="1">
      <alignment horizontal="left" vertical="center" wrapText="1"/>
      <protection locked="0"/>
    </xf>
    <xf numFmtId="0" fontId="143" fillId="28" borderId="239" xfId="0" applyNumberFormat="1" applyFont="1" applyFill="1" applyBorder="1" applyAlignment="1" applyProtection="1">
      <alignment horizontal="center" vertical="center" wrapText="1"/>
      <protection locked="0"/>
    </xf>
    <xf numFmtId="174" fontId="67" fillId="28" borderId="10" xfId="0" applyNumberFormat="1" applyFont="1" applyFill="1" applyBorder="1" applyAlignment="1" applyProtection="1">
      <alignment vertical="center"/>
      <protection locked="0"/>
    </xf>
    <xf numFmtId="49" fontId="67" fillId="28" borderId="108" xfId="0" applyNumberFormat="1" applyFont="1" applyFill="1" applyBorder="1" applyAlignment="1" applyProtection="1">
      <alignment horizontal="left" vertical="center" wrapText="1"/>
      <protection locked="0"/>
    </xf>
    <xf numFmtId="49" fontId="67" fillId="28" borderId="109" xfId="0" applyNumberFormat="1" applyFont="1" applyFill="1" applyBorder="1" applyAlignment="1" applyProtection="1">
      <alignment horizontal="left" vertical="center" wrapText="1"/>
      <protection locked="0"/>
    </xf>
    <xf numFmtId="49" fontId="67" fillId="28" borderId="113" xfId="0" applyNumberFormat="1" applyFont="1" applyFill="1" applyBorder="1" applyAlignment="1" applyProtection="1">
      <alignment horizontal="left" vertical="center" wrapText="1"/>
      <protection locked="0"/>
    </xf>
    <xf numFmtId="0" fontId="143" fillId="28" borderId="110" xfId="0" applyNumberFormat="1" applyFont="1" applyFill="1" applyBorder="1" applyAlignment="1" applyProtection="1">
      <alignment horizontal="center" vertical="center" wrapText="1"/>
      <protection locked="0"/>
    </xf>
    <xf numFmtId="3" fontId="153" fillId="23" borderId="10" xfId="0" applyNumberFormat="1" applyFont="1" applyFill="1" applyBorder="1" applyAlignment="1" applyProtection="1">
      <alignment horizontal="right" vertical="center"/>
      <protection locked="0"/>
    </xf>
    <xf numFmtId="10" fontId="67" fillId="0" borderId="10" xfId="0" applyNumberFormat="1" applyFont="1" applyFill="1" applyBorder="1" applyAlignment="1" applyProtection="1">
      <alignment vertical="center"/>
    </xf>
    <xf numFmtId="0" fontId="166" fillId="0" borderId="176" xfId="0" applyFont="1" applyFill="1" applyBorder="1" applyAlignment="1" applyProtection="1">
      <alignment horizontal="left" vertical="center" wrapText="1"/>
      <protection locked="0"/>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54">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B55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671"/>
        </c:manualLayout>
      </c:layout>
      <c:barChart>
        <c:barDir val="col"/>
        <c:grouping val="clustered"/>
        <c:varyColors val="0"/>
        <c:ser>
          <c:idx val="0"/>
          <c:order val="0"/>
          <c:tx>
            <c:strRef>
              <c:f>'Introducerea datelor'!$B$33</c:f>
              <c:strCache>
                <c:ptCount val="1"/>
                <c:pt idx="0">
                  <c:v>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1192375.7916850778</c:v>
                </c:pt>
                <c:pt idx="1">
                  <c:v>2776406.4280564664</c:v>
                </c:pt>
                <c:pt idx="2">
                  <c:v>4389130.6309449058</c:v>
                </c:pt>
                <c:pt idx="3">
                  <c:v>5313259.9982945342</c:v>
                </c:pt>
                <c:pt idx="4">
                  <c:v>6233959.5261905314</c:v>
                </c:pt>
                <c:pt idx="5">
                  <c:v>7055616.0220780326</c:v>
                </c:pt>
                <c:pt idx="6">
                  <c:v>7410527.9520780323</c:v>
                </c:pt>
                <c:pt idx="7">
                  <c:v>8834046.422078032</c:v>
                </c:pt>
                <c:pt idx="8">
                  <c:v>9390687.7920780312</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3005703.2334085288</c:v>
                </c:pt>
                <c:pt idx="1">
                  <c:v>3005703.2334085288</c:v>
                </c:pt>
                <c:pt idx="2">
                  <c:v>4780756.9168275231</c:v>
                </c:pt>
                <c:pt idx="3">
                  <c:v>5370999.3255657107</c:v>
                </c:pt>
                <c:pt idx="4">
                  <c:v>5994606.0761102969</c:v>
                </c:pt>
                <c:pt idx="5">
                  <c:v>6957171.8722140826</c:v>
                </c:pt>
                <c:pt idx="6">
                  <c:v>9140655.8722140826</c:v>
                </c:pt>
                <c:pt idx="7">
                  <c:v>9140655.8722140826</c:v>
                </c:pt>
                <c:pt idx="8">
                  <c:v>10359799.872214083</c:v>
                </c:pt>
                <c:pt idx="9">
                  <c:v>0</c:v>
                </c:pt>
                <c:pt idx="10">
                  <c:v>0</c:v>
                </c:pt>
                <c:pt idx="11">
                  <c:v>0</c:v>
                </c:pt>
              </c:numCache>
            </c:numRef>
          </c:val>
        </c:ser>
        <c:dLbls>
          <c:showLegendKey val="0"/>
          <c:showVal val="0"/>
          <c:showCatName val="0"/>
          <c:showSerName val="0"/>
          <c:showPercent val="0"/>
          <c:showBubbleSize val="0"/>
        </c:dLbls>
        <c:gapWidth val="70"/>
        <c:axId val="170339592"/>
        <c:axId val="171342144"/>
      </c:barChart>
      <c:catAx>
        <c:axId val="17033959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532"/>
              <c:y val="0.786956412107879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71342144"/>
        <c:crosses val="autoZero"/>
        <c:auto val="1"/>
        <c:lblAlgn val="ctr"/>
        <c:lblOffset val="100"/>
        <c:tickLblSkip val="1"/>
        <c:tickMarkSkip val="1"/>
        <c:noMultiLvlLbl val="0"/>
      </c:catAx>
      <c:valAx>
        <c:axId val="17134214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7033959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x val="0.13106154924351615"/>
          <c:y val="0.88209606986899558"/>
          <c:w val="0.84665787195449138"/>
          <c:h val="0.10480349344978168"/>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948"/>
          <c:h val="0.65320736566206339"/>
        </c:manualLayout>
      </c:layout>
      <c:barChart>
        <c:barDir val="col"/>
        <c:grouping val="clustered"/>
        <c:varyColors val="0"/>
        <c:ser>
          <c:idx val="0"/>
          <c:order val="0"/>
          <c:tx>
            <c:strRef>
              <c:f>'Introducerea datelor'!$G$122</c:f>
              <c:strCache>
                <c:ptCount val="1"/>
                <c:pt idx="0">
                  <c:v>Target // Ținta</c:v>
                </c:pt>
              </c:strCache>
            </c:strRef>
          </c:tx>
          <c:spPr>
            <a:solidFill>
              <a:srgbClr val="0066CC"/>
            </a:solidFill>
            <a:ln w="25400">
              <a:noFill/>
            </a:ln>
          </c:spPr>
          <c:invertIfNegative val="0"/>
          <c:val>
            <c:numRef>
              <c:f>'Introducerea datelor'!$H$122:$S$122</c:f>
              <c:numCache>
                <c:formatCode>#,##0</c:formatCode>
                <c:ptCount val="12"/>
                <c:pt idx="0">
                  <c:v>1298</c:v>
                </c:pt>
                <c:pt idx="1">
                  <c:v>1439</c:v>
                </c:pt>
                <c:pt idx="2">
                  <c:v>1626</c:v>
                </c:pt>
                <c:pt idx="3">
                  <c:v>1814</c:v>
                </c:pt>
                <c:pt idx="4">
                  <c:v>2031</c:v>
                </c:pt>
                <c:pt idx="5">
                  <c:v>2249</c:v>
                </c:pt>
                <c:pt idx="6">
                  <c:v>2643</c:v>
                </c:pt>
                <c:pt idx="7">
                  <c:v>2965</c:v>
                </c:pt>
                <c:pt idx="8">
                  <c:v>3213</c:v>
                </c:pt>
              </c:numCache>
            </c:numRef>
          </c:val>
        </c:ser>
        <c:ser>
          <c:idx val="1"/>
          <c:order val="1"/>
          <c:tx>
            <c:strRef>
              <c:f>'Introducerea datelor'!$G$123</c:f>
              <c:strCache>
                <c:ptCount val="1"/>
                <c:pt idx="0">
                  <c:v>Achieved // Realizat</c:v>
                </c:pt>
              </c:strCache>
            </c:strRef>
          </c:tx>
          <c:spPr>
            <a:solidFill>
              <a:srgbClr val="00CCFF"/>
            </a:solidFill>
            <a:ln w="12700">
              <a:solidFill>
                <a:srgbClr val="000000"/>
              </a:solidFill>
              <a:prstDash val="solid"/>
            </a:ln>
          </c:spPr>
          <c:invertIfNegative val="0"/>
          <c:val>
            <c:numRef>
              <c:f>'Introducerea datelor'!$H$123:$S$123</c:f>
              <c:numCache>
                <c:formatCode>#,##0</c:formatCode>
                <c:ptCount val="12"/>
                <c:pt idx="0">
                  <c:v>1376</c:v>
                </c:pt>
                <c:pt idx="1">
                  <c:v>1580</c:v>
                </c:pt>
                <c:pt idx="2">
                  <c:v>1826</c:v>
                </c:pt>
                <c:pt idx="3">
                  <c:v>2110</c:v>
                </c:pt>
                <c:pt idx="4">
                  <c:v>2447</c:v>
                </c:pt>
                <c:pt idx="5">
                  <c:v>2705</c:v>
                </c:pt>
                <c:pt idx="6">
                  <c:v>2973</c:v>
                </c:pt>
                <c:pt idx="7">
                  <c:v>3274</c:v>
                </c:pt>
                <c:pt idx="8">
                  <c:v>3675</c:v>
                </c:pt>
              </c:numCache>
            </c:numRef>
          </c:val>
        </c:ser>
        <c:dLbls>
          <c:showLegendKey val="0"/>
          <c:showVal val="0"/>
          <c:showCatName val="0"/>
          <c:showSerName val="0"/>
          <c:showPercent val="0"/>
          <c:showBubbleSize val="0"/>
        </c:dLbls>
        <c:gapWidth val="150"/>
        <c:axId val="203413200"/>
        <c:axId val="173335968"/>
      </c:barChart>
      <c:catAx>
        <c:axId val="20341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73335968"/>
        <c:crosses val="autoZero"/>
        <c:auto val="1"/>
        <c:lblAlgn val="ctr"/>
        <c:lblOffset val="100"/>
        <c:tickLblSkip val="1"/>
        <c:tickMarkSkip val="1"/>
        <c:noMultiLvlLbl val="0"/>
      </c:catAx>
      <c:valAx>
        <c:axId val="17333596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03413200"/>
        <c:crosses val="autoZero"/>
        <c:crossBetween val="between"/>
      </c:valAx>
      <c:spPr>
        <a:noFill/>
        <a:ln w="25400">
          <a:noFill/>
        </a:ln>
      </c:spPr>
    </c:plotArea>
    <c:legend>
      <c:legendPos val="r"/>
      <c:layout>
        <c:manualLayout>
          <c:xMode val="edge"/>
          <c:yMode val="edge"/>
          <c:x val="0.1811846689895461"/>
          <c:y val="0.9109947643979055"/>
          <c:w val="0.57491289198605955"/>
          <c:h val="7.329842931937183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36842105264701E-2"/>
          <c:y val="9.7938144329897045E-2"/>
          <c:w val="0.89473684210526316"/>
          <c:h val="0.61340206185566548"/>
        </c:manualLayout>
      </c:layout>
      <c:barChart>
        <c:barDir val="col"/>
        <c:grouping val="clustered"/>
        <c:varyColors val="0"/>
        <c:ser>
          <c:idx val="0"/>
          <c:order val="0"/>
          <c:tx>
            <c:strRef>
              <c:f>'Introducerea datelor'!$G$118</c:f>
              <c:strCache>
                <c:ptCount val="1"/>
                <c:pt idx="0">
                  <c:v>Target // Ținta</c:v>
                </c:pt>
              </c:strCache>
            </c:strRef>
          </c:tx>
          <c:spPr>
            <a:solidFill>
              <a:srgbClr val="0066CC"/>
            </a:solidFill>
            <a:ln w="25400">
              <a:noFill/>
            </a:ln>
          </c:spPr>
          <c:invertIfNegative val="0"/>
          <c:cat>
            <c:strRef>
              <c:f>'Introducerea datelor'!$H$116:$S$116</c:f>
              <c:strCache>
                <c:ptCount val="12"/>
                <c:pt idx="0">
                  <c:v>P1 (Q2.2010)</c:v>
                </c:pt>
                <c:pt idx="1">
                  <c:v>P2 (Q3-Q4 2010)</c:v>
                </c:pt>
                <c:pt idx="2">
                  <c:v>P3 (Q1-Q2 2011)</c:v>
                </c:pt>
                <c:pt idx="3">
                  <c:v>P4 (Q3-Q4 2011)</c:v>
                </c:pt>
                <c:pt idx="4">
                  <c:v>P5 (Q1-Q2 2012)</c:v>
                </c:pt>
                <c:pt idx="5">
                  <c:v>P6 (Q3-Q4 2012)</c:v>
                </c:pt>
                <c:pt idx="6">
                  <c:v>P7 (Q1-Q2 2013)</c:v>
                </c:pt>
                <c:pt idx="7">
                  <c:v>P8 (Q3-Q4 2013)</c:v>
                </c:pt>
                <c:pt idx="8">
                  <c:v>P9 (Q1-Q2 2014)</c:v>
                </c:pt>
                <c:pt idx="9">
                  <c:v>P10</c:v>
                </c:pt>
                <c:pt idx="10">
                  <c:v>P11</c:v>
                </c:pt>
                <c:pt idx="11">
                  <c:v>P12</c:v>
                </c:pt>
              </c:strCache>
            </c:strRef>
          </c:cat>
          <c:val>
            <c:numRef>
              <c:f>'Introducerea datelor'!$H$118:$S$118</c:f>
              <c:numCache>
                <c:formatCode>#,##0</c:formatCode>
                <c:ptCount val="12"/>
                <c:pt idx="7" formatCode="0.0%">
                  <c:v>0.77300000000000002</c:v>
                </c:pt>
              </c:numCache>
            </c:numRef>
          </c:val>
        </c:ser>
        <c:ser>
          <c:idx val="1"/>
          <c:order val="1"/>
          <c:tx>
            <c:strRef>
              <c:f>'Introducerea datelor'!$G$119</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12"/>
                <c:pt idx="0">
                  <c:v>P1 (Q2.2010)</c:v>
                </c:pt>
                <c:pt idx="1">
                  <c:v>P2 (Q3-Q4 2010)</c:v>
                </c:pt>
                <c:pt idx="2">
                  <c:v>P3 (Q1-Q2 2011)</c:v>
                </c:pt>
                <c:pt idx="3">
                  <c:v>P4 (Q3-Q4 2011)</c:v>
                </c:pt>
                <c:pt idx="4">
                  <c:v>P5 (Q1-Q2 2012)</c:v>
                </c:pt>
                <c:pt idx="5">
                  <c:v>P6 (Q3-Q4 2012)</c:v>
                </c:pt>
                <c:pt idx="6">
                  <c:v>P7 (Q1-Q2 2013)</c:v>
                </c:pt>
                <c:pt idx="7">
                  <c:v>P8 (Q3-Q4 2013)</c:v>
                </c:pt>
                <c:pt idx="8">
                  <c:v>P9 (Q1-Q2 2014)</c:v>
                </c:pt>
                <c:pt idx="9">
                  <c:v>P10</c:v>
                </c:pt>
                <c:pt idx="10">
                  <c:v>P11</c:v>
                </c:pt>
                <c:pt idx="11">
                  <c:v>P12</c:v>
                </c:pt>
              </c:strCache>
            </c:strRef>
          </c:cat>
          <c:val>
            <c:numRef>
              <c:f>'Introducerea datelor'!$H$119:$S$119</c:f>
              <c:numCache>
                <c:formatCode>#,##0</c:formatCode>
                <c:ptCount val="12"/>
                <c:pt idx="7" formatCode="0.0%">
                  <c:v>0.94769999999999999</c:v>
                </c:pt>
              </c:numCache>
            </c:numRef>
          </c:val>
        </c:ser>
        <c:dLbls>
          <c:showLegendKey val="0"/>
          <c:showVal val="0"/>
          <c:showCatName val="0"/>
          <c:showSerName val="0"/>
          <c:showPercent val="0"/>
          <c:showBubbleSize val="0"/>
        </c:dLbls>
        <c:gapWidth val="150"/>
        <c:axId val="173336752"/>
        <c:axId val="173337144"/>
      </c:barChart>
      <c:catAx>
        <c:axId val="17333675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73337144"/>
        <c:crosses val="autoZero"/>
        <c:auto val="1"/>
        <c:lblAlgn val="ctr"/>
        <c:lblOffset val="100"/>
        <c:tickLblSkip val="1"/>
        <c:tickMarkSkip val="1"/>
        <c:noMultiLvlLbl val="0"/>
      </c:catAx>
      <c:valAx>
        <c:axId val="17333714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73336752"/>
        <c:crosses val="autoZero"/>
        <c:crossBetween val="between"/>
      </c:valAx>
      <c:spPr>
        <a:noFill/>
        <a:ln w="25400">
          <a:noFill/>
        </a:ln>
      </c:spPr>
    </c:plotArea>
    <c:legend>
      <c:legendPos val="r"/>
      <c:layout>
        <c:manualLayout>
          <c:xMode val="edge"/>
          <c:yMode val="edge"/>
          <c:x val="0.17894810517106613"/>
          <c:y val="0.91237113402061853"/>
          <c:w val="0.57894921029608837"/>
          <c:h val="7.216494845360832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0.74803149606299402" l="0.70866141732283683" r="0.70866141732283683" t="0.74803149606299402"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 (Q2.2010)</c:v>
                </c:pt>
                <c:pt idx="1">
                  <c:v>P2 (Q3-4.2010)</c:v>
                </c:pt>
                <c:pt idx="2">
                  <c:v>P3 (Q1-2.2011)</c:v>
                </c:pt>
                <c:pt idx="3">
                  <c:v>P4 (Q3-4.2011)</c:v>
                </c:pt>
                <c:pt idx="4">
                  <c:v>P5 (Q1-2.2012)</c:v>
                </c:pt>
                <c:pt idx="5">
                  <c:v>P6 (Q3-4.2012)</c:v>
                </c:pt>
                <c:pt idx="6">
                  <c:v>P7 (Q1-2.2013)</c:v>
                </c:pt>
                <c:pt idx="7">
                  <c:v>P8 (Q3-4.2013)</c:v>
                </c:pt>
                <c:pt idx="8">
                  <c:v>P9 (Q1-2.2014)</c:v>
                </c:pt>
                <c:pt idx="9">
                  <c:v>P10</c:v>
                </c:pt>
                <c:pt idx="10">
                  <c:v>P11</c:v>
                </c:pt>
              </c:strCache>
            </c:strRef>
          </c:cat>
          <c:val>
            <c:numRef>
              <c:f>'Introducerea datelor'!$C$33:$M$33</c:f>
              <c:numCache>
                <c:formatCode>#,##0</c:formatCode>
                <c:ptCount val="11"/>
                <c:pt idx="0">
                  <c:v>1192375.7916850778</c:v>
                </c:pt>
                <c:pt idx="1">
                  <c:v>2776406.4280564664</c:v>
                </c:pt>
                <c:pt idx="2">
                  <c:v>4389130.6309449058</c:v>
                </c:pt>
                <c:pt idx="3">
                  <c:v>5313259.9982945342</c:v>
                </c:pt>
                <c:pt idx="4">
                  <c:v>6233959.5261905314</c:v>
                </c:pt>
                <c:pt idx="5">
                  <c:v>7055616.0220780326</c:v>
                </c:pt>
                <c:pt idx="6">
                  <c:v>7410527.9520780323</c:v>
                </c:pt>
                <c:pt idx="7">
                  <c:v>8834046.422078032</c:v>
                </c:pt>
                <c:pt idx="8">
                  <c:v>9390687.7920780312</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 (Q2.2010)</c:v>
                </c:pt>
                <c:pt idx="1">
                  <c:v>P2 (Q3-4.2010)</c:v>
                </c:pt>
                <c:pt idx="2">
                  <c:v>P3 (Q1-2.2011)</c:v>
                </c:pt>
                <c:pt idx="3">
                  <c:v>P4 (Q3-4.2011)</c:v>
                </c:pt>
                <c:pt idx="4">
                  <c:v>P5 (Q1-2.2012)</c:v>
                </c:pt>
                <c:pt idx="5">
                  <c:v>P6 (Q3-4.2012)</c:v>
                </c:pt>
                <c:pt idx="6">
                  <c:v>P7 (Q1-2.2013)</c:v>
                </c:pt>
                <c:pt idx="7">
                  <c:v>P8 (Q3-4.2013)</c:v>
                </c:pt>
                <c:pt idx="8">
                  <c:v>P9 (Q1-2.2014)</c:v>
                </c:pt>
                <c:pt idx="9">
                  <c:v>P10</c:v>
                </c:pt>
                <c:pt idx="10">
                  <c:v>P11</c:v>
                </c:pt>
              </c:strCache>
            </c:strRef>
          </c:cat>
          <c:val>
            <c:numRef>
              <c:f>'Introducerea datelor'!$C$34:$M$34</c:f>
              <c:numCache>
                <c:formatCode>#,##0</c:formatCode>
                <c:ptCount val="11"/>
                <c:pt idx="0">
                  <c:v>3005703.2334085288</c:v>
                </c:pt>
                <c:pt idx="1">
                  <c:v>3005703.2334085288</c:v>
                </c:pt>
                <c:pt idx="2">
                  <c:v>4780756.9168275231</c:v>
                </c:pt>
                <c:pt idx="3">
                  <c:v>5370999.3255657107</c:v>
                </c:pt>
                <c:pt idx="4">
                  <c:v>5994606.0761102969</c:v>
                </c:pt>
                <c:pt idx="5">
                  <c:v>6957171.8722140826</c:v>
                </c:pt>
                <c:pt idx="6">
                  <c:v>9140655.8722140826</c:v>
                </c:pt>
                <c:pt idx="7">
                  <c:v>9140655.8722140826</c:v>
                </c:pt>
                <c:pt idx="8">
                  <c:v>10359799.872214083</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173337928"/>
        <c:axId val="173338320"/>
      </c:areaChart>
      <c:catAx>
        <c:axId val="173337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73338320"/>
        <c:crosses val="autoZero"/>
        <c:auto val="1"/>
        <c:lblAlgn val="ctr"/>
        <c:lblOffset val="100"/>
        <c:tickLblSkip val="8"/>
        <c:tickMarkSkip val="1"/>
        <c:noMultiLvlLbl val="0"/>
      </c:catAx>
      <c:valAx>
        <c:axId val="173338320"/>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7333792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6537"/>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9140656</c:v>
                </c:pt>
                <c:pt idx="1">
                  <c:v>8696309</c:v>
                </c:pt>
                <c:pt idx="2">
                  <c:v>2056720.55</c:v>
                </c:pt>
                <c:pt idx="3">
                  <c:v>1947705.3</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0">
                  <c:v>1219144</c:v>
                </c:pt>
                <c:pt idx="1">
                  <c:v>573301.28</c:v>
                </c:pt>
                <c:pt idx="2">
                  <c:v>305710.28999999998</c:v>
                </c:pt>
                <c:pt idx="3">
                  <c:v>282336.05</c:v>
                </c:pt>
              </c:numCache>
            </c:numRef>
          </c:val>
        </c:ser>
        <c:dLbls>
          <c:showLegendKey val="0"/>
          <c:showVal val="0"/>
          <c:showCatName val="0"/>
          <c:showSerName val="0"/>
          <c:showPercent val="0"/>
          <c:showBubbleSize val="0"/>
        </c:dLbls>
        <c:gapWidth val="150"/>
        <c:overlap val="100"/>
        <c:axId val="172090424"/>
        <c:axId val="172094904"/>
      </c:barChart>
      <c:catAx>
        <c:axId val="172090424"/>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72094904"/>
        <c:crossesAt val="0"/>
        <c:auto val="1"/>
        <c:lblAlgn val="ctr"/>
        <c:lblOffset val="100"/>
        <c:noMultiLvlLbl val="0"/>
      </c:catAx>
      <c:valAx>
        <c:axId val="172094904"/>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72090424"/>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22" r="0.75000000000000322"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825"/>
          <c:y val="9.3877551020408165E-2"/>
          <c:w val="0.84029484029484425"/>
          <c:h val="0.53469387755102427"/>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datelor'!$B$39:$B$43</c:f>
              <c:strCache>
                <c:ptCount val="5"/>
                <c:pt idx="0">
                  <c:v>Acces la prevenire si testare</c:v>
                </c:pt>
                <c:pt idx="1">
                  <c:v>Sporire accesului educational a populatiei afectate de HIV/SIDA la servicii sociale si de sanatate</c:v>
                </c:pt>
                <c:pt idx="2">
                  <c:v>COORDONARE IMBUNATATITA SI PARTENERIAT</c:v>
                </c:pt>
                <c:pt idx="3">
                  <c:v>De a imbunatati performanta programului prin imbunatatirea infrastructurii</c:v>
                </c:pt>
                <c:pt idx="4">
                  <c:v>Utilizarea dobinzii </c:v>
                </c:pt>
              </c:strCache>
            </c:strRef>
          </c:cat>
          <c:val>
            <c:numRef>
              <c:f>'Introducerea datelor'!$C$39:$C$43</c:f>
              <c:numCache>
                <c:formatCode>#,##0</c:formatCode>
                <c:ptCount val="5"/>
                <c:pt idx="0">
                  <c:v>3835832.8604907864</c:v>
                </c:pt>
                <c:pt idx="1">
                  <c:v>4433471.9311208781</c:v>
                </c:pt>
                <c:pt idx="2">
                  <c:v>383261.62623936991</c:v>
                </c:pt>
                <c:pt idx="3">
                  <c:v>492385.09422699752</c:v>
                </c:pt>
                <c:pt idx="4">
                  <c:v>0</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datelor'!$B$39:$B$43</c:f>
              <c:strCache>
                <c:ptCount val="5"/>
                <c:pt idx="0">
                  <c:v>Acces la prevenire si testare</c:v>
                </c:pt>
                <c:pt idx="1">
                  <c:v>Sporire accesului educational a populatiei afectate de HIV/SIDA la servicii sociale si de sanatate</c:v>
                </c:pt>
                <c:pt idx="2">
                  <c:v>COORDONARE IMBUNATATITA SI PARTENERIAT</c:v>
                </c:pt>
                <c:pt idx="3">
                  <c:v>De a imbunatati performanta programului prin imbunatatirea infrastructurii</c:v>
                </c:pt>
                <c:pt idx="4">
                  <c:v>Utilizarea dobinzii </c:v>
                </c:pt>
              </c:strCache>
            </c:strRef>
          </c:cat>
          <c:val>
            <c:numRef>
              <c:f>'Introducerea datelor'!$D$39:$D$43</c:f>
              <c:numCache>
                <c:formatCode>#,##0</c:formatCode>
                <c:ptCount val="5"/>
                <c:pt idx="0">
                  <c:v>4072212.7739183074</c:v>
                </c:pt>
                <c:pt idx="1">
                  <c:v>3979352.8584690341</c:v>
                </c:pt>
                <c:pt idx="2">
                  <c:v>294263.91311425844</c:v>
                </c:pt>
                <c:pt idx="3">
                  <c:v>294472.39083079447</c:v>
                </c:pt>
                <c:pt idx="4">
                  <c:v>85321.339014240657</c:v>
                </c:pt>
              </c:numCache>
            </c:numRef>
          </c:val>
        </c:ser>
        <c:dLbls>
          <c:showLegendKey val="0"/>
          <c:showVal val="0"/>
          <c:showCatName val="0"/>
          <c:showSerName val="0"/>
          <c:showPercent val="0"/>
          <c:showBubbleSize val="0"/>
        </c:dLbls>
        <c:gapWidth val="150"/>
        <c:axId val="172049664"/>
        <c:axId val="172050048"/>
      </c:barChart>
      <c:catAx>
        <c:axId val="17204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72050048"/>
        <c:crosses val="autoZero"/>
        <c:auto val="1"/>
        <c:lblAlgn val="ctr"/>
        <c:lblOffset val="100"/>
        <c:tickMarkSkip val="1"/>
        <c:noMultiLvlLbl val="0"/>
      </c:catAx>
      <c:valAx>
        <c:axId val="17205004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7204966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5.9322033898305759E-2"/>
          <c:y val="0.19565217391304238"/>
          <c:w val="0.8728813559322034"/>
          <c:h val="0.42028985507246575"/>
        </c:manualLayout>
      </c:layout>
      <c:barChart>
        <c:barDir val="bar"/>
        <c:grouping val="percentStacked"/>
        <c:varyColors val="0"/>
        <c:ser>
          <c:idx val="0"/>
          <c:order val="0"/>
          <c:tx>
            <c:strRef>
              <c:f>'Introducerea datelor'!$C$78</c:f>
              <c:strCache>
                <c:ptCount val="1"/>
                <c:pt idx="0">
                  <c:v>Planificate</c:v>
                </c:pt>
              </c:strCache>
            </c:strRef>
          </c:tx>
          <c:spPr>
            <a:noFill/>
            <a:ln w="25400">
              <a:noFill/>
            </a:ln>
            <a:effectLst>
              <a:outerShdw dist="35921" dir="2700000" algn="br">
                <a:srgbClr val="000000"/>
              </a:outerShdw>
            </a:effectLst>
          </c:spPr>
          <c:invertIfNegative val="0"/>
          <c:dLbls>
            <c:dLbl>
              <c:idx val="0"/>
              <c:layout>
                <c:manualLayout>
                  <c:x val="0.25756020558851533"/>
                  <c:y val="-0.27254608684033743"/>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General</c:formatCode>
                <c:ptCount val="1"/>
                <c:pt idx="0">
                  <c:v>6</c:v>
                </c:pt>
              </c:numCache>
            </c:numRef>
          </c:val>
        </c:ser>
        <c:dLbls>
          <c:showLegendKey val="0"/>
          <c:showVal val="0"/>
          <c:showCatName val="0"/>
          <c:showSerName val="0"/>
          <c:showPercent val="0"/>
          <c:showBubbleSize val="0"/>
        </c:dLbls>
        <c:gapWidth val="79"/>
        <c:overlap val="100"/>
        <c:axId val="171121776"/>
        <c:axId val="172060448"/>
      </c:barChart>
      <c:barChart>
        <c:barDir val="bar"/>
        <c:grouping val="percentStacked"/>
        <c:varyColors val="0"/>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datelor'!$D$79</c:f>
              <c:numCache>
                <c:formatCode>General</c:formatCode>
                <c:ptCount val="1"/>
                <c:pt idx="0">
                  <c:v>6</c:v>
                </c:pt>
              </c:numCache>
            </c:numRef>
          </c:val>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datelor'!$E$79</c:f>
              <c:numCache>
                <c:formatCode>General</c:formatCode>
                <c:ptCount val="1"/>
                <c:pt idx="0">
                  <c:v>0</c:v>
                </c:pt>
              </c:numCache>
            </c:numRef>
          </c:val>
        </c:ser>
        <c:dLbls>
          <c:showLegendKey val="0"/>
          <c:showVal val="0"/>
          <c:showCatName val="0"/>
          <c:showSerName val="0"/>
          <c:showPercent val="0"/>
          <c:showBubbleSize val="0"/>
        </c:dLbls>
        <c:gapWidth val="191"/>
        <c:overlap val="100"/>
        <c:axId val="203411632"/>
        <c:axId val="203412416"/>
      </c:barChart>
      <c:catAx>
        <c:axId val="171121776"/>
        <c:scaling>
          <c:orientation val="minMax"/>
        </c:scaling>
        <c:delete val="1"/>
        <c:axPos val="l"/>
        <c:majorTickMark val="out"/>
        <c:minorTickMark val="none"/>
        <c:tickLblPos val="none"/>
        <c:crossAx val="172060448"/>
        <c:crosses val="autoZero"/>
        <c:auto val="1"/>
        <c:lblAlgn val="ctr"/>
        <c:lblOffset val="100"/>
        <c:noMultiLvlLbl val="0"/>
      </c:catAx>
      <c:valAx>
        <c:axId val="17206044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71121776"/>
        <c:crosses val="max"/>
        <c:crossBetween val="between"/>
      </c:valAx>
      <c:catAx>
        <c:axId val="203411632"/>
        <c:scaling>
          <c:orientation val="minMax"/>
        </c:scaling>
        <c:delete val="1"/>
        <c:axPos val="l"/>
        <c:majorTickMark val="out"/>
        <c:minorTickMark val="none"/>
        <c:tickLblPos val="none"/>
        <c:crossAx val="203412416"/>
        <c:crosses val="autoZero"/>
        <c:auto val="0"/>
        <c:lblAlgn val="ctr"/>
        <c:lblOffset val="100"/>
        <c:noMultiLvlLbl val="0"/>
      </c:catAx>
      <c:valAx>
        <c:axId val="203412416"/>
        <c:scaling>
          <c:orientation val="minMax"/>
        </c:scaling>
        <c:delete val="0"/>
        <c:axPos val="b"/>
        <c:numFmt formatCode="0%" sourceLinked="1"/>
        <c:majorTickMark val="none"/>
        <c:minorTickMark val="none"/>
        <c:tickLblPos val="none"/>
        <c:spPr>
          <a:ln w="3175">
            <a:solidFill>
              <a:srgbClr val="000000"/>
            </a:solidFill>
            <a:prstDash val="solid"/>
          </a:ln>
        </c:spPr>
        <c:crossAx val="203411632"/>
        <c:crosses val="autoZero"/>
        <c:crossBetween val="between"/>
      </c:valAx>
    </c:plotArea>
    <c:legend>
      <c:legendPos val="r"/>
      <c:legendEntry>
        <c:idx val="0"/>
        <c:delete val="1"/>
      </c:legendEntry>
      <c:layout>
        <c:manualLayout>
          <c:xMode val="edge"/>
          <c:yMode val="edge"/>
          <c:x val="0.29449152542372875"/>
          <c:y val="0.80434782608695654"/>
          <c:w val="0.19491525423728906"/>
          <c:h val="0.1449275362318840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22" r="0.750000000000003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datelor'!$C$84</c:f>
              <c:numCache>
                <c:formatCode>General</c:formatCode>
                <c:ptCount val="1"/>
                <c:pt idx="0">
                  <c:v>1</c:v>
                </c:pt>
              </c:numCache>
            </c:numRef>
          </c:val>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datelor'!$D$84</c:f>
              <c:numCache>
                <c:formatCode>General</c:formatCode>
                <c:ptCount val="1"/>
                <c:pt idx="0">
                  <c:v>1</c:v>
                </c:pt>
              </c:numCache>
            </c:numRef>
          </c:val>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datelor'!$E$84</c:f>
              <c:numCache>
                <c:formatCode>General</c:formatCode>
                <c:ptCount val="1"/>
                <c:pt idx="0">
                  <c:v>1</c:v>
                </c:pt>
              </c:numCache>
            </c:numRef>
          </c:val>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datelor'!$F$84</c:f>
              <c:numCache>
                <c:formatCode>General</c:formatCode>
                <c:ptCount val="1"/>
                <c:pt idx="0">
                  <c:v>1</c:v>
                </c:pt>
              </c:numCache>
            </c:numRef>
          </c:val>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datelor'!$G$84</c:f>
              <c:numCache>
                <c:formatCode>General</c:formatCode>
                <c:ptCount val="1"/>
                <c:pt idx="0">
                  <c:v>1</c:v>
                </c:pt>
              </c:numCache>
            </c:numRef>
          </c:val>
        </c:ser>
        <c:dLbls>
          <c:showLegendKey val="0"/>
          <c:showVal val="0"/>
          <c:showCatName val="0"/>
          <c:showSerName val="0"/>
          <c:showPercent val="0"/>
          <c:showBubbleSize val="0"/>
        </c:dLbls>
        <c:gapWidth val="150"/>
        <c:overlap val="-20"/>
        <c:axId val="203414768"/>
        <c:axId val="203415160"/>
      </c:barChart>
      <c:catAx>
        <c:axId val="203414768"/>
        <c:scaling>
          <c:orientation val="minMax"/>
        </c:scaling>
        <c:delete val="0"/>
        <c:axPos val="b"/>
        <c:majorTickMark val="none"/>
        <c:minorTickMark val="none"/>
        <c:tickLblPos val="none"/>
        <c:spPr>
          <a:ln w="3175">
            <a:solidFill>
              <a:srgbClr val="000000"/>
            </a:solidFill>
            <a:prstDash val="solid"/>
          </a:ln>
        </c:spPr>
        <c:crossAx val="203415160"/>
        <c:crosses val="autoZero"/>
        <c:auto val="0"/>
        <c:lblAlgn val="ctr"/>
        <c:lblOffset val="100"/>
        <c:tickMarkSkip val="1"/>
        <c:noMultiLvlLbl val="0"/>
      </c:catAx>
      <c:valAx>
        <c:axId val="20341516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414768"/>
        <c:crosses val="autoZero"/>
        <c:crossBetween val="between"/>
      </c:valAx>
      <c:spPr>
        <a:noFill/>
        <a:ln w="25400">
          <a:noFill/>
        </a:ln>
      </c:spPr>
    </c:plotArea>
    <c:legend>
      <c:legendPos val="r"/>
      <c:layout>
        <c:manualLayout>
          <c:xMode val="edge"/>
          <c:yMode val="edge"/>
          <c:x val="7.5117370892018934E-2"/>
          <c:y val="0.85245901639344956"/>
          <c:w val="0.85446009389671351"/>
          <c:h val="0.10928961748633954"/>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24"/>
          <c:y val="5.6000000000000001E-2"/>
          <c:w val="0.54462242562929064"/>
          <c:h val="0.56000000000000005"/>
        </c:manualLayout>
      </c:layout>
      <c:barChart>
        <c:barDir val="bar"/>
        <c:grouping val="percentStacked"/>
        <c:varyColors val="0"/>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pt idx="0">
                  <c:v>0</c:v>
                </c:pt>
                <c:pt idx="1">
                  <c:v>0</c:v>
                </c:pt>
              </c:numCache>
            </c:numRef>
          </c:val>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pt idx="0">
                  <c:v>0</c:v>
                </c:pt>
                <c:pt idx="1">
                  <c:v>0</c:v>
                </c:pt>
              </c:numCache>
            </c:numRef>
          </c:val>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pt idx="0">
                  <c:v>0</c:v>
                </c:pt>
                <c:pt idx="1">
                  <c:v>0</c:v>
                </c:pt>
              </c:numCache>
            </c:numRef>
          </c:val>
        </c:ser>
        <c:dLbls>
          <c:showLegendKey val="0"/>
          <c:showVal val="0"/>
          <c:showCatName val="0"/>
          <c:showSerName val="0"/>
          <c:showPercent val="0"/>
          <c:showBubbleSize val="0"/>
        </c:dLbls>
        <c:gapWidth val="70"/>
        <c:overlap val="100"/>
        <c:axId val="203416336"/>
        <c:axId val="203416728"/>
      </c:barChart>
      <c:catAx>
        <c:axId val="2034163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416728"/>
        <c:crosses val="autoZero"/>
        <c:auto val="1"/>
        <c:lblAlgn val="ctr"/>
        <c:lblOffset val="100"/>
        <c:tickLblSkip val="1"/>
        <c:tickMarkSkip val="1"/>
        <c:noMultiLvlLbl val="0"/>
      </c:catAx>
      <c:valAx>
        <c:axId val="20341672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03416336"/>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6034"/>
          <c:y val="0.12154728922244371"/>
          <c:w val="0.60327318841303279"/>
          <c:h val="0.5524876782838356"/>
        </c:manualLayout>
      </c:layout>
      <c:barChart>
        <c:barDir val="bar"/>
        <c:grouping val="percentStacked"/>
        <c:varyColors val="0"/>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to SR</c:v>
                </c:pt>
                <c:pt idx="1">
                  <c:v>SRs to PR</c:v>
                </c:pt>
              </c:strCache>
            </c:strRef>
          </c:cat>
          <c:val>
            <c:numRef>
              <c:f>'Introducerea datelor'!$D$89:$D$90</c:f>
              <c:numCache>
                <c:formatCode>0</c:formatCode>
                <c:ptCount val="2"/>
                <c:pt idx="1">
                  <c:v>2</c:v>
                </c:pt>
              </c:numCache>
            </c:numRef>
          </c:val>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to SR</c:v>
                </c:pt>
                <c:pt idx="1">
                  <c:v>SRs to PR</c:v>
                </c:pt>
              </c:strCache>
            </c:strRef>
          </c:cat>
          <c:val>
            <c:numRef>
              <c:f>'Introducerea datelor'!$E$89:$E$90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173334008"/>
        <c:axId val="173334400"/>
      </c:barChart>
      <c:catAx>
        <c:axId val="1733340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73334400"/>
        <c:crosses val="autoZero"/>
        <c:auto val="1"/>
        <c:lblAlgn val="ctr"/>
        <c:lblOffset val="100"/>
        <c:noMultiLvlLbl val="0"/>
      </c:catAx>
      <c:valAx>
        <c:axId val="17333440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73334008"/>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en-US"/>
          </a:p>
        </c:txPr>
      </c:legendEntry>
      <c:legendEntry>
        <c:idx val="1"/>
        <c:txPr>
          <a:bodyPr/>
          <a:lstStyle/>
          <a:p>
            <a:pPr>
              <a:defRPr sz="675" b="0" i="0" u="none" strike="noStrike" baseline="0">
                <a:solidFill>
                  <a:srgbClr val="000000"/>
                </a:solidFill>
                <a:latin typeface="Calibri"/>
                <a:ea typeface="Calibri"/>
                <a:cs typeface="Calibri"/>
              </a:defRPr>
            </a:pPr>
            <a:endParaRPr lang="en-US"/>
          </a:p>
        </c:txPr>
      </c:legendEntry>
      <c:layout>
        <c:manualLayout>
          <c:xMode val="edge"/>
          <c:yMode val="edge"/>
          <c:x val="0.31827956989247663"/>
          <c:y val="0.81215469613260005"/>
          <c:w val="0.35483870967742204"/>
          <c:h val="0.1325966850828738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322" r="0.75000000000000322"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95"/>
          <c:y val="0.10989010989011012"/>
          <c:w val="0.81094724363350856"/>
          <c:h val="0.54395604395604358"/>
        </c:manualLayout>
      </c:layout>
      <c:lineChart>
        <c:grouping val="standard"/>
        <c:varyColors val="0"/>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866906.20712109585</c:v>
                </c:pt>
                <c:pt idx="1">
                  <c:v>1746594.8820515205</c:v>
                </c:pt>
                <c:pt idx="2">
                  <c:v>2875152.1353209764</c:v>
                </c:pt>
                <c:pt idx="3">
                  <c:v>3790913.6879152227</c:v>
                </c:pt>
                <c:pt idx="4">
                  <c:v>4259777.5917269392</c:v>
                </c:pt>
                <c:pt idx="5">
                  <c:v>4675378.1328247944</c:v>
                </c:pt>
                <c:pt idx="6">
                  <c:v>4921327.3828247944</c:v>
                </c:pt>
                <c:pt idx="7">
                  <c:v>6029620.0928247944</c:v>
                </c:pt>
                <c:pt idx="8">
                  <c:v>6298897.9728247942</c:v>
                </c:pt>
                <c:pt idx="9">
                  <c:v>6298897.9728247942</c:v>
                </c:pt>
                <c:pt idx="10">
                  <c:v>6298897.9728247942</c:v>
                </c:pt>
                <c:pt idx="11">
                  <c:v>6298897.9728247942</c:v>
                </c:pt>
              </c:numCache>
            </c:numRef>
          </c:val>
          <c:smooth val="0"/>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230259.24633906214</c:v>
                </c:pt>
                <c:pt idx="1">
                  <c:v>960615.92905261356</c:v>
                </c:pt>
                <c:pt idx="2">
                  <c:v>1707180.5778428954</c:v>
                </c:pt>
                <c:pt idx="3">
                  <c:v>2744756.6067427923</c:v>
                </c:pt>
                <c:pt idx="4">
                  <c:v>3274601.0217291871</c:v>
                </c:pt>
                <c:pt idx="5">
                  <c:v>4128561.1913455348</c:v>
                </c:pt>
                <c:pt idx="6">
                  <c:v>4642819.0013455348</c:v>
                </c:pt>
                <c:pt idx="7">
                  <c:v>5368474.991345535</c:v>
                </c:pt>
                <c:pt idx="8">
                  <c:v>5599320.4013455352</c:v>
                </c:pt>
                <c:pt idx="9">
                  <c:v>5599320.4013455352</c:v>
                </c:pt>
                <c:pt idx="10">
                  <c:v>5599320.4013455352</c:v>
                </c:pt>
                <c:pt idx="11">
                  <c:v>5599320.4013455352</c:v>
                </c:pt>
              </c:numCache>
            </c:numRef>
          </c:val>
          <c:smooth val="0"/>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230259.24633906214</c:v>
                </c:pt>
                <c:pt idx="1">
                  <c:v>960615.92905261356</c:v>
                </c:pt>
                <c:pt idx="2">
                  <c:v>1530000.317836849</c:v>
                </c:pt>
                <c:pt idx="3">
                  <c:v>2518324.4261494456</c:v>
                </c:pt>
                <c:pt idx="4">
                  <c:v>2910998.8759428514</c:v>
                </c:pt>
                <c:pt idx="5">
                  <c:v>3882011.6824422274</c:v>
                </c:pt>
                <c:pt idx="6">
                  <c:v>4214678.3124422273</c:v>
                </c:pt>
                <c:pt idx="7">
                  <c:v>5085697.1024422273</c:v>
                </c:pt>
                <c:pt idx="8">
                  <c:v>5326086.3424422275</c:v>
                </c:pt>
                <c:pt idx="9">
                  <c:v>5326086.3424422275</c:v>
                </c:pt>
                <c:pt idx="10">
                  <c:v>5326086.3424422275</c:v>
                </c:pt>
                <c:pt idx="11">
                  <c:v>5326086.3424422275</c:v>
                </c:pt>
              </c:numCache>
            </c:numRef>
          </c:val>
          <c:smooth val="0"/>
        </c:ser>
        <c:dLbls>
          <c:showLegendKey val="0"/>
          <c:showVal val="0"/>
          <c:showCatName val="0"/>
          <c:showSerName val="0"/>
          <c:showPercent val="0"/>
          <c:showBubbleSize val="0"/>
        </c:dLbls>
        <c:marker val="1"/>
        <c:smooth val="0"/>
        <c:axId val="203415944"/>
        <c:axId val="173335184"/>
      </c:lineChart>
      <c:catAx>
        <c:axId val="203415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73335184"/>
        <c:crosses val="autoZero"/>
        <c:auto val="1"/>
        <c:lblAlgn val="ctr"/>
        <c:lblOffset val="100"/>
        <c:tickLblSkip val="1"/>
        <c:tickMarkSkip val="1"/>
        <c:noMultiLvlLbl val="0"/>
      </c:catAx>
      <c:valAx>
        <c:axId val="1733351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203415944"/>
        <c:crosses val="autoZero"/>
        <c:crossBetween val="between"/>
      </c:valAx>
      <c:spPr>
        <a:solidFill>
          <a:srgbClr val="FFFFFF"/>
        </a:solidFill>
        <a:ln w="12700">
          <a:solidFill>
            <a:srgbClr val="808080"/>
          </a:solidFill>
          <a:prstDash val="solid"/>
        </a:ln>
      </c:spPr>
    </c:plotArea>
    <c:legend>
      <c:legendPos val="r"/>
      <c:layout>
        <c:manualLayout>
          <c:xMode val="edge"/>
          <c:yMode val="edge"/>
          <c:x val="6.2189054726368161E-2"/>
          <c:y val="0.69780219780219777"/>
          <c:w val="0.92288557213930678"/>
          <c:h val="0.17582417582417589"/>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70422535211266E-2"/>
          <c:y val="9.8445595854922296E-2"/>
          <c:w val="0.89436619718309851"/>
          <c:h val="0.61658031088082899"/>
        </c:manualLayout>
      </c:layout>
      <c:barChart>
        <c:barDir val="col"/>
        <c:grouping val="clustered"/>
        <c:varyColors val="0"/>
        <c:ser>
          <c:idx val="0"/>
          <c:order val="0"/>
          <c:tx>
            <c:strRef>
              <c:f>'Introducerea datelor'!$G$120</c:f>
              <c:strCache>
                <c:ptCount val="1"/>
                <c:pt idx="0">
                  <c:v>Target // Ținta</c:v>
                </c:pt>
              </c:strCache>
            </c:strRef>
          </c:tx>
          <c:spPr>
            <a:solidFill>
              <a:srgbClr val="0066CC"/>
            </a:solidFill>
            <a:ln w="25400">
              <a:noFill/>
            </a:ln>
          </c:spPr>
          <c:invertIfNegative val="0"/>
          <c:cat>
            <c:strRef>
              <c:f>'Introducerea datelor'!$H$116:$S$116</c:f>
              <c:strCache>
                <c:ptCount val="12"/>
                <c:pt idx="0">
                  <c:v>P1 (Q2.2010)</c:v>
                </c:pt>
                <c:pt idx="1">
                  <c:v>P2 (Q3-Q4 2010)</c:v>
                </c:pt>
                <c:pt idx="2">
                  <c:v>P3 (Q1-Q2 2011)</c:v>
                </c:pt>
                <c:pt idx="3">
                  <c:v>P4 (Q3-Q4 2011)</c:v>
                </c:pt>
                <c:pt idx="4">
                  <c:v>P5 (Q1-Q2 2012)</c:v>
                </c:pt>
                <c:pt idx="5">
                  <c:v>P6 (Q3-Q4 2012)</c:v>
                </c:pt>
                <c:pt idx="6">
                  <c:v>P7 (Q1-Q2 2013)</c:v>
                </c:pt>
                <c:pt idx="7">
                  <c:v>P8 (Q3-Q4 2013)</c:v>
                </c:pt>
                <c:pt idx="8">
                  <c:v>P9 (Q1-Q2 2014)</c:v>
                </c:pt>
                <c:pt idx="9">
                  <c:v>P10</c:v>
                </c:pt>
                <c:pt idx="10">
                  <c:v>P11</c:v>
                </c:pt>
                <c:pt idx="11">
                  <c:v>P12</c:v>
                </c:pt>
              </c:strCache>
            </c:strRef>
          </c:cat>
          <c:val>
            <c:numRef>
              <c:f>'Introducerea datelor'!$H$120:$S$120</c:f>
              <c:numCache>
                <c:formatCode>#,##0</c:formatCode>
                <c:ptCount val="12"/>
                <c:pt idx="1">
                  <c:v>90</c:v>
                </c:pt>
                <c:pt idx="3">
                  <c:v>92</c:v>
                </c:pt>
                <c:pt idx="5">
                  <c:v>93</c:v>
                </c:pt>
                <c:pt idx="7" formatCode="#,##0.0">
                  <c:v>84</c:v>
                </c:pt>
              </c:numCache>
            </c:numRef>
          </c:val>
        </c:ser>
        <c:ser>
          <c:idx val="1"/>
          <c:order val="1"/>
          <c:tx>
            <c:strRef>
              <c:f>'Introducerea datelor'!$G$121</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12"/>
                <c:pt idx="0">
                  <c:v>P1 (Q2.2010)</c:v>
                </c:pt>
                <c:pt idx="1">
                  <c:v>P2 (Q3-Q4 2010)</c:v>
                </c:pt>
                <c:pt idx="2">
                  <c:v>P3 (Q1-Q2 2011)</c:v>
                </c:pt>
                <c:pt idx="3">
                  <c:v>P4 (Q3-Q4 2011)</c:v>
                </c:pt>
                <c:pt idx="4">
                  <c:v>P5 (Q1-Q2 2012)</c:v>
                </c:pt>
                <c:pt idx="5">
                  <c:v>P6 (Q3-Q4 2012)</c:v>
                </c:pt>
                <c:pt idx="6">
                  <c:v>P7 (Q1-Q2 2013)</c:v>
                </c:pt>
                <c:pt idx="7">
                  <c:v>P8 (Q3-Q4 2013)</c:v>
                </c:pt>
                <c:pt idx="8">
                  <c:v>P9 (Q1-Q2 2014)</c:v>
                </c:pt>
                <c:pt idx="9">
                  <c:v>P10</c:v>
                </c:pt>
                <c:pt idx="10">
                  <c:v>P11</c:v>
                </c:pt>
                <c:pt idx="11">
                  <c:v>P12</c:v>
                </c:pt>
              </c:strCache>
            </c:strRef>
          </c:cat>
          <c:val>
            <c:numRef>
              <c:f>'Introducerea datelor'!$H$121:$S$121</c:f>
              <c:numCache>
                <c:formatCode>#,##0</c:formatCode>
                <c:ptCount val="12"/>
                <c:pt idx="1">
                  <c:v>88</c:v>
                </c:pt>
                <c:pt idx="3" formatCode="#,##0.0">
                  <c:v>80.7</c:v>
                </c:pt>
                <c:pt idx="5">
                  <c:v>81.900000000000006</c:v>
                </c:pt>
                <c:pt idx="7">
                  <c:v>81.2</c:v>
                </c:pt>
              </c:numCache>
            </c:numRef>
          </c:val>
        </c:ser>
        <c:dLbls>
          <c:showLegendKey val="0"/>
          <c:showVal val="0"/>
          <c:showCatName val="0"/>
          <c:showSerName val="0"/>
          <c:showPercent val="0"/>
          <c:showBubbleSize val="0"/>
        </c:dLbls>
        <c:gapWidth val="150"/>
        <c:axId val="203414376"/>
        <c:axId val="203413984"/>
      </c:barChart>
      <c:catAx>
        <c:axId val="203414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203413984"/>
        <c:crosses val="autoZero"/>
        <c:auto val="1"/>
        <c:lblAlgn val="ctr"/>
        <c:lblOffset val="100"/>
        <c:tickLblSkip val="1"/>
        <c:tickMarkSkip val="1"/>
        <c:noMultiLvlLbl val="0"/>
      </c:catAx>
      <c:valAx>
        <c:axId val="203413984"/>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203414376"/>
        <c:crosses val="autoZero"/>
        <c:crossBetween val="between"/>
      </c:valAx>
      <c:spPr>
        <a:noFill/>
        <a:ln w="25400">
          <a:noFill/>
        </a:ln>
      </c:spPr>
    </c:plotArea>
    <c:legend>
      <c:legendPos val="r"/>
      <c:layout>
        <c:manualLayout>
          <c:xMode val="edge"/>
          <c:yMode val="edge"/>
          <c:x val="0.17605633802816983"/>
          <c:y val="0.91191709844559665"/>
          <c:w val="0.5809859154929542"/>
          <c:h val="7.253886010362699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322" r="0.75000000000000322"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3420464"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420465"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420466"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3420467"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3420468"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3420469"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ru-RU"/>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420471"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502"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420504"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420472" name="Group 830"/>
        <xdr:cNvGrpSpPr>
          <a:grpSpLocks/>
        </xdr:cNvGrpSpPr>
      </xdr:nvGrpSpPr>
      <xdr:grpSpPr bwMode="auto">
        <a:xfrm>
          <a:off x="327025" y="1903413"/>
          <a:ext cx="2143125" cy="2124075"/>
          <a:chOff x="32" y="188"/>
          <a:chExt cx="225" cy="225"/>
        </a:xfrm>
      </xdr:grpSpPr>
      <xdr:sp macro="" textlink="">
        <xdr:nvSpPr>
          <xdr:cNvPr id="3420499"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ru-RU"/>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420473"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6"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420498"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420474"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2"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420475"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8"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420476"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4"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420477"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420479"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420481"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2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6975" name="AutoShape 100"/>
        <xdr:cNvCxnSpPr>
          <a:cxnSpLocks noChangeShapeType="1"/>
        </xdr:cNvCxnSpPr>
      </xdr:nvCxnSpPr>
      <xdr:spPr bwMode="auto">
        <a:xfrm rot="5400000">
          <a:off x="7739062" y="7567613"/>
          <a:ext cx="31718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976" name="AutoShape 101"/>
        <xdr:cNvCxnSpPr>
          <a:cxnSpLocks noChangeShapeType="1"/>
        </xdr:cNvCxnSpPr>
      </xdr:nvCxnSpPr>
      <xdr:spPr bwMode="auto">
        <a:xfrm rot="10800000">
          <a:off x="6067425" y="9296400"/>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00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28575</xdr:colOff>
      <xdr:row>9</xdr:row>
      <xdr:rowOff>66675</xdr:rowOff>
    </xdr:from>
    <xdr:to>
      <xdr:col>11</xdr:col>
      <xdr:colOff>0</xdr:colOff>
      <xdr:row>21</xdr:row>
      <xdr:rowOff>9525</xdr:rowOff>
    </xdr:to>
    <xdr:grpSp>
      <xdr:nvGrpSpPr>
        <xdr:cNvPr id="2841005" name="Group 489"/>
        <xdr:cNvGrpSpPr>
          <a:grpSpLocks/>
        </xdr:cNvGrpSpPr>
      </xdr:nvGrpSpPr>
      <xdr:grpSpPr bwMode="auto">
        <a:xfrm>
          <a:off x="4915314" y="2576305"/>
          <a:ext cx="3748295" cy="2228850"/>
          <a:chOff x="410" y="229"/>
          <a:chExt cx="366" cy="234"/>
        </a:xfrm>
      </xdr:grpSpPr>
      <xdr:graphicFrame macro="">
        <xdr:nvGraphicFramePr>
          <xdr:cNvPr id="2841009"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010"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142876</xdr:rowOff>
    </xdr:from>
    <xdr:to>
      <xdr:col>6</xdr:col>
      <xdr:colOff>0</xdr:colOff>
      <xdr:row>31</xdr:row>
      <xdr:rowOff>161926</xdr:rowOff>
    </xdr:to>
    <xdr:grpSp>
      <xdr:nvGrpSpPr>
        <xdr:cNvPr id="2841006" name="Group 490"/>
        <xdr:cNvGrpSpPr>
          <a:grpSpLocks/>
        </xdr:cNvGrpSpPr>
      </xdr:nvGrpSpPr>
      <xdr:grpSpPr bwMode="auto">
        <a:xfrm>
          <a:off x="0" y="9204050"/>
          <a:ext cx="4886739" cy="2114550"/>
          <a:chOff x="0" y="505"/>
          <a:chExt cx="407" cy="245"/>
        </a:xfrm>
      </xdr:grpSpPr>
      <xdr:graphicFrame macro="">
        <xdr:nvGraphicFramePr>
          <xdr:cNvPr id="2841007"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008"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xdr:colOff>
      <xdr:row>7</xdr:row>
      <xdr:rowOff>171450</xdr:rowOff>
    </xdr:from>
    <xdr:to>
      <xdr:col>12</xdr:col>
      <xdr:colOff>238125</xdr:colOff>
      <xdr:row>14</xdr:row>
      <xdr:rowOff>152400</xdr:rowOff>
    </xdr:to>
    <xdr:graphicFrame macro="">
      <xdr:nvGraphicFramePr>
        <xdr:cNvPr id="2869558"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559"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1095375</xdr:colOff>
      <xdr:row>14</xdr:row>
      <xdr:rowOff>66675</xdr:rowOff>
    </xdr:to>
    <xdr:graphicFrame macro="">
      <xdr:nvGraphicFramePr>
        <xdr:cNvPr id="286956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286956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47625</xdr:rowOff>
    </xdr:from>
    <xdr:to>
      <xdr:col>5</xdr:col>
      <xdr:colOff>657225</xdr:colOff>
      <xdr:row>33</xdr:row>
      <xdr:rowOff>247650</xdr:rowOff>
    </xdr:to>
    <xdr:graphicFrame macro="">
      <xdr:nvGraphicFramePr>
        <xdr:cNvPr id="286956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161925</xdr:colOff>
      <xdr:row>9</xdr:row>
      <xdr:rowOff>47625</xdr:rowOff>
    </xdr:from>
    <xdr:to>
      <xdr:col>11</xdr:col>
      <xdr:colOff>47625</xdr:colOff>
      <xdr:row>17</xdr:row>
      <xdr:rowOff>0</xdr:rowOff>
    </xdr:to>
    <xdr:graphicFrame macro="">
      <xdr:nvGraphicFramePr>
        <xdr:cNvPr id="2249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22496"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57150</xdr:rowOff>
    </xdr:to>
    <xdr:graphicFrame macro="">
      <xdr:nvGraphicFramePr>
        <xdr:cNvPr id="22497"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528" name="Group 41"/>
        <xdr:cNvGrpSpPr>
          <a:grpSpLocks/>
        </xdr:cNvGrpSpPr>
      </xdr:nvGrpSpPr>
      <xdr:grpSpPr bwMode="auto">
        <a:xfrm>
          <a:off x="6777404" y="10023231"/>
          <a:ext cx="85725" cy="0"/>
          <a:chOff x="595" y="540"/>
          <a:chExt cx="9" cy="9"/>
        </a:xfrm>
      </xdr:grpSpPr>
      <xdr:sp macro="" textlink="">
        <xdr:nvSpPr>
          <xdr:cNvPr id="3432539"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40"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529" name="Group 44"/>
        <xdr:cNvGrpSpPr>
          <a:grpSpLocks/>
        </xdr:cNvGrpSpPr>
      </xdr:nvGrpSpPr>
      <xdr:grpSpPr bwMode="auto">
        <a:xfrm>
          <a:off x="7758479" y="10023231"/>
          <a:ext cx="83527" cy="0"/>
          <a:chOff x="698" y="540"/>
          <a:chExt cx="9" cy="9"/>
        </a:xfrm>
      </xdr:grpSpPr>
      <xdr:sp macro="" textlink="">
        <xdr:nvSpPr>
          <xdr:cNvPr id="3432537"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8"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530" name="Group 47"/>
        <xdr:cNvGrpSpPr>
          <a:grpSpLocks/>
        </xdr:cNvGrpSpPr>
      </xdr:nvGrpSpPr>
      <xdr:grpSpPr bwMode="auto">
        <a:xfrm>
          <a:off x="5177204" y="10023231"/>
          <a:ext cx="1314450" cy="0"/>
          <a:chOff x="698" y="540"/>
          <a:chExt cx="9" cy="9"/>
        </a:xfrm>
      </xdr:grpSpPr>
      <xdr:sp macro="" textlink="">
        <xdr:nvSpPr>
          <xdr:cNvPr id="3432535"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6"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531" name="Group 50"/>
        <xdr:cNvGrpSpPr>
          <a:grpSpLocks/>
        </xdr:cNvGrpSpPr>
      </xdr:nvGrpSpPr>
      <xdr:grpSpPr bwMode="auto">
        <a:xfrm>
          <a:off x="1436077" y="10023231"/>
          <a:ext cx="85725" cy="0"/>
          <a:chOff x="595" y="540"/>
          <a:chExt cx="9" cy="9"/>
        </a:xfrm>
      </xdr:grpSpPr>
      <xdr:sp macro="" textlink="">
        <xdr:nvSpPr>
          <xdr:cNvPr id="3432533"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34"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6" connectionId="0">
    <xmlCellPr id="1" uniqueName="1">
      <xmlPr mapId="43" xpath="/ns1:Root/ns1:Prog/ns1:Target_P1_4" xmlDataType="string"/>
    </xmlCellPr>
  </singleXmlCell>
  <singleXmlCell id="639" r="I126" connectionId="0">
    <xmlCellPr id="1" uniqueName="1">
      <xmlPr mapId="43" xpath="/ns1:Root/ns1:Prog/ns1:Target_P2_4" xmlDataType="string"/>
    </xmlCellPr>
  </singleXmlCell>
  <singleXmlCell id="640" r="J126" connectionId="0">
    <xmlCellPr id="1" uniqueName="1">
      <xmlPr mapId="43" xpath="/ns1:Root/ns1:Prog/ns1:Target_P3_4" xmlDataType="string"/>
    </xmlCellPr>
  </singleXmlCell>
  <singleXmlCell id="641" r="K126" connectionId="0">
    <xmlCellPr id="1" uniqueName="1">
      <xmlPr mapId="43" xpath="/ns1:Root/ns1:Prog/ns1:Target_P4_4" xmlDataType="double"/>
    </xmlCellPr>
  </singleXmlCell>
  <singleXmlCell id="642" r="L126" connectionId="0">
    <xmlCellPr id="1" uniqueName="1">
      <xmlPr mapId="43" xpath="/ns1:Root/ns1:Prog/ns1:Target_P5_4" xmlDataType="string"/>
    </xmlCellPr>
  </singleXmlCell>
  <singleXmlCell id="643" r="M126" connectionId="0">
    <xmlCellPr id="1" uniqueName="1">
      <xmlPr mapId="43" xpath="/ns1:Root/ns1:Prog/ns1:Target_P6_4" xmlDataType="string"/>
    </xmlCellPr>
  </singleXmlCell>
  <singleXmlCell id="644" r="N126" connectionId="0">
    <xmlCellPr id="1" uniqueName="1">
      <xmlPr mapId="43" xpath="/ns1:Root/ns1:Prog/ns1:Target_P7_4" xmlDataType="string"/>
    </xmlCellPr>
  </singleXmlCell>
  <singleXmlCell id="645" r="O126" connectionId="0">
    <xmlCellPr id="1" uniqueName="1">
      <xmlPr mapId="43" xpath="/ns1:Root/ns1:Prog/ns1:Target_P8_4" xmlDataType="double"/>
    </xmlCellPr>
  </singleXmlCell>
  <singleXmlCell id="646" r="P126" connectionId="0">
    <xmlCellPr id="1" uniqueName="1">
      <xmlPr mapId="43" xpath="/ns1:Root/ns1:Prog/ns1:Target_P9_4" xmlDataType="string"/>
    </xmlCellPr>
  </singleXmlCell>
  <singleXmlCell id="647" r="Q126" connectionId="0">
    <xmlCellPr id="1" uniqueName="1">
      <xmlPr mapId="43" xpath="/ns1:Root/ns1:Prog/ns1:Target_P10_4" xmlDataType="string"/>
    </xmlCellPr>
  </singleXmlCell>
  <singleXmlCell id="648" r="R126" connectionId="0">
    <xmlCellPr id="1" uniqueName="1">
      <xmlPr mapId="43" xpath="/ns1:Root/ns1:Prog/ns1:Target_P11_4" xmlDataType="string"/>
    </xmlCellPr>
  </singleXmlCell>
  <singleXmlCell id="649" r="S126" connectionId="0">
    <xmlCellPr id="1" uniqueName="1">
      <xmlPr mapId="43" xpath="/ns1:Root/ns1:Prog/ns1:Target_P12_4" xmlDataType="double"/>
    </xmlCellPr>
  </singleXmlCell>
  <singleXmlCell id="650" r="H127" connectionId="0">
    <xmlCellPr id="1" uniqueName="1">
      <xmlPr mapId="43" xpath="/ns1:Root/ns1:Prog/ns1:Achieved__P1_4" xmlDataType="string"/>
    </xmlCellPr>
  </singleXmlCell>
  <singleXmlCell id="651" r="I127" connectionId="0">
    <xmlCellPr id="1" uniqueName="1">
      <xmlPr mapId="43" xpath="/ns1:Root/ns1:Prog/ns1:Achieved__P2_4" xmlDataType="string"/>
    </xmlCellPr>
  </singleXmlCell>
  <singleXmlCell id="652" r="J127" connectionId="0">
    <xmlCellPr id="1" uniqueName="1">
      <xmlPr mapId="43" xpath="/ns1:Root/ns1:Prog/ns1:Achieved__P3_4" xmlDataType="string"/>
    </xmlCellPr>
  </singleXmlCell>
  <singleXmlCell id="653" r="K127" connectionId="0">
    <xmlCellPr id="1" uniqueName="1">
      <xmlPr mapId="43" xpath="/ns1:Root/ns1:Prog/ns1:Achieved__P4_4" xmlDataType="double"/>
    </xmlCellPr>
  </singleXmlCell>
  <singleXmlCell id="654" r="L127" connectionId="0">
    <xmlCellPr id="1" uniqueName="1">
      <xmlPr mapId="43" xpath="/ns1:Root/ns1:Prog/ns1:Achieved__P5_4" xmlDataType="string"/>
    </xmlCellPr>
  </singleXmlCell>
  <singleXmlCell id="655" r="M127" connectionId="0">
    <xmlCellPr id="1" uniqueName="1">
      <xmlPr mapId="43" xpath="/ns1:Root/ns1:Prog/ns1:Achieved__P6_4" xmlDataType="string"/>
    </xmlCellPr>
  </singleXmlCell>
  <singleXmlCell id="656" r="N127" connectionId="0">
    <xmlCellPr id="1" uniqueName="1">
      <xmlPr mapId="43" xpath="/ns1:Root/ns1:Prog/ns1:Achieved__P7_4" xmlDataType="string"/>
    </xmlCellPr>
  </singleXmlCell>
  <singleXmlCell id="657" r="O127" connectionId="0">
    <xmlCellPr id="1" uniqueName="1">
      <xmlPr mapId="43" xpath="/ns1:Root/ns1:Prog/ns1:Achieved__P8_4" xmlDataType="string"/>
    </xmlCellPr>
  </singleXmlCell>
  <singleXmlCell id="658" r="P127" connectionId="0">
    <xmlCellPr id="1" uniqueName="1">
      <xmlPr mapId="43" xpath="/ns1:Root/ns1:Prog/ns1:Achieved__P9_4" xmlDataType="string"/>
    </xmlCellPr>
  </singleXmlCell>
  <singleXmlCell id="659" r="Q127" connectionId="0">
    <xmlCellPr id="1" uniqueName="1">
      <xmlPr mapId="43" xpath="/ns1:Root/ns1:Prog/ns1:Achieved__P10_4" xmlDataType="string"/>
    </xmlCellPr>
  </singleXmlCell>
  <singleXmlCell id="660" r="R127" connectionId="0">
    <xmlCellPr id="1" uniqueName="1">
      <xmlPr mapId="43" xpath="/ns1:Root/ns1:Prog/ns1:Achieved__P11_4" xmlDataType="string"/>
    </xmlCellPr>
  </singleXmlCell>
  <singleXmlCell id="661" r="S127" connectionId="0">
    <xmlCellPr id="1" uniqueName="1">
      <xmlPr mapId="43" xpath="/ns1:Root/ns1:Prog/ns1:Achieved__P12_4" xmlDataType="string"/>
    </xmlCellPr>
  </singleXmlCell>
  <singleXmlCell id="662" r="H130" connectionId="0">
    <xmlCellPr id="1" uniqueName="1">
      <xmlPr mapId="43" xpath="/ns1:Root/ns1:Prog/ns1:Target_P1_5" xmlDataType="double"/>
    </xmlCellPr>
  </singleXmlCell>
  <singleXmlCell id="663" r="I130" connectionId="0">
    <xmlCellPr id="1" uniqueName="1">
      <xmlPr mapId="43" xpath="/ns1:Root/ns1:Prog/ns1:Target_P2_5" xmlDataType="double"/>
    </xmlCellPr>
  </singleXmlCell>
  <singleXmlCell id="664" r="J130" connectionId="0">
    <xmlCellPr id="1" uniqueName="1">
      <xmlPr mapId="43" xpath="/ns1:Root/ns1:Prog/ns1:Target_P3_5" xmlDataType="double"/>
    </xmlCellPr>
  </singleXmlCell>
  <singleXmlCell id="665" r="K130" connectionId="0">
    <xmlCellPr id="1" uniqueName="1">
      <xmlPr mapId="43" xpath="/ns1:Root/ns1:Prog/ns1:Target_P4_5" xmlDataType="double"/>
    </xmlCellPr>
  </singleXmlCell>
  <singleXmlCell id="666" r="L130" connectionId="0">
    <xmlCellPr id="1" uniqueName="1">
      <xmlPr mapId="43" xpath="/ns1:Root/ns1:Prog/ns1:Target_P5_5" xmlDataType="double"/>
    </xmlCellPr>
  </singleXmlCell>
  <singleXmlCell id="667" r="M130" connectionId="0">
    <xmlCellPr id="1" uniqueName="1">
      <xmlPr mapId="43" xpath="/ns1:Root/ns1:Prog/ns1:Target_P6_5" xmlDataType="double"/>
    </xmlCellPr>
  </singleXmlCell>
  <singleXmlCell id="668" r="N130" connectionId="0">
    <xmlCellPr id="1" uniqueName="1">
      <xmlPr mapId="43" xpath="/ns1:Root/ns1:Prog/ns1:Target_P7_5" xmlDataType="double"/>
    </xmlCellPr>
  </singleXmlCell>
  <singleXmlCell id="669" r="O130" connectionId="0">
    <xmlCellPr id="1" uniqueName="1">
      <xmlPr mapId="43" xpath="/ns1:Root/ns1:Prog/ns1:Target_P8_5" xmlDataType="double"/>
    </xmlCellPr>
  </singleXmlCell>
  <singleXmlCell id="670" r="P130" connectionId="0">
    <xmlCellPr id="1" uniqueName="1">
      <xmlPr mapId="43" xpath="/ns1:Root/ns1:Prog/ns1:Target_P9_5" xmlDataType="double"/>
    </xmlCellPr>
  </singleXmlCell>
  <singleXmlCell id="671" r="Q130" connectionId="0">
    <xmlCellPr id="1" uniqueName="1">
      <xmlPr mapId="43" xpath="/ns1:Root/ns1:Prog/ns1:Target_P10_5" xmlDataType="double"/>
    </xmlCellPr>
  </singleXmlCell>
  <singleXmlCell id="672" r="R130" connectionId="0">
    <xmlCellPr id="1" uniqueName="1">
      <xmlPr mapId="43" xpath="/ns1:Root/ns1:Prog/ns1:Target_P11_5" xmlDataType="double"/>
    </xmlCellPr>
  </singleXmlCell>
  <singleXmlCell id="673" r="S130" connectionId="0">
    <xmlCellPr id="1" uniqueName="1">
      <xmlPr mapId="43" xpath="/ns1:Root/ns1:Prog/ns1:Target_P12_5" xmlDataType="double"/>
    </xmlCellPr>
  </singleXmlCell>
  <singleXmlCell id="674" r="H131" connectionId="0">
    <xmlCellPr id="1" uniqueName="1">
      <xmlPr mapId="43" xpath="/ns1:Root/ns1:Prog/ns1:Achieved__P1_5" xmlDataType="double"/>
    </xmlCellPr>
  </singleXmlCell>
  <singleXmlCell id="675" r="I131" connectionId="0">
    <xmlCellPr id="1" uniqueName="1">
      <xmlPr mapId="43" xpath="/ns1:Root/ns1:Prog/ns1:Achieved__P2_5" xmlDataType="double"/>
    </xmlCellPr>
  </singleXmlCell>
  <singleXmlCell id="676" r="J131" connectionId="0">
    <xmlCellPr id="1" uniqueName="1">
      <xmlPr mapId="43" xpath="/ns1:Root/ns1:Prog/ns1:Achieved__P3_5" xmlDataType="double"/>
    </xmlCellPr>
  </singleXmlCell>
  <singleXmlCell id="677" r="K131" connectionId="0">
    <xmlCellPr id="1" uniqueName="1">
      <xmlPr mapId="43" xpath="/ns1:Root/ns1:Prog/ns1:Achieved__P4_5" xmlDataType="double"/>
    </xmlCellPr>
  </singleXmlCell>
  <singleXmlCell id="678" r="L131" connectionId="0">
    <xmlCellPr id="1" uniqueName="1">
      <xmlPr mapId="43" xpath="/ns1:Root/ns1:Prog/ns1:Achieved__P5_5" xmlDataType="string"/>
    </xmlCellPr>
  </singleXmlCell>
  <singleXmlCell id="679" r="M131" connectionId="0">
    <xmlCellPr id="1" uniqueName="1">
      <xmlPr mapId="43" xpath="/ns1:Root/ns1:Prog/ns1:Achieved__P6_5" xmlDataType="string"/>
    </xmlCellPr>
  </singleXmlCell>
  <singleXmlCell id="680" r="N131" connectionId="0">
    <xmlCellPr id="1" uniqueName="1">
      <xmlPr mapId="43" xpath="/ns1:Root/ns1:Prog/ns1:Achieved__P7_5" xmlDataType="string"/>
    </xmlCellPr>
  </singleXmlCell>
  <singleXmlCell id="681" r="O131" connectionId="0">
    <xmlCellPr id="1" uniqueName="1">
      <xmlPr mapId="43" xpath="/ns1:Root/ns1:Prog/ns1:Achieved__P8_5" xmlDataType="string"/>
    </xmlCellPr>
  </singleXmlCell>
  <singleXmlCell id="682" r="P131" connectionId="0">
    <xmlCellPr id="1" uniqueName="1">
      <xmlPr mapId="43" xpath="/ns1:Root/ns1:Prog/ns1:Achieved__P9_5" xmlDataType="string"/>
    </xmlCellPr>
  </singleXmlCell>
  <singleXmlCell id="683" r="Q131" connectionId="0">
    <xmlCellPr id="1" uniqueName="1">
      <xmlPr mapId="43" xpath="/ns1:Root/ns1:Prog/ns1:Achieved__P10_5" xmlDataType="string"/>
    </xmlCellPr>
  </singleXmlCell>
  <singleXmlCell id="684" r="R131" connectionId="0">
    <xmlCellPr id="1" uniqueName="1">
      <xmlPr mapId="43" xpath="/ns1:Root/ns1:Prog/ns1:Achieved__P11_5" xmlDataType="string"/>
    </xmlCellPr>
  </singleXmlCell>
  <singleXmlCell id="685" r="S131" connectionId="0">
    <xmlCellPr id="1" uniqueName="1">
      <xmlPr mapId="43" xpath="/ns1:Root/ns1:Prog/ns1:Achieved__P12_5" xmlDataType="string"/>
    </xmlCellPr>
  </singleXmlCell>
  <singleXmlCell id="686" r="H132" connectionId="0">
    <xmlCellPr id="1" uniqueName="1">
      <xmlPr mapId="43" xpath="/ns1:Root/ns1:Prog/ns1:Target_P1_6" xmlDataType="double"/>
    </xmlCellPr>
  </singleXmlCell>
  <singleXmlCell id="687" r="I132" connectionId="0">
    <xmlCellPr id="1" uniqueName="1">
      <xmlPr mapId="43" xpath="/ns1:Root/ns1:Prog/ns1:Target_P2_6" xmlDataType="double"/>
    </xmlCellPr>
  </singleXmlCell>
  <singleXmlCell id="688" r="J132" connectionId="0">
    <xmlCellPr id="1" uniqueName="1">
      <xmlPr mapId="43" xpath="/ns1:Root/ns1:Prog/ns1:Target_P3_6" xmlDataType="double"/>
    </xmlCellPr>
  </singleXmlCell>
  <singleXmlCell id="689" r="K132" connectionId="0">
    <xmlCellPr id="1" uniqueName="1">
      <xmlPr mapId="43" xpath="/ns1:Root/ns1:Prog/ns1:Target_P4_6" xmlDataType="double"/>
    </xmlCellPr>
  </singleXmlCell>
  <singleXmlCell id="690" r="L132" connectionId="0">
    <xmlCellPr id="1" uniqueName="1">
      <xmlPr mapId="43" xpath="/ns1:Root/ns1:Prog/ns1:Target_P5_6" xmlDataType="double"/>
    </xmlCellPr>
  </singleXmlCell>
  <singleXmlCell id="691" r="M132" connectionId="0">
    <xmlCellPr id="1" uniqueName="1">
      <xmlPr mapId="43" xpath="/ns1:Root/ns1:Prog/ns1:Target_P6_6" xmlDataType="double"/>
    </xmlCellPr>
  </singleXmlCell>
  <singleXmlCell id="692" r="N132" connectionId="0">
    <xmlCellPr id="1" uniqueName="1">
      <xmlPr mapId="43" xpath="/ns1:Root/ns1:Prog/ns1:Target_P7_6" xmlDataType="double"/>
    </xmlCellPr>
  </singleXmlCell>
  <singleXmlCell id="693" r="O132" connectionId="0">
    <xmlCellPr id="1" uniqueName="1">
      <xmlPr mapId="43" xpath="/ns1:Root/ns1:Prog/ns1:Target_P8_6" xmlDataType="double"/>
    </xmlCellPr>
  </singleXmlCell>
  <singleXmlCell id="694" r="P132" connectionId="0">
    <xmlCellPr id="1" uniqueName="1">
      <xmlPr mapId="43" xpath="/ns1:Root/ns1:Prog/ns1:Target_P9_6" xmlDataType="double"/>
    </xmlCellPr>
  </singleXmlCell>
  <singleXmlCell id="695" r="Q132" connectionId="0">
    <xmlCellPr id="1" uniqueName="1">
      <xmlPr mapId="43" xpath="/ns1:Root/ns1:Prog/ns1:Target_P10_6" xmlDataType="double"/>
    </xmlCellPr>
  </singleXmlCell>
  <singleXmlCell id="696" r="R132" connectionId="0">
    <xmlCellPr id="1" uniqueName="1">
      <xmlPr mapId="43" xpath="/ns1:Root/ns1:Prog/ns1:Target_P11_6" xmlDataType="double"/>
    </xmlCellPr>
  </singleXmlCell>
  <singleXmlCell id="697" r="S132" connectionId="0">
    <xmlCellPr id="1" uniqueName="1">
      <xmlPr mapId="43" xpath="/ns1:Root/ns1:Prog/ns1:Target_P12_6" xmlDataType="double"/>
    </xmlCellPr>
  </singleXmlCell>
  <singleXmlCell id="698" r="H133" connectionId="0">
    <xmlCellPr id="1" uniqueName="1">
      <xmlPr mapId="43" xpath="/ns1:Root/ns1:Prog/ns1:Achieved__P1_6" xmlDataType="double"/>
    </xmlCellPr>
  </singleXmlCell>
  <singleXmlCell id="699" r="I133" connectionId="0">
    <xmlCellPr id="1" uniqueName="1">
      <xmlPr mapId="43" xpath="/ns1:Root/ns1:Prog/ns1:Achieved__P2_6" xmlDataType="double"/>
    </xmlCellPr>
  </singleXmlCell>
  <singleXmlCell id="700" r="J133" connectionId="0">
    <xmlCellPr id="1" uniqueName="1">
      <xmlPr mapId="43" xpath="/ns1:Root/ns1:Prog/ns1:Achieved__P3_6" xmlDataType="double"/>
    </xmlCellPr>
  </singleXmlCell>
  <singleXmlCell id="701" r="K133" connectionId="0">
    <xmlCellPr id="1" uniqueName="1">
      <xmlPr mapId="43" xpath="/ns1:Root/ns1:Prog/ns1:Achieved__P4_6" xmlDataType="double"/>
    </xmlCellPr>
  </singleXmlCell>
  <singleXmlCell id="702" r="L133" connectionId="0">
    <xmlCellPr id="1" uniqueName="1">
      <xmlPr mapId="43" xpath="/ns1:Root/ns1:Prog/ns1:Achieved__P5_6" xmlDataType="string"/>
    </xmlCellPr>
  </singleXmlCell>
  <singleXmlCell id="703" r="M133" connectionId="0">
    <xmlCellPr id="1" uniqueName="1">
      <xmlPr mapId="43" xpath="/ns1:Root/ns1:Prog/ns1:Achieved__P6_6" xmlDataType="string"/>
    </xmlCellPr>
  </singleXmlCell>
  <singleXmlCell id="704" r="N133" connectionId="0">
    <xmlCellPr id="1" uniqueName="1">
      <xmlPr mapId="43" xpath="/ns1:Root/ns1:Prog/ns1:Achieved__P7_6" xmlDataType="string"/>
    </xmlCellPr>
  </singleXmlCell>
  <singleXmlCell id="705" r="O133" connectionId="0">
    <xmlCellPr id="1" uniqueName="1">
      <xmlPr mapId="43" xpath="/ns1:Root/ns1:Prog/ns1:Achieved__P8_6" xmlDataType="string"/>
    </xmlCellPr>
  </singleXmlCell>
  <singleXmlCell id="706" r="P133" connectionId="0">
    <xmlCellPr id="1" uniqueName="1">
      <xmlPr mapId="43" xpath="/ns1:Root/ns1:Prog/ns1:Achieved__P9_6" xmlDataType="string"/>
    </xmlCellPr>
  </singleXmlCell>
  <singleXmlCell id="707" r="Q133" connectionId="0">
    <xmlCellPr id="1" uniqueName="1">
      <xmlPr mapId="43" xpath="/ns1:Root/ns1:Prog/ns1:Achieved__P10_6" xmlDataType="string"/>
    </xmlCellPr>
  </singleXmlCell>
  <singleXmlCell id="708" r="R133" connectionId="0">
    <xmlCellPr id="1" uniqueName="1">
      <xmlPr mapId="43" xpath="/ns1:Root/ns1:Prog/ns1:Achieved__P11_6" xmlDataType="string"/>
    </xmlCellPr>
  </singleXmlCell>
  <singleXmlCell id="709" r="S133" connectionId="0">
    <xmlCellPr id="1" uniqueName="1">
      <xmlPr mapId="43" xpath="/ns1:Root/ns1:Prog/ns1:Achieved__P12_6" xmlDataType="string"/>
    </xmlCellPr>
  </singleXmlCell>
  <singleXmlCell id="710" r="H128" connectionId="0">
    <xmlCellPr id="1" uniqueName="1">
      <xmlPr mapId="43" xpath="/ns1:Root/ns1:Prog/ns1:Target_P1_7" xmlDataType="double"/>
    </xmlCellPr>
  </singleXmlCell>
  <singleXmlCell id="711" r="I128" connectionId="0">
    <xmlCellPr id="1" uniqueName="1">
      <xmlPr mapId="43" xpath="/ns1:Root/ns1:Prog/ns1:Target_P2_7" xmlDataType="double"/>
    </xmlCellPr>
  </singleXmlCell>
  <singleXmlCell id="712" r="J128" connectionId="0">
    <xmlCellPr id="1" uniqueName="1">
      <xmlPr mapId="43" xpath="/ns1:Root/ns1:Prog/ns1:Target_P3_7" xmlDataType="double"/>
    </xmlCellPr>
  </singleXmlCell>
  <singleXmlCell id="713" r="K128" connectionId="0">
    <xmlCellPr id="1" uniqueName="1">
      <xmlPr mapId="43" xpath="/ns1:Root/ns1:Prog/ns1:Target_P4_7" xmlDataType="double"/>
    </xmlCellPr>
  </singleXmlCell>
  <singleXmlCell id="714" r="L128" connectionId="0">
    <xmlCellPr id="1" uniqueName="1">
      <xmlPr mapId="43" xpath="/ns1:Root/ns1:Prog/ns1:Target_P5_7" xmlDataType="double"/>
    </xmlCellPr>
  </singleXmlCell>
  <singleXmlCell id="715" r="M128" connectionId="0">
    <xmlCellPr id="1" uniqueName="1">
      <xmlPr mapId="43" xpath="/ns1:Root/ns1:Prog/ns1:Target_P6_7" xmlDataType="double"/>
    </xmlCellPr>
  </singleXmlCell>
  <singleXmlCell id="716" r="N128" connectionId="0">
    <xmlCellPr id="1" uniqueName="1">
      <xmlPr mapId="43" xpath="/ns1:Root/ns1:Prog/ns1:Target_P7_7" xmlDataType="double"/>
    </xmlCellPr>
  </singleXmlCell>
  <singleXmlCell id="717" r="O128" connectionId="0">
    <xmlCellPr id="1" uniqueName="1">
      <xmlPr mapId="43" xpath="/ns1:Root/ns1:Prog/ns1:Target_P8_7" xmlDataType="double"/>
    </xmlCellPr>
  </singleXmlCell>
  <singleXmlCell id="718" r="P128" connectionId="0">
    <xmlCellPr id="1" uniqueName="1">
      <xmlPr mapId="43" xpath="/ns1:Root/ns1:Prog/ns1:Target_P9_7" xmlDataType="double"/>
    </xmlCellPr>
  </singleXmlCell>
  <singleXmlCell id="719" r="Q128" connectionId="0">
    <xmlCellPr id="1" uniqueName="1">
      <xmlPr mapId="43" xpath="/ns1:Root/ns1:Prog/ns1:Target_P10_7" xmlDataType="double"/>
    </xmlCellPr>
  </singleXmlCell>
  <singleXmlCell id="720" r="R128" connectionId="0">
    <xmlCellPr id="1" uniqueName="1">
      <xmlPr mapId="43" xpath="/ns1:Root/ns1:Prog/ns1:Target_P11_7" xmlDataType="double"/>
    </xmlCellPr>
  </singleXmlCell>
  <singleXmlCell id="721" r="S128" connectionId="0">
    <xmlCellPr id="1" uniqueName="1">
      <xmlPr mapId="43" xpath="/ns1:Root/ns1:Prog/ns1:Target_P12_7" xmlDataType="double"/>
    </xmlCellPr>
  </singleXmlCell>
  <singleXmlCell id="722" r="H129" connectionId="0">
    <xmlCellPr id="1" uniqueName="1">
      <xmlPr mapId="43" xpath="/ns1:Root/ns1:Prog/ns1:Achieved__P1_7" xmlDataType="double"/>
    </xmlCellPr>
  </singleXmlCell>
  <singleXmlCell id="723" r="I129" connectionId="0">
    <xmlCellPr id="1" uniqueName="1">
      <xmlPr mapId="43" xpath="/ns1:Root/ns1:Prog/ns1:Achieved__P2_7" xmlDataType="double"/>
    </xmlCellPr>
  </singleXmlCell>
  <singleXmlCell id="724" r="J129" connectionId="0">
    <xmlCellPr id="1" uniqueName="1">
      <xmlPr mapId="43" xpath="/ns1:Root/ns1:Prog/ns1:Achieved__P3_7" xmlDataType="double"/>
    </xmlCellPr>
  </singleXmlCell>
  <singleXmlCell id="725" r="K129" connectionId="0">
    <xmlCellPr id="1" uniqueName="1">
      <xmlPr mapId="43" xpath="/ns1:Root/ns1:Prog/ns1:Achieved__P4_7" xmlDataType="double"/>
    </xmlCellPr>
  </singleXmlCell>
  <singleXmlCell id="726" r="L129" connectionId="0">
    <xmlCellPr id="1" uniqueName="1">
      <xmlPr mapId="43" xpath="/ns1:Root/ns1:Prog/ns1:Achieved__P5_7" xmlDataType="string"/>
    </xmlCellPr>
  </singleXmlCell>
  <singleXmlCell id="727" r="M129" connectionId="0">
    <xmlCellPr id="1" uniqueName="1">
      <xmlPr mapId="43" xpath="/ns1:Root/ns1:Prog/ns1:Achieved__P6_7" xmlDataType="string"/>
    </xmlCellPr>
  </singleXmlCell>
  <singleXmlCell id="728" r="N129" connectionId="0">
    <xmlCellPr id="1" uniqueName="1">
      <xmlPr mapId="43" xpath="/ns1:Root/ns1:Prog/ns1:Achieved__P7_7" xmlDataType="string"/>
    </xmlCellPr>
  </singleXmlCell>
  <singleXmlCell id="729" r="O129" connectionId="0">
    <xmlCellPr id="1" uniqueName="1">
      <xmlPr mapId="43" xpath="/ns1:Root/ns1:Prog/ns1:Achieved__P8_7" xmlDataType="string"/>
    </xmlCellPr>
  </singleXmlCell>
  <singleXmlCell id="730" r="P129" connectionId="0">
    <xmlCellPr id="1" uniqueName="1">
      <xmlPr mapId="43" xpath="/ns1:Root/ns1:Prog/ns1:Achieved__P9_7" xmlDataType="string"/>
    </xmlCellPr>
  </singleXmlCell>
  <singleXmlCell id="731" r="Q129" connectionId="0">
    <xmlCellPr id="1" uniqueName="1">
      <xmlPr mapId="43" xpath="/ns1:Root/ns1:Prog/ns1:Achieved__P10_7" xmlDataType="string"/>
    </xmlCellPr>
  </singleXmlCell>
  <singleXmlCell id="732" r="R129" connectionId="0">
    <xmlCellPr id="1" uniqueName="1">
      <xmlPr mapId="43" xpath="/ns1:Root/ns1:Prog/ns1:Achieved__P11_7" xmlDataType="string"/>
    </xmlCellPr>
  </singleXmlCell>
  <singleXmlCell id="733" r="S129" connectionId="0">
    <xmlCellPr id="1" uniqueName="1">
      <xmlPr mapId="43" xpath="/ns1:Root/ns1:Prog/ns1:Achieved__P12_7"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6" connectionId="0">
    <xmlCellPr id="1" uniqueName="1">
      <xmlPr mapId="43" xpath="/ns1:Root/ns1:P4" xmlDataType="string"/>
    </xmlCellPr>
  </singleXmlCell>
  <singleXmlCell id="817" r="E126" connectionId="0">
    <xmlCellPr id="1" uniqueName="1">
      <xmlPr mapId="43" xpath="/ns1:Root/ns1:P4_Code" xmlDataType="double"/>
    </xmlCellPr>
  </singleXmlCell>
  <singleXmlCell id="818" r="F126" connectionId="0">
    <xmlCellPr id="1" uniqueName="1">
      <xmlPr mapId="43" xpath="/ns1:Root/ns1:P4_Tied" xmlDataType="string"/>
    </xmlCellPr>
  </singleXmlCell>
  <singleXmlCell id="819" r="B130" connectionId="0">
    <xmlCellPr id="1" uniqueName="1">
      <xmlPr mapId="43" xpath="/ns1:Root/ns1:P5" xmlDataType="string"/>
    </xmlCellPr>
  </singleXmlCell>
  <singleXmlCell id="820" r="E130" connectionId="0">
    <xmlCellPr id="1" uniqueName="1">
      <xmlPr mapId="43" xpath="/ns1:Root/ns1:P5_Code" xmlDataType="double"/>
    </xmlCellPr>
  </singleXmlCell>
  <singleXmlCell id="821" r="F130" connectionId="0">
    <xmlCellPr id="1" uniqueName="1">
      <xmlPr mapId="43" xpath="/ns1:Root/ns1:P5_Tied" xmlDataType="string"/>
    </xmlCellPr>
  </singleXmlCell>
  <singleXmlCell id="822" r="B132" connectionId="0">
    <xmlCellPr id="1" uniqueName="1">
      <xmlPr mapId="43" xpath="/ns1:Root/ns1:P6" xmlDataType="string"/>
    </xmlCellPr>
  </singleXmlCell>
  <singleXmlCell id="823" r="E132" connectionId="0">
    <xmlCellPr id="1" uniqueName="1">
      <xmlPr mapId="43" xpath="/ns1:Root/ns1:P6_Code" xmlDataType="double"/>
    </xmlCellPr>
  </singleXmlCell>
  <singleXmlCell id="824" r="F132" connectionId="0">
    <xmlCellPr id="1" uniqueName="1">
      <xmlPr mapId="43" xpath="/ns1:Root/ns1:P6_Tied" xmlDataType="string"/>
    </xmlCellPr>
  </singleXmlCell>
  <singleXmlCell id="825" r="B128" connectionId="0">
    <xmlCellPr id="1" uniqueName="1">
      <xmlPr mapId="43" xpath="/ns1:Root/ns1:P7" xmlDataType="string"/>
    </xmlCellPr>
  </singleXmlCell>
  <singleXmlCell id="826" r="E128" connectionId="0">
    <xmlCellPr id="1" uniqueName="1">
      <xmlPr mapId="43" xpath="/ns1:Root/ns1:P7_Code" xmlDataType="double"/>
    </xmlCellPr>
  </singleXmlCell>
  <singleXmlCell id="827" r="F128" connectionId="0">
    <xmlCellPr id="1" uniqueName="1">
      <xmlPr mapId="43" xpath="/ns1:Root/ns1:P7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30" t="str">
        <f>+'Detalii despre Grant'!B3:J3</f>
        <v>Dashboard:  Moldova - HIV / AIDS</v>
      </c>
      <c r="C2" s="530"/>
      <c r="D2" s="530"/>
      <c r="E2" s="530"/>
      <c r="F2" s="530"/>
      <c r="G2" s="530"/>
      <c r="H2" s="530"/>
      <c r="I2" s="530"/>
      <c r="J2" s="530"/>
      <c r="K2" s="530"/>
      <c r="L2" s="530"/>
      <c r="M2" s="1"/>
      <c r="N2" s="1"/>
      <c r="O2" s="1"/>
    </row>
    <row r="4" spans="2:15" ht="21">
      <c r="B4" s="531" t="str">
        <f>+IF('Introducerea datelor'!G6="Please Select", "",'Introducerea datelor'!G6) &amp;"  "&amp;+IF('Introducerea datelor'!G8="Please Select", "", 'Introducerea datelor'!G8&amp;",  ")&amp;+IF('Introducerea datelor'!I8="Please Select","",'Introducerea datelor'!I8)</f>
        <v>HIV / AIDS  Faza 2</v>
      </c>
      <c r="C4" s="531"/>
      <c r="D4" s="531"/>
      <c r="E4" s="532"/>
      <c r="F4" s="230"/>
      <c r="G4" s="230"/>
      <c r="H4" s="344" t="str">
        <f>+'Introducerea datelor'!B6&amp;" "&amp;+'Introducerea datelor'!C6</f>
        <v>No. Grantului : MOL-H-PCIMU</v>
      </c>
      <c r="I4" s="344"/>
      <c r="J4" s="229"/>
      <c r="K4" s="230"/>
      <c r="L4" s="230"/>
    </row>
    <row r="22" spans="2:12" ht="26.25">
      <c r="B22" s="533" t="s">
        <v>331</v>
      </c>
      <c r="C22" s="534"/>
      <c r="D22" s="534"/>
      <c r="E22" s="534"/>
      <c r="F22" s="534"/>
      <c r="G22" s="534"/>
      <c r="H22" s="534"/>
      <c r="I22" s="534"/>
      <c r="J22" s="534"/>
      <c r="K22" s="534"/>
      <c r="L22" s="534"/>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966" t="str">
        <f>'Detalii despre Grant'!B3:J3</f>
        <v>Dashboard:  Moldova - HIV / AIDS</v>
      </c>
      <c r="C3" s="966"/>
      <c r="D3" s="966"/>
      <c r="E3" s="966"/>
      <c r="F3" s="966"/>
      <c r="G3" s="966"/>
      <c r="H3" s="966"/>
      <c r="I3" s="1"/>
    </row>
    <row r="6" spans="2:15" ht="18.75">
      <c r="B6" s="919" t="s">
        <v>287</v>
      </c>
      <c r="C6" s="919"/>
      <c r="D6" s="919"/>
      <c r="E6" s="919"/>
      <c r="F6" s="919"/>
      <c r="G6" s="919"/>
      <c r="H6" s="919"/>
    </row>
    <row r="8" spans="2:15" ht="18.75">
      <c r="B8" s="62" t="s">
        <v>26</v>
      </c>
      <c r="C8" s="62" t="s">
        <v>29</v>
      </c>
      <c r="D8" s="62" t="s">
        <v>30</v>
      </c>
      <c r="E8" s="62" t="s">
        <v>35</v>
      </c>
      <c r="F8" s="62" t="s">
        <v>264</v>
      </c>
      <c r="G8" s="62" t="s">
        <v>246</v>
      </c>
      <c r="H8" s="62" t="s">
        <v>268</v>
      </c>
      <c r="I8" s="63" t="s">
        <v>73</v>
      </c>
      <c r="J8" s="63" t="s">
        <v>111</v>
      </c>
      <c r="M8" s="19"/>
      <c r="N8" s="19"/>
      <c r="O8" s="19"/>
    </row>
    <row r="9" spans="2:15">
      <c r="B9" s="86" t="s">
        <v>321</v>
      </c>
      <c r="C9" s="86" t="s">
        <v>321</v>
      </c>
      <c r="D9" s="86" t="s">
        <v>321</v>
      </c>
      <c r="E9" s="86" t="s">
        <v>321</v>
      </c>
      <c r="F9" s="86" t="s">
        <v>321</v>
      </c>
      <c r="G9" s="86" t="s">
        <v>321</v>
      </c>
      <c r="H9" s="86" t="s">
        <v>321</v>
      </c>
      <c r="I9" s="414" t="s">
        <v>321</v>
      </c>
      <c r="J9" s="86" t="s">
        <v>321</v>
      </c>
      <c r="M9" s="19"/>
      <c r="N9" s="19"/>
      <c r="O9" s="19"/>
    </row>
    <row r="10" spans="2:15">
      <c r="B10" s="57" t="s">
        <v>21</v>
      </c>
      <c r="C10" s="57" t="s">
        <v>12</v>
      </c>
      <c r="D10" s="57" t="s">
        <v>10</v>
      </c>
      <c r="E10" s="57" t="s">
        <v>11</v>
      </c>
      <c r="F10" s="57" t="s">
        <v>91</v>
      </c>
      <c r="G10" s="423" t="s">
        <v>37</v>
      </c>
      <c r="H10" s="60" t="s">
        <v>42</v>
      </c>
      <c r="I10" s="27" t="s">
        <v>272</v>
      </c>
      <c r="J10" s="86" t="s">
        <v>112</v>
      </c>
      <c r="M10" s="19"/>
      <c r="N10" s="19"/>
      <c r="O10" s="19"/>
    </row>
    <row r="11" spans="2:15">
      <c r="B11" s="57" t="s">
        <v>27</v>
      </c>
      <c r="C11" s="57" t="s">
        <v>7</v>
      </c>
      <c r="D11" s="57" t="s">
        <v>13</v>
      </c>
      <c r="E11" s="57" t="s">
        <v>9</v>
      </c>
      <c r="F11" s="57" t="s">
        <v>92</v>
      </c>
      <c r="G11" s="423" t="s">
        <v>38</v>
      </c>
      <c r="H11" s="60" t="s">
        <v>43</v>
      </c>
      <c r="I11" s="27" t="s">
        <v>273</v>
      </c>
      <c r="J11" s="86" t="s">
        <v>113</v>
      </c>
      <c r="M11" s="19"/>
      <c r="N11" s="19"/>
      <c r="O11" s="19"/>
    </row>
    <row r="12" spans="2:15">
      <c r="B12" s="57" t="s">
        <v>28</v>
      </c>
      <c r="D12" s="57" t="s">
        <v>16</v>
      </c>
      <c r="E12" s="57" t="s">
        <v>17</v>
      </c>
      <c r="F12" s="57" t="s">
        <v>93</v>
      </c>
      <c r="G12" s="423" t="s">
        <v>39</v>
      </c>
      <c r="H12" s="60" t="s">
        <v>44</v>
      </c>
      <c r="I12" s="27" t="s">
        <v>274</v>
      </c>
      <c r="J12" s="86" t="s">
        <v>114</v>
      </c>
      <c r="M12" s="196"/>
      <c r="N12" s="19"/>
      <c r="O12" s="19"/>
    </row>
    <row r="13" spans="2:15">
      <c r="B13" s="57" t="s">
        <v>69</v>
      </c>
      <c r="D13" s="57" t="s">
        <v>18</v>
      </c>
      <c r="E13" s="58"/>
      <c r="F13" s="57" t="s">
        <v>94</v>
      </c>
      <c r="G13" s="423" t="s">
        <v>40</v>
      </c>
      <c r="H13" s="60" t="s">
        <v>45</v>
      </c>
      <c r="I13" s="27" t="s">
        <v>275</v>
      </c>
      <c r="J13" s="86" t="s">
        <v>115</v>
      </c>
      <c r="M13" s="196"/>
      <c r="N13" s="19"/>
      <c r="O13" s="19"/>
    </row>
    <row r="14" spans="2:15">
      <c r="B14" s="57" t="s">
        <v>70</v>
      </c>
      <c r="D14" s="57" t="s">
        <v>31</v>
      </c>
      <c r="F14" s="57" t="s">
        <v>102</v>
      </c>
      <c r="G14" s="423" t="s">
        <v>41</v>
      </c>
      <c r="H14" s="60" t="s">
        <v>46</v>
      </c>
      <c r="I14" s="27" t="s">
        <v>249</v>
      </c>
      <c r="J14" s="86" t="s">
        <v>116</v>
      </c>
      <c r="M14" s="196"/>
      <c r="N14" s="19"/>
      <c r="O14" s="19"/>
    </row>
    <row r="15" spans="2:15">
      <c r="D15" s="57" t="s">
        <v>32</v>
      </c>
      <c r="F15" s="57" t="s">
        <v>103</v>
      </c>
      <c r="H15" s="60" t="s">
        <v>47</v>
      </c>
      <c r="I15" s="27" t="s">
        <v>58</v>
      </c>
      <c r="J15" s="86" t="s">
        <v>117</v>
      </c>
      <c r="M15" s="196"/>
      <c r="N15" s="19"/>
      <c r="O15" s="19"/>
    </row>
    <row r="16" spans="2:15">
      <c r="D16" s="57" t="s">
        <v>33</v>
      </c>
      <c r="F16" s="57" t="s">
        <v>104</v>
      </c>
      <c r="H16" s="60" t="s">
        <v>48</v>
      </c>
      <c r="I16" s="27" t="s">
        <v>59</v>
      </c>
      <c r="J16" s="86" t="s">
        <v>118</v>
      </c>
      <c r="M16" s="196"/>
      <c r="N16" s="19"/>
      <c r="O16" s="19"/>
    </row>
    <row r="17" spans="4:15">
      <c r="D17" s="57" t="s">
        <v>34</v>
      </c>
      <c r="F17" s="57" t="s">
        <v>105</v>
      </c>
      <c r="H17" s="60" t="s">
        <v>49</v>
      </c>
      <c r="I17" s="27" t="s">
        <v>60</v>
      </c>
      <c r="J17" s="86" t="s">
        <v>119</v>
      </c>
      <c r="M17" s="196"/>
      <c r="N17" s="19"/>
      <c r="O17" s="19"/>
    </row>
    <row r="18" spans="4:15">
      <c r="D18" s="57" t="s">
        <v>8</v>
      </c>
      <c r="F18" s="57" t="s">
        <v>106</v>
      </c>
      <c r="H18" s="60" t="s">
        <v>50</v>
      </c>
      <c r="I18" s="27" t="s">
        <v>61</v>
      </c>
      <c r="J18" s="86" t="s">
        <v>120</v>
      </c>
      <c r="M18" s="196"/>
      <c r="N18" s="19"/>
      <c r="O18" s="19"/>
    </row>
    <row r="19" spans="4:15">
      <c r="D19" s="422" t="s">
        <v>318</v>
      </c>
      <c r="F19" s="57" t="s">
        <v>107</v>
      </c>
      <c r="H19" s="60" t="s">
        <v>51</v>
      </c>
      <c r="I19" s="27" t="s">
        <v>62</v>
      </c>
      <c r="J19" s="86" t="s">
        <v>121</v>
      </c>
      <c r="M19" s="196"/>
      <c r="N19" s="19"/>
      <c r="O19" s="19"/>
    </row>
    <row r="20" spans="4:15">
      <c r="D20" s="59"/>
      <c r="F20" s="57" t="s">
        <v>108</v>
      </c>
      <c r="H20" s="60" t="s">
        <v>244</v>
      </c>
      <c r="I20" s="27" t="s">
        <v>63</v>
      </c>
      <c r="J20" s="86" t="s">
        <v>122</v>
      </c>
      <c r="M20" s="19"/>
      <c r="N20" s="19"/>
      <c r="O20" s="19"/>
    </row>
    <row r="21" spans="4:15">
      <c r="D21" s="61"/>
      <c r="F21" s="57" t="s">
        <v>265</v>
      </c>
      <c r="H21" s="61"/>
      <c r="I21" s="27" t="s">
        <v>65</v>
      </c>
      <c r="J21" s="86" t="s">
        <v>123</v>
      </c>
      <c r="M21" s="19"/>
      <c r="N21" s="19"/>
      <c r="O21" s="19"/>
    </row>
    <row r="22" spans="4:15">
      <c r="H22" s="61"/>
      <c r="I22" s="27" t="s">
        <v>66</v>
      </c>
      <c r="J22" s="86" t="s">
        <v>124</v>
      </c>
      <c r="M22" s="19"/>
      <c r="N22" s="19"/>
      <c r="O22" s="19"/>
    </row>
    <row r="23" spans="4:15">
      <c r="I23" s="27" t="s">
        <v>64</v>
      </c>
      <c r="J23" s="86" t="s">
        <v>125</v>
      </c>
      <c r="M23" s="19"/>
      <c r="N23" s="19"/>
      <c r="O23" s="19"/>
    </row>
    <row r="24" spans="4:15">
      <c r="I24" s="27" t="s">
        <v>281</v>
      </c>
      <c r="J24" s="86" t="s">
        <v>126</v>
      </c>
      <c r="M24" s="19"/>
      <c r="N24" s="19"/>
      <c r="O24" s="19"/>
    </row>
    <row r="25" spans="4:15">
      <c r="I25" s="45"/>
      <c r="J25" s="86" t="s">
        <v>127</v>
      </c>
    </row>
    <row r="26" spans="4:15">
      <c r="I26" s="27" t="s">
        <v>282</v>
      </c>
      <c r="J26" s="86" t="s">
        <v>128</v>
      </c>
    </row>
    <row r="27" spans="4:15">
      <c r="I27" s="27" t="s">
        <v>280</v>
      </c>
      <c r="J27" s="86" t="s">
        <v>129</v>
      </c>
    </row>
    <row r="28" spans="4:15">
      <c r="I28" s="45"/>
      <c r="J28" s="86" t="s">
        <v>130</v>
      </c>
    </row>
    <row r="29" spans="4:15">
      <c r="I29" s="45"/>
      <c r="J29" s="86" t="s">
        <v>131</v>
      </c>
    </row>
    <row r="30" spans="4:15">
      <c r="I30" s="45"/>
      <c r="J30" s="86" t="s">
        <v>132</v>
      </c>
    </row>
    <row r="31" spans="4:15">
      <c r="J31" s="86" t="s">
        <v>133</v>
      </c>
    </row>
    <row r="32" spans="4:15">
      <c r="J32" s="86" t="s">
        <v>134</v>
      </c>
    </row>
    <row r="33" spans="10:10">
      <c r="J33" s="86" t="s">
        <v>135</v>
      </c>
    </row>
    <row r="34" spans="10:10">
      <c r="J34" s="86" t="s">
        <v>136</v>
      </c>
    </row>
    <row r="35" spans="10:10">
      <c r="J35" s="86" t="s">
        <v>137</v>
      </c>
    </row>
    <row r="36" spans="10:10">
      <c r="J36" s="86" t="s">
        <v>137</v>
      </c>
    </row>
    <row r="37" spans="10:10">
      <c r="J37" s="86" t="s">
        <v>138</v>
      </c>
    </row>
    <row r="38" spans="10:10">
      <c r="J38" s="86" t="s">
        <v>139</v>
      </c>
    </row>
    <row r="39" spans="10:10">
      <c r="J39" s="86" t="s">
        <v>140</v>
      </c>
    </row>
    <row r="40" spans="10:10">
      <c r="J40" s="86" t="s">
        <v>141</v>
      </c>
    </row>
    <row r="41" spans="10:10">
      <c r="J41" s="86" t="s">
        <v>142</v>
      </c>
    </row>
    <row r="42" spans="10:10">
      <c r="J42" s="86" t="s">
        <v>143</v>
      </c>
    </row>
    <row r="43" spans="10:10">
      <c r="J43" s="86" t="s">
        <v>144</v>
      </c>
    </row>
    <row r="44" spans="10:10">
      <c r="J44" s="86" t="s">
        <v>145</v>
      </c>
    </row>
    <row r="45" spans="10:10">
      <c r="J45" s="86" t="s">
        <v>146</v>
      </c>
    </row>
    <row r="46" spans="10:10">
      <c r="J46" s="86" t="s">
        <v>147</v>
      </c>
    </row>
    <row r="47" spans="10:10">
      <c r="J47" s="86" t="s">
        <v>148</v>
      </c>
    </row>
    <row r="48" spans="10:10">
      <c r="J48" s="86" t="s">
        <v>149</v>
      </c>
    </row>
    <row r="49" spans="10:10">
      <c r="J49" s="86" t="s">
        <v>150</v>
      </c>
    </row>
    <row r="50" spans="10:10">
      <c r="J50" s="86" t="s">
        <v>151</v>
      </c>
    </row>
    <row r="51" spans="10:10">
      <c r="J51" s="86" t="s">
        <v>152</v>
      </c>
    </row>
    <row r="52" spans="10:10">
      <c r="J52" s="86" t="s">
        <v>153</v>
      </c>
    </row>
    <row r="53" spans="10:10">
      <c r="J53" s="86" t="s">
        <v>154</v>
      </c>
    </row>
    <row r="54" spans="10:10">
      <c r="J54" s="86" t="s">
        <v>155</v>
      </c>
    </row>
    <row r="55" spans="10:10">
      <c r="J55" s="86" t="s">
        <v>156</v>
      </c>
    </row>
    <row r="56" spans="10:10">
      <c r="J56" s="86" t="s">
        <v>157</v>
      </c>
    </row>
    <row r="57" spans="10:10">
      <c r="J57" s="86" t="s">
        <v>158</v>
      </c>
    </row>
    <row r="58" spans="10:10">
      <c r="J58" s="86" t="s">
        <v>159</v>
      </c>
    </row>
    <row r="59" spans="10:10">
      <c r="J59" s="86" t="s">
        <v>160</v>
      </c>
    </row>
    <row r="60" spans="10:10">
      <c r="J60" s="86" t="s">
        <v>161</v>
      </c>
    </row>
    <row r="61" spans="10:10">
      <c r="J61" s="86" t="s">
        <v>162</v>
      </c>
    </row>
    <row r="62" spans="10:10">
      <c r="J62" s="86" t="s">
        <v>163</v>
      </c>
    </row>
    <row r="63" spans="10:10">
      <c r="J63" s="86" t="s">
        <v>164</v>
      </c>
    </row>
    <row r="64" spans="10:10">
      <c r="J64" s="86" t="s">
        <v>165</v>
      </c>
    </row>
    <row r="65" spans="10:10">
      <c r="J65" s="86" t="s">
        <v>166</v>
      </c>
    </row>
    <row r="66" spans="10:10">
      <c r="J66" s="86" t="s">
        <v>167</v>
      </c>
    </row>
    <row r="67" spans="10:10">
      <c r="J67" s="86" t="s">
        <v>168</v>
      </c>
    </row>
    <row r="68" spans="10:10">
      <c r="J68" s="86" t="s">
        <v>169</v>
      </c>
    </row>
    <row r="69" spans="10:10">
      <c r="J69" s="86" t="s">
        <v>170</v>
      </c>
    </row>
    <row r="70" spans="10:10">
      <c r="J70" s="86" t="s">
        <v>171</v>
      </c>
    </row>
    <row r="71" spans="10:10">
      <c r="J71" s="86" t="s">
        <v>172</v>
      </c>
    </row>
    <row r="72" spans="10:10">
      <c r="J72" s="86" t="s">
        <v>173</v>
      </c>
    </row>
    <row r="73" spans="10:10">
      <c r="J73" s="86" t="s">
        <v>174</v>
      </c>
    </row>
    <row r="74" spans="10:10">
      <c r="J74" s="86" t="s">
        <v>175</v>
      </c>
    </row>
    <row r="75" spans="10:10">
      <c r="J75" s="86" t="s">
        <v>176</v>
      </c>
    </row>
    <row r="76" spans="10:10">
      <c r="J76" s="86" t="s">
        <v>177</v>
      </c>
    </row>
    <row r="77" spans="10:10">
      <c r="J77" s="86" t="s">
        <v>178</v>
      </c>
    </row>
    <row r="78" spans="10:10">
      <c r="J78" s="86" t="s">
        <v>179</v>
      </c>
    </row>
    <row r="79" spans="10:10">
      <c r="J79" s="86" t="s">
        <v>180</v>
      </c>
    </row>
    <row r="80" spans="10:10">
      <c r="J80" s="86" t="s">
        <v>181</v>
      </c>
    </row>
    <row r="81" spans="10:10">
      <c r="J81" s="86" t="s">
        <v>182</v>
      </c>
    </row>
    <row r="82" spans="10:10">
      <c r="J82" s="86" t="s">
        <v>183</v>
      </c>
    </row>
    <row r="83" spans="10:10">
      <c r="J83" s="86" t="s">
        <v>184</v>
      </c>
    </row>
    <row r="84" spans="10:10">
      <c r="J84" s="86" t="s">
        <v>185</v>
      </c>
    </row>
    <row r="85" spans="10:10">
      <c r="J85" s="86" t="s">
        <v>186</v>
      </c>
    </row>
    <row r="86" spans="10:10">
      <c r="J86" s="86" t="s">
        <v>187</v>
      </c>
    </row>
    <row r="87" spans="10:10">
      <c r="J87" s="86" t="s">
        <v>188</v>
      </c>
    </row>
    <row r="88" spans="10:10">
      <c r="J88" s="86" t="s">
        <v>189</v>
      </c>
    </row>
    <row r="89" spans="10:10">
      <c r="J89" s="86" t="s">
        <v>190</v>
      </c>
    </row>
    <row r="90" spans="10:10">
      <c r="J90" s="86" t="s">
        <v>191</v>
      </c>
    </row>
    <row r="91" spans="10:10">
      <c r="J91" s="86" t="s">
        <v>192</v>
      </c>
    </row>
    <row r="92" spans="10:10">
      <c r="J92" s="86" t="s">
        <v>193</v>
      </c>
    </row>
    <row r="93" spans="10:10">
      <c r="J93" s="86" t="s">
        <v>194</v>
      </c>
    </row>
    <row r="94" spans="10:10">
      <c r="J94" s="86" t="s">
        <v>195</v>
      </c>
    </row>
    <row r="95" spans="10:10">
      <c r="J95" s="86" t="s">
        <v>196</v>
      </c>
    </row>
    <row r="96" spans="10:10">
      <c r="J96" s="86" t="s">
        <v>197</v>
      </c>
    </row>
    <row r="97" spans="10:10">
      <c r="J97" s="86" t="s">
        <v>198</v>
      </c>
    </row>
    <row r="98" spans="10:10">
      <c r="J98" s="86" t="s">
        <v>199</v>
      </c>
    </row>
    <row r="99" spans="10:10">
      <c r="J99" s="86" t="s">
        <v>200</v>
      </c>
    </row>
    <row r="100" spans="10:10">
      <c r="J100" s="86" t="s">
        <v>201</v>
      </c>
    </row>
    <row r="101" spans="10:10">
      <c r="J101" s="86" t="s">
        <v>202</v>
      </c>
    </row>
    <row r="102" spans="10:10">
      <c r="J102" s="86" t="s">
        <v>203</v>
      </c>
    </row>
    <row r="103" spans="10:10">
      <c r="J103" s="86" t="s">
        <v>204</v>
      </c>
    </row>
    <row r="104" spans="10:10">
      <c r="J104" s="86" t="s">
        <v>205</v>
      </c>
    </row>
    <row r="105" spans="10:10">
      <c r="J105" s="86" t="s">
        <v>206</v>
      </c>
    </row>
    <row r="106" spans="10:10">
      <c r="J106" s="86" t="s">
        <v>207</v>
      </c>
    </row>
    <row r="107" spans="10:10">
      <c r="J107" s="86" t="s">
        <v>208</v>
      </c>
    </row>
    <row r="108" spans="10:10">
      <c r="J108" s="86" t="s">
        <v>209</v>
      </c>
    </row>
    <row r="109" spans="10:10">
      <c r="J109" s="86" t="s">
        <v>210</v>
      </c>
    </row>
    <row r="110" spans="10:10">
      <c r="J110" s="86" t="s">
        <v>211</v>
      </c>
    </row>
    <row r="111" spans="10:10">
      <c r="J111" s="86" t="s">
        <v>68</v>
      </c>
    </row>
    <row r="112" spans="10:10">
      <c r="J112" s="86" t="s">
        <v>212</v>
      </c>
    </row>
    <row r="113" spans="10:10">
      <c r="J113" s="86" t="s">
        <v>213</v>
      </c>
    </row>
    <row r="114" spans="10:10">
      <c r="J114" s="86" t="s">
        <v>214</v>
      </c>
    </row>
    <row r="115" spans="10:10">
      <c r="J115" s="86" t="s">
        <v>215</v>
      </c>
    </row>
    <row r="116" spans="10:10">
      <c r="J116" s="86" t="s">
        <v>216</v>
      </c>
    </row>
    <row r="117" spans="10:10">
      <c r="J117" s="86" t="s">
        <v>217</v>
      </c>
    </row>
    <row r="118" spans="10:10">
      <c r="J118" s="86" t="s">
        <v>218</v>
      </c>
    </row>
    <row r="119" spans="10:10">
      <c r="J119" s="86" t="s">
        <v>219</v>
      </c>
    </row>
    <row r="120" spans="10:10">
      <c r="J120" s="86" t="s">
        <v>220</v>
      </c>
    </row>
    <row r="121" spans="10:10">
      <c r="J121" s="86" t="s">
        <v>221</v>
      </c>
    </row>
    <row r="122" spans="10:10">
      <c r="J122" s="86" t="s">
        <v>222</v>
      </c>
    </row>
    <row r="123" spans="10:10">
      <c r="J123" s="86" t="s">
        <v>223</v>
      </c>
    </row>
    <row r="124" spans="10:10">
      <c r="J124" s="86" t="s">
        <v>224</v>
      </c>
    </row>
    <row r="125" spans="10:10">
      <c r="J125" s="86" t="s">
        <v>225</v>
      </c>
    </row>
    <row r="126" spans="10:10">
      <c r="J126" s="86" t="s">
        <v>226</v>
      </c>
    </row>
    <row r="127" spans="10:10">
      <c r="J127" s="86" t="s">
        <v>227</v>
      </c>
    </row>
    <row r="128" spans="10:10">
      <c r="J128" s="86" t="s">
        <v>228</v>
      </c>
    </row>
    <row r="129" spans="10:10">
      <c r="J129" s="86" t="s">
        <v>229</v>
      </c>
    </row>
    <row r="130" spans="10:10">
      <c r="J130" s="86" t="s">
        <v>230</v>
      </c>
    </row>
    <row r="131" spans="10:10">
      <c r="J131" s="86" t="s">
        <v>231</v>
      </c>
    </row>
    <row r="132" spans="10:10">
      <c r="J132" s="86" t="s">
        <v>232</v>
      </c>
    </row>
    <row r="133" spans="10:10">
      <c r="J133" s="86" t="s">
        <v>233</v>
      </c>
    </row>
    <row r="134" spans="10:10">
      <c r="J134" s="86" t="s">
        <v>234</v>
      </c>
    </row>
    <row r="135" spans="10:10">
      <c r="J135" s="86" t="s">
        <v>235</v>
      </c>
    </row>
    <row r="136" spans="10:10">
      <c r="J136" s="86" t="s">
        <v>236</v>
      </c>
    </row>
    <row r="137" spans="10:10">
      <c r="J137" s="86" t="s">
        <v>237</v>
      </c>
    </row>
    <row r="138" spans="10:10">
      <c r="J138" s="86" t="s">
        <v>238</v>
      </c>
    </row>
    <row r="139" spans="10:10">
      <c r="J139" s="86" t="s">
        <v>239</v>
      </c>
    </row>
    <row r="140" spans="10:10">
      <c r="J140" s="86" t="s">
        <v>240</v>
      </c>
    </row>
    <row r="141" spans="10:10">
      <c r="J141" s="86" t="s">
        <v>241</v>
      </c>
    </row>
    <row r="142" spans="10:10">
      <c r="J142" s="86" t="s">
        <v>242</v>
      </c>
    </row>
    <row r="143" spans="10:10">
      <c r="J143" s="86" t="s">
        <v>243</v>
      </c>
    </row>
    <row r="144" spans="10:10">
      <c r="J144" s="412"/>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5"/>
  <sheetViews>
    <sheetView showGridLines="0" view="pageBreakPreview" topLeftCell="B1" zoomScaleNormal="40" zoomScaleSheetLayoutView="100" workbookViewId="0">
      <pane ySplit="2" topLeftCell="A32" activePane="bottomLeft" state="frozen"/>
      <selection activeCell="E22" sqref="E22"/>
      <selection pane="bottomLeft" activeCell="E34" sqref="E34:I34"/>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5703125" style="36" customWidth="1"/>
    <col min="15" max="15" width="3" style="36"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49" t="str">
        <f>+"Dashboard: "&amp;" "&amp;+IF('Introducerea datelor'!C4="Please Select","",'Introducerea datelor'!C4&amp;" - ")&amp;+IF('Introducerea datelor'!G6="Please Select","",'Introducerea datelor'!G6)</f>
        <v>Dashboard:  Moldova - HIV / AIDS</v>
      </c>
      <c r="C2" s="549"/>
      <c r="D2" s="549"/>
      <c r="E2" s="549"/>
      <c r="F2" s="549"/>
      <c r="G2" s="549"/>
      <c r="H2" s="549"/>
      <c r="I2" s="549"/>
      <c r="J2" s="549"/>
      <c r="K2" s="549"/>
      <c r="L2" s="549"/>
      <c r="M2" s="549"/>
    </row>
    <row r="3" spans="1:15" ht="15.75" customHeight="1">
      <c r="A3" s="3"/>
      <c r="B3" s="221"/>
      <c r="C3" s="221"/>
      <c r="D3" s="221"/>
      <c r="E3" s="221"/>
      <c r="F3" s="221"/>
      <c r="G3" s="221"/>
      <c r="H3" s="221"/>
      <c r="I3" s="221"/>
      <c r="J3" s="221"/>
      <c r="K3" s="222"/>
      <c r="L3" s="222"/>
      <c r="M3" s="3"/>
    </row>
    <row r="5" spans="1:15" ht="23.25">
      <c r="B5" s="548" t="s">
        <v>261</v>
      </c>
      <c r="C5" s="548"/>
      <c r="D5" s="548"/>
      <c r="E5" s="548"/>
      <c r="F5" s="548"/>
      <c r="G5" s="548"/>
      <c r="H5" s="548"/>
      <c r="I5" s="548"/>
      <c r="J5" s="548"/>
      <c r="K5" s="548"/>
      <c r="L5" s="548"/>
      <c r="M5" s="548"/>
      <c r="N5" s="548"/>
      <c r="O5" s="548"/>
    </row>
    <row r="7" spans="1:15" ht="21">
      <c r="B7" s="550" t="s">
        <v>250</v>
      </c>
      <c r="C7" s="551"/>
      <c r="D7" s="552"/>
      <c r="E7" s="550" t="s">
        <v>251</v>
      </c>
      <c r="F7" s="551"/>
      <c r="G7" s="551"/>
      <c r="H7" s="551"/>
      <c r="I7" s="552"/>
      <c r="J7" s="550" t="s">
        <v>252</v>
      </c>
      <c r="K7" s="551"/>
      <c r="L7" s="552"/>
      <c r="M7" s="550" t="s">
        <v>302</v>
      </c>
      <c r="N7" s="551"/>
      <c r="O7" s="552"/>
    </row>
    <row r="8" spans="1:15" ht="92.25" customHeight="1">
      <c r="B8" s="561" t="str">
        <f>+'Introducerea datelor'!B27</f>
        <v>F1: Bugetul și debursările de către Fondul Global</v>
      </c>
      <c r="C8" s="562"/>
      <c r="D8" s="563"/>
      <c r="E8" s="553" t="s">
        <v>326</v>
      </c>
      <c r="F8" s="554"/>
      <c r="G8" s="554"/>
      <c r="H8" s="554"/>
      <c r="I8" s="555"/>
      <c r="J8" s="536" t="s">
        <v>303</v>
      </c>
      <c r="K8" s="537"/>
      <c r="L8" s="538"/>
      <c r="M8" s="536" t="s">
        <v>327</v>
      </c>
      <c r="N8" s="537"/>
      <c r="O8" s="538"/>
    </row>
    <row r="9" spans="1:15" ht="117.75" customHeight="1">
      <c r="B9" s="561" t="str">
        <f>+'Introducerea datelor'!B36</f>
        <v>F2: Bugetul și cheltuielile actuale după Obiectivele Grantului</v>
      </c>
      <c r="C9" s="562"/>
      <c r="D9" s="563"/>
      <c r="E9" s="544" t="s">
        <v>311</v>
      </c>
      <c r="F9" s="545"/>
      <c r="G9" s="545"/>
      <c r="H9" s="545"/>
      <c r="I9" s="546"/>
      <c r="J9" s="536" t="s">
        <v>305</v>
      </c>
      <c r="K9" s="537"/>
      <c r="L9" s="538"/>
      <c r="M9" s="536" t="s">
        <v>327</v>
      </c>
      <c r="N9" s="537"/>
      <c r="O9" s="538"/>
    </row>
    <row r="10" spans="1:15" ht="174.75" customHeight="1">
      <c r="B10" s="556" t="str">
        <f>+'Introducerea datelor'!B49</f>
        <v>F3: Debursări și cheltuieli</v>
      </c>
      <c r="C10" s="559"/>
      <c r="D10" s="560"/>
      <c r="E10" s="544" t="s">
        <v>328</v>
      </c>
      <c r="F10" s="545"/>
      <c r="G10" s="545"/>
      <c r="H10" s="545"/>
      <c r="I10" s="546"/>
      <c r="J10" s="536" t="s">
        <v>312</v>
      </c>
      <c r="K10" s="537"/>
      <c r="L10" s="538"/>
      <c r="M10" s="536" t="s">
        <v>304</v>
      </c>
      <c r="N10" s="537"/>
      <c r="O10" s="538"/>
    </row>
    <row r="11" spans="1:15" ht="227.25" customHeight="1">
      <c r="B11" s="556" t="str">
        <f>+'Introducerea datelor'!B58</f>
        <v xml:space="preserve">F4: Ultima perioadă de raportare și debursare a RP </v>
      </c>
      <c r="C11" s="557"/>
      <c r="D11" s="558"/>
      <c r="E11" s="544" t="s">
        <v>332</v>
      </c>
      <c r="F11" s="545"/>
      <c r="G11" s="545"/>
      <c r="H11" s="545"/>
      <c r="I11" s="546"/>
      <c r="J11" s="536" t="s">
        <v>313</v>
      </c>
      <c r="K11" s="537"/>
      <c r="L11" s="538"/>
      <c r="M11" s="536" t="s">
        <v>255</v>
      </c>
      <c r="N11" s="537"/>
      <c r="O11" s="538"/>
    </row>
    <row r="12" spans="1:15" s="19" customFormat="1">
      <c r="B12" s="535"/>
      <c r="C12" s="535"/>
      <c r="D12" s="535"/>
      <c r="E12" s="539"/>
      <c r="F12" s="539"/>
      <c r="G12" s="539"/>
      <c r="H12" s="539"/>
      <c r="I12" s="539"/>
      <c r="J12" s="539"/>
      <c r="K12" s="539"/>
      <c r="L12" s="539"/>
      <c r="M12" s="539"/>
      <c r="N12" s="539"/>
      <c r="O12" s="539"/>
    </row>
    <row r="13" spans="1:15" s="19" customFormat="1">
      <c r="B13" s="547"/>
      <c r="C13" s="547"/>
      <c r="D13" s="547"/>
      <c r="E13" s="540"/>
      <c r="F13" s="540"/>
      <c r="G13" s="540"/>
      <c r="H13" s="540"/>
      <c r="I13" s="540"/>
      <c r="J13" s="540"/>
      <c r="K13" s="540"/>
      <c r="L13" s="540"/>
      <c r="M13" s="540"/>
      <c r="N13" s="540"/>
      <c r="O13" s="540"/>
    </row>
    <row r="14" spans="1:15" s="19" customFormat="1">
      <c r="B14" s="547"/>
      <c r="C14" s="547"/>
      <c r="D14" s="547"/>
      <c r="E14" s="540"/>
      <c r="F14" s="540"/>
      <c r="G14" s="540"/>
      <c r="H14" s="540"/>
      <c r="I14" s="540"/>
      <c r="J14" s="540"/>
      <c r="K14" s="540"/>
      <c r="L14" s="540"/>
      <c r="M14" s="540"/>
      <c r="N14" s="540"/>
      <c r="O14" s="540"/>
    </row>
    <row r="15" spans="1:15" s="19" customFormat="1">
      <c r="B15" s="547"/>
      <c r="C15" s="547"/>
      <c r="D15" s="547"/>
      <c r="E15" s="540"/>
      <c r="F15" s="540"/>
      <c r="G15" s="540"/>
      <c r="H15" s="540"/>
      <c r="I15" s="540"/>
      <c r="J15" s="540"/>
      <c r="K15" s="540"/>
      <c r="L15" s="540"/>
      <c r="M15" s="540"/>
      <c r="N15" s="540"/>
      <c r="O15" s="540"/>
    </row>
    <row r="16" spans="1:15" ht="23.25">
      <c r="B16" s="548" t="s">
        <v>262</v>
      </c>
      <c r="C16" s="548"/>
      <c r="D16" s="548"/>
      <c r="E16" s="548"/>
      <c r="F16" s="548"/>
      <c r="G16" s="548"/>
      <c r="H16" s="548"/>
      <c r="I16" s="548"/>
      <c r="J16" s="548"/>
      <c r="K16" s="548"/>
      <c r="L16" s="548"/>
      <c r="M16" s="548"/>
      <c r="N16" s="548"/>
      <c r="O16" s="548"/>
    </row>
    <row r="18" spans="1:15" ht="21">
      <c r="B18" s="541" t="s">
        <v>250</v>
      </c>
      <c r="C18" s="542"/>
      <c r="D18" s="543"/>
      <c r="E18" s="541" t="s">
        <v>251</v>
      </c>
      <c r="F18" s="542"/>
      <c r="G18" s="542"/>
      <c r="H18" s="542"/>
      <c r="I18" s="543"/>
      <c r="J18" s="541" t="s">
        <v>252</v>
      </c>
      <c r="K18" s="542"/>
      <c r="L18" s="543"/>
      <c r="M18" s="541" t="s">
        <v>253</v>
      </c>
      <c r="N18" s="542"/>
      <c r="O18" s="543"/>
    </row>
    <row r="19" spans="1:15" ht="114" customHeight="1">
      <c r="B19" s="561" t="str">
        <f>+'Introducerea datelor'!B69</f>
        <v xml:space="preserve">M1: Statutul Condițiilor Precedente și a Acțiunilor Prestabilite în Timp </v>
      </c>
      <c r="C19" s="602"/>
      <c r="D19" s="603"/>
      <c r="E19" s="544" t="s">
        <v>260</v>
      </c>
      <c r="F19" s="545"/>
      <c r="G19" s="545"/>
      <c r="H19" s="545"/>
      <c r="I19" s="546"/>
      <c r="J19" s="536" t="s">
        <v>306</v>
      </c>
      <c r="K19" s="537"/>
      <c r="L19" s="538"/>
      <c r="M19" s="536" t="s">
        <v>307</v>
      </c>
      <c r="N19" s="537"/>
      <c r="O19" s="538"/>
    </row>
    <row r="20" spans="1:15" ht="102.75" customHeight="1">
      <c r="B20" s="561" t="str">
        <f>+'Introducerea datelor'!B76</f>
        <v xml:space="preserve">M2: Statutul pozițiilor cheie ale RP </v>
      </c>
      <c r="C20" s="602"/>
      <c r="D20" s="603"/>
      <c r="E20" s="544" t="s">
        <v>329</v>
      </c>
      <c r="F20" s="545"/>
      <c r="G20" s="545"/>
      <c r="H20" s="545"/>
      <c r="I20" s="546"/>
      <c r="J20" s="536" t="s">
        <v>257</v>
      </c>
      <c r="K20" s="537"/>
      <c r="L20" s="538"/>
      <c r="M20" s="536" t="s">
        <v>256</v>
      </c>
      <c r="N20" s="537"/>
      <c r="O20" s="538"/>
    </row>
    <row r="21" spans="1:15" ht="111.75" customHeight="1">
      <c r="B21" s="561" t="str">
        <f>+'Introducerea datelor'!B81</f>
        <v xml:space="preserve">M3: Aranjamente contractuale (SR) </v>
      </c>
      <c r="C21" s="602"/>
      <c r="D21" s="603"/>
      <c r="E21" s="604" t="s">
        <v>0</v>
      </c>
      <c r="F21" s="545"/>
      <c r="G21" s="545"/>
      <c r="H21" s="545"/>
      <c r="I21" s="546"/>
      <c r="J21" s="536" t="s">
        <v>308</v>
      </c>
      <c r="K21" s="537"/>
      <c r="L21" s="538"/>
      <c r="M21" s="536" t="s">
        <v>309</v>
      </c>
      <c r="N21" s="537"/>
      <c r="O21" s="538"/>
    </row>
    <row r="22" spans="1:15" ht="74.25" customHeight="1">
      <c r="B22" s="561" t="str">
        <f>+'Introducerea datelor'!B86</f>
        <v>M4: Numărul rapoartelor complete recepționate la timp</v>
      </c>
      <c r="C22" s="602"/>
      <c r="D22" s="603"/>
      <c r="E22" s="604" t="s">
        <v>333</v>
      </c>
      <c r="F22" s="611"/>
      <c r="G22" s="611"/>
      <c r="H22" s="611"/>
      <c r="I22" s="612"/>
      <c r="J22" s="536" t="s">
        <v>314</v>
      </c>
      <c r="K22" s="537"/>
      <c r="L22" s="538"/>
      <c r="M22" s="536" t="s">
        <v>258</v>
      </c>
      <c r="N22" s="537"/>
      <c r="O22" s="538"/>
    </row>
    <row r="23" spans="1:15" ht="119.25" customHeight="1">
      <c r="B23" s="605" t="str">
        <f>+'Introducerea datelor'!B92</f>
        <v xml:space="preserve">M5: Bugetul și Procurarea produselor medicale, echipamentului medical, medicamentelor și produselor farmaceutice </v>
      </c>
      <c r="C23" s="606"/>
      <c r="D23" s="607"/>
      <c r="E23" s="613" t="s">
        <v>315</v>
      </c>
      <c r="F23" s="614"/>
      <c r="G23" s="614"/>
      <c r="H23" s="614"/>
      <c r="I23" s="615"/>
      <c r="J23" s="625" t="s">
        <v>254</v>
      </c>
      <c r="K23" s="626"/>
      <c r="L23" s="627"/>
      <c r="M23" s="625" t="s">
        <v>259</v>
      </c>
      <c r="N23" s="626"/>
      <c r="O23" s="627"/>
    </row>
    <row r="24" spans="1:15" ht="66.75" customHeight="1">
      <c r="B24" s="608"/>
      <c r="C24" s="609"/>
      <c r="D24" s="610"/>
      <c r="E24" s="616" t="s">
        <v>310</v>
      </c>
      <c r="F24" s="617"/>
      <c r="G24" s="617"/>
      <c r="H24" s="617"/>
      <c r="I24" s="618"/>
      <c r="J24" s="628"/>
      <c r="K24" s="629"/>
      <c r="L24" s="630"/>
      <c r="M24" s="628"/>
      <c r="N24" s="629"/>
      <c r="O24" s="630"/>
    </row>
    <row r="25" spans="1:15" ht="145.5" customHeight="1">
      <c r="B25" s="561" t="str">
        <f>+'Introducerea datelor'!B105</f>
        <v>M6: Diferență între stocul curent și stocul de siguranță</v>
      </c>
      <c r="C25" s="602"/>
      <c r="D25" s="603"/>
      <c r="E25" s="637" t="s">
        <v>334</v>
      </c>
      <c r="F25" s="638"/>
      <c r="G25" s="638"/>
      <c r="H25" s="638"/>
      <c r="I25" s="639"/>
      <c r="J25" s="622" t="s">
        <v>316</v>
      </c>
      <c r="K25" s="623"/>
      <c r="L25" s="624"/>
      <c r="M25" s="619" t="s">
        <v>317</v>
      </c>
      <c r="N25" s="620"/>
      <c r="O25" s="621"/>
    </row>
    <row r="29" spans="1:15" ht="18.75">
      <c r="B29" s="252"/>
    </row>
    <row r="30" spans="1:15" ht="23.25">
      <c r="B30" s="548" t="s">
        <v>360</v>
      </c>
      <c r="C30" s="548"/>
      <c r="D30" s="548"/>
      <c r="E30" s="548"/>
      <c r="F30" s="548"/>
      <c r="G30" s="548"/>
      <c r="H30" s="548"/>
      <c r="I30" s="548"/>
      <c r="J30" s="548"/>
      <c r="K30" s="548"/>
      <c r="L30" s="548"/>
      <c r="M30" s="548"/>
      <c r="N30" s="548"/>
      <c r="O30" s="548"/>
    </row>
    <row r="32" spans="1:15" ht="28.5" customHeight="1">
      <c r="A32" s="246"/>
      <c r="B32" s="567" t="s">
        <v>301</v>
      </c>
      <c r="C32" s="568"/>
      <c r="D32" s="569"/>
      <c r="E32" s="570" t="s">
        <v>504</v>
      </c>
      <c r="F32" s="571"/>
      <c r="G32" s="571"/>
      <c r="H32" s="571"/>
      <c r="I32" s="572"/>
      <c r="J32" s="570" t="s">
        <v>353</v>
      </c>
      <c r="K32" s="571"/>
      <c r="L32" s="572"/>
      <c r="M32" s="570" t="s">
        <v>356</v>
      </c>
      <c r="N32" s="571"/>
      <c r="O32" s="572"/>
    </row>
    <row r="33" spans="1:15" ht="111" customHeight="1">
      <c r="A33" s="247"/>
      <c r="B33" s="589" t="s">
        <v>501</v>
      </c>
      <c r="C33" s="592"/>
      <c r="D33" s="593"/>
      <c r="E33" s="636" t="s">
        <v>539</v>
      </c>
      <c r="F33" s="597"/>
      <c r="G33" s="597"/>
      <c r="H33" s="597"/>
      <c r="I33" s="598"/>
      <c r="J33" s="582" t="s">
        <v>354</v>
      </c>
      <c r="K33" s="583"/>
      <c r="L33" s="584"/>
      <c r="M33" s="588" t="s">
        <v>350</v>
      </c>
      <c r="N33" s="586"/>
      <c r="O33" s="587"/>
    </row>
    <row r="34" spans="1:15" ht="111" customHeight="1">
      <c r="A34" s="247"/>
      <c r="B34" s="589" t="s">
        <v>502</v>
      </c>
      <c r="C34" s="592"/>
      <c r="D34" s="593"/>
      <c r="E34" s="636" t="s">
        <v>541</v>
      </c>
      <c r="F34" s="597"/>
      <c r="G34" s="597"/>
      <c r="H34" s="597"/>
      <c r="I34" s="598"/>
      <c r="J34" s="582" t="s">
        <v>354</v>
      </c>
      <c r="K34" s="583"/>
      <c r="L34" s="584"/>
      <c r="M34" s="588" t="s">
        <v>351</v>
      </c>
      <c r="N34" s="586"/>
      <c r="O34" s="587"/>
    </row>
    <row r="35" spans="1:15" ht="111" customHeight="1">
      <c r="A35" s="247"/>
      <c r="B35" s="599" t="s">
        <v>362</v>
      </c>
      <c r="C35" s="655"/>
      <c r="D35" s="656"/>
      <c r="E35" s="596" t="s">
        <v>540</v>
      </c>
      <c r="F35" s="597"/>
      <c r="G35" s="597"/>
      <c r="H35" s="597"/>
      <c r="I35" s="598"/>
      <c r="J35" s="582" t="s">
        <v>355</v>
      </c>
      <c r="K35" s="583"/>
      <c r="L35" s="584"/>
      <c r="M35" s="585" t="s">
        <v>373</v>
      </c>
      <c r="N35" s="586"/>
      <c r="O35" s="587"/>
    </row>
    <row r="36" spans="1:15" ht="124.5" hidden="1" customHeight="1">
      <c r="A36" s="247"/>
      <c r="B36" s="589" t="s">
        <v>361</v>
      </c>
      <c r="C36" s="590"/>
      <c r="D36" s="591"/>
      <c r="E36" s="588" t="s">
        <v>349</v>
      </c>
      <c r="F36" s="586"/>
      <c r="G36" s="586"/>
      <c r="H36" s="586"/>
      <c r="I36" s="587"/>
      <c r="J36" s="582" t="s">
        <v>354</v>
      </c>
      <c r="K36" s="583"/>
      <c r="L36" s="584"/>
      <c r="M36" s="588" t="s">
        <v>352</v>
      </c>
      <c r="N36" s="586"/>
      <c r="O36" s="587"/>
    </row>
    <row r="37" spans="1:15" ht="9.75" customHeight="1">
      <c r="A37" s="247"/>
      <c r="B37" s="633"/>
      <c r="C37" s="634"/>
      <c r="D37" s="635"/>
      <c r="E37" s="473"/>
      <c r="F37" s="474"/>
      <c r="G37" s="474"/>
      <c r="H37" s="474"/>
      <c r="I37" s="475"/>
      <c r="J37" s="476"/>
      <c r="K37" s="477"/>
      <c r="L37" s="478"/>
      <c r="M37" s="476"/>
      <c r="N37" s="477"/>
      <c r="O37" s="478"/>
    </row>
    <row r="38" spans="1:15" ht="91.5" customHeight="1">
      <c r="A38" s="247"/>
      <c r="B38" s="589" t="s">
        <v>497</v>
      </c>
      <c r="C38" s="592"/>
      <c r="D38" s="593"/>
      <c r="E38" s="585" t="s">
        <v>365</v>
      </c>
      <c r="F38" s="631"/>
      <c r="G38" s="631"/>
      <c r="H38" s="631"/>
      <c r="I38" s="632"/>
      <c r="J38" s="582" t="s">
        <v>354</v>
      </c>
      <c r="K38" s="583"/>
      <c r="L38" s="584"/>
      <c r="M38" s="486" t="s">
        <v>377</v>
      </c>
      <c r="N38" s="479"/>
      <c r="O38" s="480"/>
    </row>
    <row r="39" spans="1:15" ht="81.75" customHeight="1">
      <c r="A39" s="247"/>
      <c r="B39" s="589" t="s">
        <v>500</v>
      </c>
      <c r="C39" s="592"/>
      <c r="D39" s="593"/>
      <c r="E39" s="640" t="s">
        <v>368</v>
      </c>
      <c r="F39" s="641"/>
      <c r="G39" s="641"/>
      <c r="H39" s="641"/>
      <c r="I39" s="642"/>
      <c r="J39" s="582" t="s">
        <v>354</v>
      </c>
      <c r="K39" s="583"/>
      <c r="L39" s="584"/>
      <c r="M39" s="585" t="s">
        <v>374</v>
      </c>
      <c r="N39" s="586"/>
      <c r="O39" s="587"/>
    </row>
    <row r="40" spans="1:15" ht="108" customHeight="1">
      <c r="A40" s="247"/>
      <c r="B40" s="589" t="s">
        <v>498</v>
      </c>
      <c r="C40" s="592"/>
      <c r="D40" s="593"/>
      <c r="E40" s="596" t="s">
        <v>366</v>
      </c>
      <c r="F40" s="597"/>
      <c r="G40" s="597"/>
      <c r="H40" s="597"/>
      <c r="I40" s="598"/>
      <c r="J40" s="582" t="s">
        <v>354</v>
      </c>
      <c r="K40" s="583"/>
      <c r="L40" s="584"/>
      <c r="M40" s="585" t="s">
        <v>376</v>
      </c>
      <c r="N40" s="586"/>
      <c r="O40" s="587"/>
    </row>
    <row r="41" spans="1:15" ht="113.25" customHeight="1">
      <c r="A41" s="247"/>
      <c r="B41" s="589" t="s">
        <v>499</v>
      </c>
      <c r="C41" s="592"/>
      <c r="D41" s="593"/>
      <c r="E41" s="585" t="s">
        <v>367</v>
      </c>
      <c r="F41" s="586"/>
      <c r="G41" s="586"/>
      <c r="H41" s="586"/>
      <c r="I41" s="587"/>
      <c r="J41" s="582" t="s">
        <v>354</v>
      </c>
      <c r="K41" s="583"/>
      <c r="L41" s="584"/>
      <c r="M41" s="486" t="s">
        <v>375</v>
      </c>
      <c r="N41" s="479"/>
      <c r="O41" s="480"/>
    </row>
    <row r="42" spans="1:15" ht="109.5" customHeight="1">
      <c r="A42" s="247"/>
      <c r="B42" s="589" t="s">
        <v>503</v>
      </c>
      <c r="C42" s="592"/>
      <c r="D42" s="593"/>
      <c r="E42" s="657" t="s">
        <v>528</v>
      </c>
      <c r="F42" s="658"/>
      <c r="G42" s="658"/>
      <c r="H42" s="658"/>
      <c r="I42" s="659"/>
      <c r="J42" s="582" t="s">
        <v>354</v>
      </c>
      <c r="K42" s="583"/>
      <c r="L42" s="584"/>
      <c r="M42" s="588" t="s">
        <v>496</v>
      </c>
      <c r="N42" s="586"/>
      <c r="O42" s="587"/>
    </row>
    <row r="44" spans="1:15" ht="84" hidden="1" customHeight="1">
      <c r="A44" s="247"/>
      <c r="B44" s="599" t="s">
        <v>363</v>
      </c>
      <c r="C44" s="600"/>
      <c r="D44" s="601"/>
      <c r="E44" s="585" t="s">
        <v>369</v>
      </c>
      <c r="F44" s="594"/>
      <c r="G44" s="594"/>
      <c r="H44" s="594"/>
      <c r="I44" s="595"/>
      <c r="J44" s="582" t="s">
        <v>354</v>
      </c>
      <c r="K44" s="583"/>
      <c r="L44" s="584"/>
      <c r="M44" s="585" t="s">
        <v>372</v>
      </c>
      <c r="N44" s="594"/>
      <c r="O44" s="595"/>
    </row>
    <row r="45" spans="1:15" ht="88.5" hidden="1" customHeight="1">
      <c r="A45" s="247"/>
      <c r="B45" s="599" t="s">
        <v>364</v>
      </c>
      <c r="C45" s="655"/>
      <c r="D45" s="656"/>
      <c r="E45" s="596" t="s">
        <v>370</v>
      </c>
      <c r="F45" s="597"/>
      <c r="G45" s="597"/>
      <c r="H45" s="597"/>
      <c r="I45" s="598"/>
      <c r="J45" s="582" t="s">
        <v>355</v>
      </c>
      <c r="K45" s="583"/>
      <c r="L45" s="584"/>
      <c r="M45" s="486" t="s">
        <v>371</v>
      </c>
      <c r="N45" s="479"/>
      <c r="O45" s="480"/>
    </row>
    <row r="46" spans="1:15" ht="64.5" hidden="1" customHeight="1">
      <c r="A46" s="247"/>
      <c r="B46" s="652"/>
      <c r="C46" s="653"/>
      <c r="D46" s="654"/>
      <c r="E46" s="649"/>
      <c r="F46" s="650"/>
      <c r="G46" s="650"/>
      <c r="H46" s="650"/>
      <c r="I46" s="651"/>
      <c r="J46" s="646"/>
      <c r="K46" s="647"/>
      <c r="L46" s="648"/>
      <c r="M46" s="260"/>
      <c r="N46" s="261"/>
      <c r="O46" s="262"/>
    </row>
    <row r="47" spans="1:15" ht="49.5" hidden="1" customHeight="1">
      <c r="B47" s="652"/>
      <c r="C47" s="653"/>
      <c r="D47" s="654"/>
      <c r="E47" s="649"/>
      <c r="F47" s="650"/>
      <c r="G47" s="650"/>
      <c r="H47" s="650"/>
      <c r="I47" s="651"/>
      <c r="J47" s="646"/>
      <c r="K47" s="647"/>
      <c r="L47" s="648"/>
      <c r="M47" s="260"/>
      <c r="N47" s="261"/>
      <c r="O47" s="262"/>
    </row>
    <row r="48" spans="1:15" ht="30" hidden="1" customHeight="1">
      <c r="B48" s="643"/>
      <c r="C48" s="644"/>
      <c r="D48" s="645"/>
      <c r="E48" s="248"/>
      <c r="F48" s="249"/>
      <c r="G48" s="249"/>
      <c r="H48" s="249"/>
      <c r="I48" s="250"/>
      <c r="J48" s="260"/>
      <c r="K48" s="261"/>
      <c r="L48" s="262"/>
      <c r="M48" s="260"/>
      <c r="N48" s="261"/>
      <c r="O48" s="262"/>
    </row>
    <row r="49" spans="2:15" ht="44.25" hidden="1" customHeight="1">
      <c r="B49" s="576" t="s">
        <v>271</v>
      </c>
      <c r="C49" s="577"/>
      <c r="D49" s="578"/>
      <c r="E49" s="579" t="s">
        <v>251</v>
      </c>
      <c r="F49" s="580"/>
      <c r="G49" s="580"/>
      <c r="H49" s="580"/>
      <c r="I49" s="581"/>
      <c r="J49" s="579" t="s">
        <v>252</v>
      </c>
      <c r="K49" s="580"/>
      <c r="L49" s="581"/>
      <c r="M49" s="579" t="s">
        <v>253</v>
      </c>
      <c r="N49" s="580"/>
      <c r="O49" s="581"/>
    </row>
    <row r="50" spans="2:15" ht="33.75" hidden="1" customHeight="1">
      <c r="B50" s="243"/>
      <c r="C50" s="244"/>
      <c r="D50" s="244"/>
      <c r="E50" s="237"/>
      <c r="F50" s="239"/>
      <c r="G50" s="239"/>
      <c r="H50" s="239"/>
      <c r="I50" s="239"/>
      <c r="J50" s="237"/>
      <c r="K50" s="237"/>
      <c r="L50" s="238"/>
      <c r="M50" s="236"/>
      <c r="N50" s="237"/>
      <c r="O50" s="238"/>
    </row>
    <row r="51" spans="2:15" ht="15.75" customHeight="1">
      <c r="B51" s="573" t="s">
        <v>270</v>
      </c>
      <c r="C51" s="574"/>
      <c r="D51" s="574"/>
      <c r="E51" s="574"/>
      <c r="F51" s="574"/>
      <c r="G51" s="574"/>
      <c r="H51" s="574"/>
      <c r="I51" s="574"/>
      <c r="J51" s="574"/>
      <c r="K51" s="574"/>
      <c r="L51" s="575"/>
      <c r="M51" s="564" t="s">
        <v>263</v>
      </c>
      <c r="N51" s="565"/>
      <c r="O51" s="566"/>
    </row>
    <row r="52" spans="2:15">
      <c r="D52" s="223"/>
    </row>
    <row r="54" spans="2:15">
      <c r="D54" s="223"/>
    </row>
    <row r="55" spans="2:15">
      <c r="D55" s="223"/>
    </row>
  </sheetData>
  <mergeCells count="128">
    <mergeCell ref="M44:O44"/>
    <mergeCell ref="B42:D42"/>
    <mergeCell ref="E42:I42"/>
    <mergeCell ref="J42:L42"/>
    <mergeCell ref="M42:O42"/>
    <mergeCell ref="B35:D35"/>
    <mergeCell ref="B39:D39"/>
    <mergeCell ref="E35:I35"/>
    <mergeCell ref="J44:L44"/>
    <mergeCell ref="B48:D48"/>
    <mergeCell ref="J45:L45"/>
    <mergeCell ref="J46:L46"/>
    <mergeCell ref="J47:L47"/>
    <mergeCell ref="E46:I46"/>
    <mergeCell ref="B46:D46"/>
    <mergeCell ref="B47:D47"/>
    <mergeCell ref="E47:I47"/>
    <mergeCell ref="B45:D45"/>
    <mergeCell ref="B25:D25"/>
    <mergeCell ref="B33:D33"/>
    <mergeCell ref="B34:D34"/>
    <mergeCell ref="E38:I38"/>
    <mergeCell ref="E36:I36"/>
    <mergeCell ref="J39:L39"/>
    <mergeCell ref="M39:O39"/>
    <mergeCell ref="B41:D41"/>
    <mergeCell ref="M40:O40"/>
    <mergeCell ref="E41:I41"/>
    <mergeCell ref="B38:D38"/>
    <mergeCell ref="J38:L38"/>
    <mergeCell ref="J41:L41"/>
    <mergeCell ref="E40:I40"/>
    <mergeCell ref="J40:L40"/>
    <mergeCell ref="B37:D37"/>
    <mergeCell ref="E33:I33"/>
    <mergeCell ref="E34:I34"/>
    <mergeCell ref="E25:I25"/>
    <mergeCell ref="E39:I39"/>
    <mergeCell ref="J20:L20"/>
    <mergeCell ref="M20:O20"/>
    <mergeCell ref="M25:O25"/>
    <mergeCell ref="J25:L25"/>
    <mergeCell ref="J21:L21"/>
    <mergeCell ref="M21:O21"/>
    <mergeCell ref="J23:L24"/>
    <mergeCell ref="M22:O22"/>
    <mergeCell ref="M23:O24"/>
    <mergeCell ref="J22:L22"/>
    <mergeCell ref="B20:D20"/>
    <mergeCell ref="E20:I20"/>
    <mergeCell ref="B21:D21"/>
    <mergeCell ref="E21:I21"/>
    <mergeCell ref="B22:D22"/>
    <mergeCell ref="B23:D24"/>
    <mergeCell ref="B14:D14"/>
    <mergeCell ref="E14:I14"/>
    <mergeCell ref="B19:D19"/>
    <mergeCell ref="E22:I22"/>
    <mergeCell ref="E23:I23"/>
    <mergeCell ref="E24:I24"/>
    <mergeCell ref="M51:O51"/>
    <mergeCell ref="B30:O30"/>
    <mergeCell ref="B32:D32"/>
    <mergeCell ref="E32:I32"/>
    <mergeCell ref="J32:L32"/>
    <mergeCell ref="M32:O32"/>
    <mergeCell ref="B51:L51"/>
    <mergeCell ref="B49:D49"/>
    <mergeCell ref="E49:I49"/>
    <mergeCell ref="J49:L49"/>
    <mergeCell ref="M49:O49"/>
    <mergeCell ref="J35:L35"/>
    <mergeCell ref="M35:O35"/>
    <mergeCell ref="M36:O36"/>
    <mergeCell ref="M33:O33"/>
    <mergeCell ref="M34:O34"/>
    <mergeCell ref="J33:L33"/>
    <mergeCell ref="J34:L34"/>
    <mergeCell ref="B36:D36"/>
    <mergeCell ref="J36:L36"/>
    <mergeCell ref="B40:D40"/>
    <mergeCell ref="E44:I44"/>
    <mergeCell ref="E45:I45"/>
    <mergeCell ref="B44:D4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1"/>
  <sheetViews>
    <sheetView showGridLines="0" topLeftCell="C128" zoomScaleNormal="100" zoomScalePageLayoutView="10" workbookViewId="0">
      <selection activeCell="P145" sqref="P145"/>
    </sheetView>
  </sheetViews>
  <sheetFormatPr defaultColWidth="11" defaultRowHeight="15"/>
  <cols>
    <col min="1" max="1" width="2.7109375" customWidth="1"/>
    <col min="2" max="2" width="46.140625" customWidth="1"/>
    <col min="3" max="6" width="16.28515625" customWidth="1"/>
    <col min="7" max="7" width="18" customWidth="1"/>
    <col min="8" max="13" width="16.28515625" customWidth="1"/>
    <col min="14" max="14" width="16.28515625" style="36" customWidth="1"/>
    <col min="15" max="15" width="15.5703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96" t="s">
        <v>458</v>
      </c>
      <c r="C2" s="696"/>
      <c r="D2" s="696"/>
      <c r="E2" s="696"/>
      <c r="F2" s="696"/>
      <c r="G2" s="696"/>
      <c r="H2" s="696"/>
      <c r="I2" s="696"/>
      <c r="J2" s="696"/>
      <c r="K2" s="278"/>
      <c r="L2" s="278"/>
      <c r="M2" s="278"/>
    </row>
    <row r="3" spans="1:13" ht="4.5" customHeight="1">
      <c r="A3" s="3"/>
      <c r="B3" s="3"/>
      <c r="C3" s="3"/>
      <c r="D3" s="3"/>
      <c r="E3" s="3"/>
      <c r="F3" s="3"/>
      <c r="G3" s="3"/>
      <c r="H3" s="3"/>
      <c r="I3" s="3"/>
      <c r="J3" s="3"/>
      <c r="K3" s="3"/>
      <c r="L3" s="3"/>
      <c r="M3" s="3"/>
    </row>
    <row r="4" spans="1:13" ht="60.75" customHeight="1">
      <c r="A4" s="3"/>
      <c r="B4" s="276" t="s">
        <v>459</v>
      </c>
      <c r="C4" s="710" t="s">
        <v>188</v>
      </c>
      <c r="D4" s="711"/>
      <c r="E4" s="702" t="s">
        <v>464</v>
      </c>
      <c r="F4" s="702"/>
      <c r="G4" s="712" t="s">
        <v>348</v>
      </c>
      <c r="H4" s="713"/>
      <c r="I4" s="713"/>
      <c r="J4" s="714"/>
      <c r="K4" s="508"/>
      <c r="L4" s="3"/>
      <c r="M4" s="3"/>
    </row>
    <row r="5" spans="1:13" ht="3" customHeight="1">
      <c r="A5" s="3"/>
      <c r="B5" s="276"/>
      <c r="C5" s="3"/>
      <c r="D5" s="3"/>
      <c r="E5" s="279"/>
      <c r="F5" s="279"/>
      <c r="G5" s="3"/>
      <c r="H5" s="3"/>
      <c r="I5" s="3"/>
      <c r="J5" s="3"/>
      <c r="K5" s="3"/>
      <c r="L5" s="3"/>
      <c r="M5" s="3"/>
    </row>
    <row r="6" spans="1:13">
      <c r="A6" s="3"/>
      <c r="B6" s="276" t="s">
        <v>460</v>
      </c>
      <c r="C6" s="710" t="s">
        <v>468</v>
      </c>
      <c r="D6" s="711"/>
      <c r="E6" s="702" t="s">
        <v>465</v>
      </c>
      <c r="F6" s="702"/>
      <c r="G6" s="310" t="s">
        <v>21</v>
      </c>
      <c r="H6" s="276" t="s">
        <v>469</v>
      </c>
      <c r="I6" s="717">
        <f>8974543/1.33+3402628</f>
        <v>10150404.691729322</v>
      </c>
      <c r="J6" s="718"/>
      <c r="K6" s="508"/>
      <c r="L6" s="3"/>
      <c r="M6" s="3"/>
    </row>
    <row r="7" spans="1:13" ht="3" customHeight="1">
      <c r="A7" s="3"/>
      <c r="B7" s="276"/>
      <c r="C7" s="3"/>
      <c r="D7" s="3"/>
      <c r="E7" s="279"/>
      <c r="F7" s="279"/>
      <c r="G7" s="3"/>
      <c r="H7" s="276"/>
      <c r="I7" s="3"/>
      <c r="J7" s="3"/>
      <c r="K7" s="3"/>
      <c r="L7" s="3"/>
      <c r="M7" s="3"/>
    </row>
    <row r="8" spans="1:13">
      <c r="A8" s="3"/>
      <c r="B8" s="276" t="s">
        <v>461</v>
      </c>
      <c r="C8" s="710" t="s">
        <v>347</v>
      </c>
      <c r="D8" s="711"/>
      <c r="E8" s="280"/>
      <c r="F8" s="275" t="s">
        <v>466</v>
      </c>
      <c r="G8" s="400" t="s">
        <v>321</v>
      </c>
      <c r="H8" s="275" t="s">
        <v>470</v>
      </c>
      <c r="I8" s="710" t="s">
        <v>506</v>
      </c>
      <c r="J8" s="711"/>
      <c r="K8" s="284"/>
      <c r="L8" s="3"/>
      <c r="M8" s="3"/>
    </row>
    <row r="9" spans="1:13" ht="3" customHeight="1">
      <c r="A9" s="3"/>
      <c r="B9" s="279"/>
      <c r="C9" s="3"/>
      <c r="D9" s="3"/>
      <c r="E9" s="279"/>
      <c r="F9" s="279"/>
      <c r="G9" s="3"/>
      <c r="H9" s="3"/>
      <c r="I9" s="3"/>
      <c r="J9" s="3"/>
      <c r="K9" s="3"/>
      <c r="L9" s="3"/>
      <c r="M9" s="3"/>
    </row>
    <row r="10" spans="1:13">
      <c r="A10" s="3"/>
      <c r="B10" s="276" t="s">
        <v>462</v>
      </c>
      <c r="C10" s="721">
        <v>41275</v>
      </c>
      <c r="D10" s="722"/>
      <c r="E10" s="715" t="s">
        <v>467</v>
      </c>
      <c r="F10" s="716"/>
      <c r="G10" s="710" t="s">
        <v>50</v>
      </c>
      <c r="H10" s="720"/>
      <c r="I10" s="720"/>
      <c r="J10" s="711"/>
      <c r="K10" s="3"/>
      <c r="L10" s="3"/>
      <c r="M10" s="3"/>
    </row>
    <row r="11" spans="1:13" ht="5.25" customHeight="1">
      <c r="A11" s="3"/>
      <c r="B11" s="3"/>
      <c r="C11" s="3"/>
      <c r="D11" s="3"/>
      <c r="E11" s="3"/>
      <c r="F11" s="3"/>
      <c r="G11" s="3"/>
      <c r="H11" s="3"/>
      <c r="I11" s="3"/>
      <c r="J11" s="3"/>
      <c r="K11" s="3"/>
      <c r="L11" s="3"/>
      <c r="M11" s="3"/>
    </row>
    <row r="12" spans="1:13" ht="15" customHeight="1">
      <c r="A12" s="3"/>
      <c r="B12" s="507" t="s">
        <v>463</v>
      </c>
      <c r="C12" s="723" t="s">
        <v>38</v>
      </c>
      <c r="D12" s="723"/>
      <c r="E12" s="715" t="s">
        <v>266</v>
      </c>
      <c r="F12" s="702"/>
      <c r="G12" s="719" t="s">
        <v>491</v>
      </c>
      <c r="H12" s="719"/>
      <c r="I12" s="719"/>
      <c r="J12" s="719"/>
      <c r="K12" s="3"/>
      <c r="L12" s="3"/>
      <c r="M12" s="3"/>
    </row>
    <row r="13" spans="1:13" ht="5.25" customHeight="1">
      <c r="A13" s="3"/>
      <c r="B13" s="3"/>
      <c r="C13" s="3"/>
      <c r="D13" s="3"/>
      <c r="E13" s="3"/>
      <c r="F13" s="3"/>
      <c r="G13" s="3"/>
      <c r="H13" s="3"/>
      <c r="I13" s="3"/>
      <c r="J13" s="3"/>
      <c r="K13" s="3"/>
      <c r="L13" s="3"/>
      <c r="M13" s="3"/>
    </row>
    <row r="14" spans="1:13" ht="15.75" customHeight="1">
      <c r="A14" s="3"/>
      <c r="B14" s="696" t="s">
        <v>457</v>
      </c>
      <c r="C14" s="696"/>
      <c r="D14" s="696"/>
      <c r="E14" s="696"/>
      <c r="F14" s="696"/>
      <c r="G14" s="696"/>
      <c r="H14" s="696"/>
      <c r="I14" s="696"/>
      <c r="J14" s="696"/>
      <c r="K14" s="3"/>
      <c r="L14" s="3"/>
      <c r="M14" s="3"/>
    </row>
    <row r="15" spans="1:13" ht="3" customHeight="1">
      <c r="A15" s="3"/>
      <c r="B15" s="3"/>
      <c r="C15" s="3"/>
      <c r="D15" s="3"/>
      <c r="E15" s="3"/>
      <c r="F15" s="3"/>
      <c r="G15" s="3"/>
      <c r="H15" s="3"/>
      <c r="I15" s="3"/>
      <c r="J15" s="3"/>
      <c r="K15" s="3"/>
      <c r="L15" s="3"/>
      <c r="M15" s="3"/>
    </row>
    <row r="16" spans="1:13">
      <c r="A16" s="3"/>
      <c r="B16" s="507" t="s">
        <v>479</v>
      </c>
      <c r="C16" s="400" t="s">
        <v>106</v>
      </c>
      <c r="D16" s="275" t="s">
        <v>477</v>
      </c>
      <c r="E16" s="281">
        <v>41640</v>
      </c>
      <c r="F16" s="277" t="s">
        <v>478</v>
      </c>
      <c r="G16" s="281">
        <v>41820</v>
      </c>
      <c r="H16" s="715" t="s">
        <v>476</v>
      </c>
      <c r="I16" s="716"/>
      <c r="J16" s="281">
        <v>41922</v>
      </c>
      <c r="K16" s="508"/>
      <c r="L16" s="3"/>
      <c r="M16" s="3"/>
    </row>
    <row r="17" spans="1:35" ht="3" customHeight="1">
      <c r="A17" s="3"/>
      <c r="B17" s="3"/>
      <c r="C17" s="3"/>
      <c r="D17" s="3"/>
      <c r="E17" s="3"/>
      <c r="F17" s="3"/>
      <c r="G17" s="3"/>
      <c r="H17" s="3"/>
      <c r="I17" s="3"/>
      <c r="J17" s="3"/>
      <c r="K17" s="3"/>
      <c r="L17" s="3"/>
      <c r="M17" s="3"/>
    </row>
    <row r="18" spans="1:35" ht="15.75" customHeight="1">
      <c r="A18" s="3"/>
      <c r="B18" s="726" t="s">
        <v>480</v>
      </c>
      <c r="C18" s="716"/>
      <c r="D18" s="712" t="s">
        <v>418</v>
      </c>
      <c r="E18" s="713"/>
      <c r="F18" s="714"/>
      <c r="G18" s="282"/>
      <c r="H18" s="282"/>
      <c r="I18" s="282"/>
      <c r="J18" s="282"/>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96" t="s">
        <v>456</v>
      </c>
      <c r="C21" s="696"/>
      <c r="D21" s="696"/>
      <c r="E21" s="696"/>
      <c r="F21" s="696"/>
      <c r="G21" s="696"/>
      <c r="H21" s="696"/>
      <c r="I21" s="696"/>
      <c r="J21" s="696"/>
      <c r="K21" s="3"/>
      <c r="L21" s="3"/>
      <c r="M21" s="3"/>
    </row>
    <row r="22" spans="1:35">
      <c r="A22" s="3"/>
      <c r="B22" s="279" t="s">
        <v>471</v>
      </c>
      <c r="C22" s="3"/>
      <c r="D22" s="3"/>
      <c r="E22" s="283"/>
      <c r="F22" s="283"/>
      <c r="G22" s="3"/>
      <c r="H22" s="3"/>
      <c r="I22" s="283"/>
      <c r="J22" s="283"/>
      <c r="K22" s="3"/>
      <c r="L22" s="3"/>
      <c r="M22" s="3"/>
    </row>
    <row r="23" spans="1:35" ht="3" customHeight="1">
      <c r="A23" s="3"/>
      <c r="B23" s="3"/>
      <c r="C23" s="3"/>
      <c r="D23" s="3"/>
      <c r="E23" s="3"/>
      <c r="F23" s="3"/>
      <c r="G23" s="3"/>
      <c r="H23" s="3"/>
      <c r="I23" s="3"/>
      <c r="J23" s="3"/>
      <c r="K23" s="3"/>
      <c r="L23" s="3"/>
      <c r="M23" s="3"/>
    </row>
    <row r="24" spans="1:35">
      <c r="A24" s="3"/>
      <c r="B24" s="276" t="s">
        <v>472</v>
      </c>
      <c r="C24" s="386"/>
      <c r="D24" s="702" t="s">
        <v>473</v>
      </c>
      <c r="E24" s="702"/>
      <c r="F24" s="387"/>
      <c r="G24" s="702" t="s">
        <v>474</v>
      </c>
      <c r="H24" s="702"/>
      <c r="I24" s="694"/>
      <c r="J24" s="695"/>
      <c r="K24" s="3"/>
      <c r="L24" s="3"/>
      <c r="M24" s="3"/>
      <c r="N24" s="20"/>
    </row>
    <row r="25" spans="1:35" ht="19.5" thickBot="1">
      <c r="A25" s="3"/>
      <c r="B25" s="87" t="s">
        <v>330</v>
      </c>
      <c r="C25" s="88"/>
      <c r="D25" s="88"/>
      <c r="E25" s="88"/>
      <c r="F25" s="88"/>
      <c r="G25" s="88"/>
      <c r="H25" s="265"/>
      <c r="I25" s="89"/>
      <c r="J25" s="89"/>
      <c r="K25" s="265" t="s">
        <v>475</v>
      </c>
      <c r="L25" s="88"/>
      <c r="M25" s="88"/>
      <c r="N25" s="979"/>
      <c r="O25" s="40"/>
      <c r="AI25" s="44"/>
    </row>
    <row r="26" spans="1:35">
      <c r="A26" s="3"/>
      <c r="B26" s="729" t="s">
        <v>481</v>
      </c>
      <c r="C26" s="730"/>
      <c r="D26" s="421" t="s">
        <v>7</v>
      </c>
      <c r="E26" s="91"/>
      <c r="F26" s="91"/>
      <c r="G26" s="91"/>
      <c r="H26" s="91"/>
      <c r="I26" s="91"/>
      <c r="J26" s="92"/>
      <c r="K26" s="91"/>
      <c r="L26" s="91"/>
      <c r="M26" s="91"/>
      <c r="N26" s="40"/>
      <c r="O26" s="40"/>
      <c r="AI26" s="44"/>
    </row>
    <row r="27" spans="1:35" ht="18.75">
      <c r="A27" s="3"/>
      <c r="B27" s="90" t="s">
        <v>394</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732" t="s">
        <v>53</v>
      </c>
      <c r="C29" s="733"/>
      <c r="D29" s="733"/>
      <c r="E29" s="733"/>
      <c r="F29" s="733"/>
      <c r="G29" s="733"/>
      <c r="H29" s="733"/>
      <c r="I29" s="733"/>
      <c r="J29" s="733"/>
      <c r="K29" s="733"/>
      <c r="L29" s="733"/>
      <c r="M29" s="733"/>
      <c r="N29" s="734"/>
      <c r="P29" s="208"/>
      <c r="Q29" s="209"/>
      <c r="R29" s="210">
        <f>+C33</f>
        <v>1192375.7916850778</v>
      </c>
      <c r="S29" s="208"/>
    </row>
    <row r="30" spans="1:35">
      <c r="A30" s="3"/>
      <c r="B30" s="93" t="s">
        <v>453</v>
      </c>
      <c r="C30" s="384" t="s">
        <v>340</v>
      </c>
      <c r="D30" s="384" t="s">
        <v>341</v>
      </c>
      <c r="E30" s="384" t="s">
        <v>342</v>
      </c>
      <c r="F30" s="384" t="s">
        <v>343</v>
      </c>
      <c r="G30" s="384" t="s">
        <v>344</v>
      </c>
      <c r="H30" s="384" t="s">
        <v>345</v>
      </c>
      <c r="I30" s="367" t="s">
        <v>505</v>
      </c>
      <c r="J30" s="367" t="s">
        <v>511</v>
      </c>
      <c r="K30" s="367" t="s">
        <v>512</v>
      </c>
      <c r="L30" s="367" t="s">
        <v>107</v>
      </c>
      <c r="M30" s="367" t="s">
        <v>108</v>
      </c>
      <c r="N30" s="368" t="s">
        <v>265</v>
      </c>
      <c r="O30" s="369" t="s">
        <v>1</v>
      </c>
      <c r="P30" s="208"/>
      <c r="Q30" s="209"/>
      <c r="R30" s="210">
        <f>+D33</f>
        <v>2776406.4280564664</v>
      </c>
      <c r="S30" s="208"/>
    </row>
    <row r="31" spans="1:35">
      <c r="A31" s="3"/>
      <c r="B31" s="273" t="str">
        <f>CONCATENATE("Buget (in ",'Introducerea datelor'!$D$26,")")</f>
        <v>Buget (in €)</v>
      </c>
      <c r="C31" s="378">
        <f>1538129/1.28997</f>
        <v>1192375.7916850778</v>
      </c>
      <c r="D31" s="377">
        <f>2043352/1.28997</f>
        <v>1584030.6363713883</v>
      </c>
      <c r="E31" s="377">
        <f>2080365.84/1.28997</f>
        <v>1612724.2028884392</v>
      </c>
      <c r="F31" s="377">
        <f>2052099.16/1.28997-860000/1.28997</f>
        <v>924129.36734962824</v>
      </c>
      <c r="G31" s="377">
        <f>1187674.77/1.28997</f>
        <v>920699.52789599751</v>
      </c>
      <c r="H31" s="377">
        <f>1059912.23/1.28997</f>
        <v>821656.49588750117</v>
      </c>
      <c r="I31" s="377">
        <v>354911.93</v>
      </c>
      <c r="J31" s="377">
        <v>1423518.47</v>
      </c>
      <c r="K31" s="377">
        <v>556641.37</v>
      </c>
      <c r="L31" s="377"/>
      <c r="M31" s="377"/>
      <c r="N31" s="377"/>
      <c r="O31" s="684">
        <f>+SUM(C35:N35)</f>
        <v>0</v>
      </c>
      <c r="P31" s="208"/>
      <c r="Q31" s="209"/>
      <c r="R31" s="210">
        <f>+E33</f>
        <v>4389130.6309449058</v>
      </c>
      <c r="S31" s="208"/>
    </row>
    <row r="32" spans="1:35">
      <c r="A32" s="3"/>
      <c r="B32" s="93" t="str">
        <f>CONCATENATE("Debursări de către FG (in ", $D$26,")")</f>
        <v>Debursări de către FG (in €)</v>
      </c>
      <c r="C32" s="378">
        <f>3877267/1.28997</f>
        <v>3005703.2334085288</v>
      </c>
      <c r="D32" s="378"/>
      <c r="E32" s="378">
        <f>2289766/1.28997</f>
        <v>1775053.6834189941</v>
      </c>
      <c r="F32" s="378">
        <f>761395/1.28997</f>
        <v>590242.40873818763</v>
      </c>
      <c r="G32" s="378">
        <f>804434/1.28997</f>
        <v>623606.75054458634</v>
      </c>
      <c r="H32" s="378">
        <f>1241681/1.28997</f>
        <v>962565.79610378528</v>
      </c>
      <c r="I32" s="377">
        <v>2183484</v>
      </c>
      <c r="J32" s="377"/>
      <c r="K32" s="377">
        <v>1219144</v>
      </c>
      <c r="L32" s="377"/>
      <c r="M32" s="377"/>
      <c r="N32" s="377"/>
      <c r="O32" s="685"/>
      <c r="P32" s="208"/>
      <c r="Q32" s="209"/>
      <c r="R32" s="210">
        <f>+F33</f>
        <v>5313259.9982945342</v>
      </c>
      <c r="S32" s="208"/>
    </row>
    <row r="33" spans="1:35">
      <c r="A33" s="3"/>
      <c r="B33" s="94" t="s">
        <v>454</v>
      </c>
      <c r="C33" s="379">
        <f>+C31</f>
        <v>1192375.7916850778</v>
      </c>
      <c r="D33" s="379">
        <f>IF(AND(D31=0,D32=0),0,+C33+D31)</f>
        <v>2776406.4280564664</v>
      </c>
      <c r="E33" s="379">
        <f t="shared" ref="E33:N33" si="0">IF(AND(E31=0,E32=0),0,+D33+E31)</f>
        <v>4389130.6309449058</v>
      </c>
      <c r="F33" s="379">
        <f t="shared" si="0"/>
        <v>5313259.9982945342</v>
      </c>
      <c r="G33" s="379">
        <f t="shared" si="0"/>
        <v>6233959.5261905314</v>
      </c>
      <c r="H33" s="379">
        <f t="shared" si="0"/>
        <v>7055616.0220780326</v>
      </c>
      <c r="I33" s="379">
        <f t="shared" si="0"/>
        <v>7410527.9520780323</v>
      </c>
      <c r="J33" s="379">
        <f t="shared" si="0"/>
        <v>8834046.422078032</v>
      </c>
      <c r="K33" s="379">
        <f t="shared" si="0"/>
        <v>9390687.7920780312</v>
      </c>
      <c r="L33" s="379">
        <f t="shared" si="0"/>
        <v>0</v>
      </c>
      <c r="M33" s="379">
        <f t="shared" si="0"/>
        <v>0</v>
      </c>
      <c r="N33" s="379">
        <f t="shared" si="0"/>
        <v>0</v>
      </c>
      <c r="O33" s="685"/>
      <c r="P33" s="358"/>
      <c r="Q33" s="209"/>
      <c r="R33" s="210">
        <f>+G33</f>
        <v>6233959.5261905314</v>
      </c>
      <c r="S33" s="208"/>
    </row>
    <row r="34" spans="1:35" ht="15.75" thickBot="1">
      <c r="A34" s="3"/>
      <c r="B34" s="95" t="s">
        <v>455</v>
      </c>
      <c r="C34" s="380">
        <f>+C32</f>
        <v>3005703.2334085288</v>
      </c>
      <c r="D34" s="380">
        <f>IF(AND(D31=0,D32=0),0,+C34+D32)</f>
        <v>3005703.2334085288</v>
      </c>
      <c r="E34" s="380">
        <f t="shared" ref="E34:N34" si="1">IF(AND(E31=0,E32=0),0,+D34+E32)</f>
        <v>4780756.9168275231</v>
      </c>
      <c r="F34" s="380">
        <f t="shared" si="1"/>
        <v>5370999.3255657107</v>
      </c>
      <c r="G34" s="380">
        <f t="shared" si="1"/>
        <v>5994606.0761102969</v>
      </c>
      <c r="H34" s="380">
        <f t="shared" si="1"/>
        <v>6957171.8722140826</v>
      </c>
      <c r="I34" s="380">
        <f t="shared" si="1"/>
        <v>9140655.8722140826</v>
      </c>
      <c r="J34" s="380">
        <f t="shared" si="1"/>
        <v>9140655.8722140826</v>
      </c>
      <c r="K34" s="380">
        <f t="shared" si="1"/>
        <v>10359799.872214083</v>
      </c>
      <c r="L34" s="380">
        <f t="shared" si="1"/>
        <v>0</v>
      </c>
      <c r="M34" s="380">
        <f t="shared" si="1"/>
        <v>0</v>
      </c>
      <c r="N34" s="380">
        <f t="shared" si="1"/>
        <v>0</v>
      </c>
      <c r="O34" s="686"/>
      <c r="P34" s="358"/>
      <c r="Q34" s="209"/>
      <c r="R34" s="210">
        <f>+H33</f>
        <v>7055616.0220780326</v>
      </c>
      <c r="S34" s="208"/>
    </row>
    <row r="35" spans="1:35">
      <c r="A35" s="3"/>
      <c r="B35" s="3"/>
      <c r="C35" s="336">
        <f>+IF(AND(C30=$C$16,C33&lt;&gt;0),C34/C33,0)</f>
        <v>0</v>
      </c>
      <c r="D35" s="336">
        <f t="shared" ref="D35:N35" si="2">+IF(AND(D30=$C$16,D33&lt;&gt;0),D34/D33,0)</f>
        <v>0</v>
      </c>
      <c r="E35" s="336">
        <f t="shared" si="2"/>
        <v>0</v>
      </c>
      <c r="F35" s="336">
        <f t="shared" si="2"/>
        <v>0</v>
      </c>
      <c r="G35" s="336">
        <f t="shared" si="2"/>
        <v>0</v>
      </c>
      <c r="H35" s="336">
        <f t="shared" si="2"/>
        <v>0</v>
      </c>
      <c r="I35" s="336">
        <f t="shared" si="2"/>
        <v>0</v>
      </c>
      <c r="J35" s="336">
        <f t="shared" si="2"/>
        <v>0</v>
      </c>
      <c r="K35" s="336">
        <f t="shared" si="2"/>
        <v>0</v>
      </c>
      <c r="L35" s="336">
        <f t="shared" si="2"/>
        <v>0</v>
      </c>
      <c r="M35" s="336">
        <f t="shared" si="2"/>
        <v>0</v>
      </c>
      <c r="N35" s="336">
        <f t="shared" si="2"/>
        <v>0</v>
      </c>
      <c r="O35" s="284"/>
      <c r="P35" s="211"/>
      <c r="Q35" s="212"/>
      <c r="R35" s="210">
        <f>+I33</f>
        <v>7410527.9520780323</v>
      </c>
      <c r="S35" s="208"/>
    </row>
    <row r="36" spans="1:35" ht="18.75">
      <c r="A36" s="3"/>
      <c r="B36" s="90" t="s">
        <v>395</v>
      </c>
      <c r="C36" s="3"/>
      <c r="D36" s="3"/>
      <c r="E36" s="349"/>
      <c r="F36" s="3"/>
      <c r="G36" s="259"/>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0" t="s">
        <v>396</v>
      </c>
      <c r="C38" s="391" t="str">
        <f>CONCATENATE("Bugetul Cumulativ (in ",'Introducerea datelor'!$D$26,")")</f>
        <v>Bugetul Cumulativ (in €)</v>
      </c>
      <c r="D38" s="392" t="str">
        <f>CONCATENATE("Cheltuielile Cumulative (in ",'Introducerea datelor'!$D$26,")")</f>
        <v>Cheltuielile Cumulative (in €)</v>
      </c>
      <c r="E38" s="271"/>
      <c r="F38" s="287"/>
      <c r="G38" s="3"/>
      <c r="H38" s="3"/>
      <c r="I38" s="3"/>
      <c r="J38" s="101"/>
      <c r="K38" s="42"/>
      <c r="N38"/>
      <c r="O38"/>
      <c r="AE38" s="20"/>
      <c r="AF38" s="36"/>
    </row>
    <row r="39" spans="1:35" ht="14.25" customHeight="1">
      <c r="A39" s="3"/>
      <c r="B39" s="393" t="s">
        <v>389</v>
      </c>
      <c r="C39" s="388">
        <f>4226970.82/1.28997+29864.71+257241.06+271929.32</f>
        <v>3835832.8604907864</v>
      </c>
      <c r="D39" s="394">
        <f>4330797.13/1.28997-11568.2+420785.53+305710.29</f>
        <v>4072212.7739183074</v>
      </c>
      <c r="E39" s="285"/>
      <c r="F39" s="360"/>
      <c r="G39" s="361"/>
      <c r="H39" s="3"/>
      <c r="I39" s="3"/>
      <c r="J39" s="102"/>
      <c r="K39" s="43"/>
      <c r="N39"/>
      <c r="O39"/>
      <c r="AE39" s="20"/>
      <c r="AF39" s="36"/>
    </row>
    <row r="40" spans="1:35" ht="60.75" customHeight="1">
      <c r="A40" s="3"/>
      <c r="B40" s="472" t="s">
        <v>390</v>
      </c>
      <c r="C40" s="388">
        <f>4605004.18/1.28997+246380.46+1077874.65+206045.29-860000/1.28997</f>
        <v>4433471.9311208781</v>
      </c>
      <c r="D40" s="394">
        <f>3724458.36/1.28997+174099.98+761020.35+156988.36</f>
        <v>3979352.8584690341</v>
      </c>
      <c r="E40" s="15"/>
      <c r="F40" s="360"/>
      <c r="G40" s="361"/>
      <c r="H40" s="3"/>
      <c r="I40" s="3"/>
      <c r="J40" s="3"/>
      <c r="K40" s="43"/>
      <c r="N40"/>
      <c r="O40"/>
      <c r="AE40" s="20"/>
      <c r="AF40" s="36"/>
    </row>
    <row r="41" spans="1:35">
      <c r="A41" s="3"/>
      <c r="B41" s="395" t="s">
        <v>391</v>
      </c>
      <c r="C41" s="389">
        <f>494396/1.28997</f>
        <v>383261.62623936991</v>
      </c>
      <c r="D41" s="394">
        <f>379591.62/1.28997</f>
        <v>294263.91311425844</v>
      </c>
      <c r="E41" s="15"/>
      <c r="F41" s="362"/>
      <c r="G41" s="3"/>
      <c r="H41" s="3"/>
      <c r="I41" s="3"/>
      <c r="J41" s="3"/>
      <c r="K41" s="43"/>
      <c r="N41"/>
      <c r="O41"/>
      <c r="AE41" s="20"/>
      <c r="AF41" s="36"/>
    </row>
    <row r="42" spans="1:35" ht="33" customHeight="1">
      <c r="A42" s="3"/>
      <c r="B42" s="393" t="s">
        <v>392</v>
      </c>
      <c r="C42" s="388">
        <f>635162/1.28997</f>
        <v>492385.09422699752</v>
      </c>
      <c r="D42" s="394">
        <f>379860.55/1.28997</f>
        <v>294472.39083079447</v>
      </c>
      <c r="E42" s="15"/>
      <c r="F42" s="359"/>
      <c r="G42" s="3"/>
      <c r="H42" s="3"/>
      <c r="I42" s="3"/>
      <c r="J42" s="3"/>
      <c r="K42" s="20"/>
      <c r="N42"/>
      <c r="O42"/>
      <c r="AE42" s="20"/>
      <c r="AF42" s="36"/>
    </row>
    <row r="43" spans="1:35">
      <c r="A43" s="3"/>
      <c r="B43" s="395" t="s">
        <v>393</v>
      </c>
      <c r="C43" s="389" t="s">
        <v>388</v>
      </c>
      <c r="D43" s="394">
        <f>95024.71/1.28997+4977.66+4478.49+2200.91</f>
        <v>85321.339014240657</v>
      </c>
      <c r="E43" s="15"/>
      <c r="F43" s="286"/>
      <c r="G43" s="3"/>
      <c r="H43" s="3"/>
      <c r="I43" s="3"/>
      <c r="J43" s="3"/>
      <c r="K43" s="20"/>
      <c r="N43"/>
      <c r="O43"/>
      <c r="AE43" s="20"/>
      <c r="AF43" s="36"/>
    </row>
    <row r="44" spans="1:35">
      <c r="A44" s="3"/>
      <c r="B44" s="395" t="s">
        <v>507</v>
      </c>
      <c r="C44" s="389">
        <f>78666.76+88402.76+78666.76</f>
        <v>245736.27999999997</v>
      </c>
      <c r="D44" s="394">
        <f>71057.26+82404.28+75191.56</f>
        <v>228653.09999999998</v>
      </c>
      <c r="E44" s="15"/>
      <c r="F44" s="415"/>
      <c r="G44" s="3"/>
      <c r="H44" s="3"/>
      <c r="I44" s="3"/>
      <c r="J44" s="3"/>
      <c r="K44" s="20"/>
      <c r="N44"/>
      <c r="O44"/>
      <c r="AE44" s="20"/>
      <c r="AF44" s="36"/>
    </row>
    <row r="45" spans="1:35">
      <c r="A45" s="3"/>
      <c r="B45" s="395" t="s">
        <v>508</v>
      </c>
      <c r="C45" s="389"/>
      <c r="D45" s="394">
        <f>230666.15+51457.42+33210.16</f>
        <v>315333.73</v>
      </c>
      <c r="E45" s="15"/>
      <c r="F45" s="286"/>
      <c r="G45" s="15"/>
      <c r="H45" s="15"/>
      <c r="I45" s="15"/>
      <c r="J45" s="15"/>
      <c r="K45" s="20"/>
      <c r="N45"/>
      <c r="O45"/>
      <c r="AE45" s="36"/>
      <c r="AF45" s="36"/>
    </row>
    <row r="46" spans="1:35" ht="15.75" thickBot="1">
      <c r="A46" s="3"/>
      <c r="B46" s="396"/>
      <c r="C46" s="388"/>
      <c r="D46" s="394"/>
      <c r="E46" s="15"/>
      <c r="F46" s="15"/>
      <c r="G46" s="15"/>
      <c r="H46" s="15"/>
      <c r="I46" s="15"/>
      <c r="J46" s="15"/>
      <c r="K46" s="20"/>
      <c r="N46"/>
      <c r="O46"/>
      <c r="AE46" s="36"/>
      <c r="AF46" s="36"/>
    </row>
    <row r="47" spans="1:35" ht="15.75" thickBot="1">
      <c r="A47" s="3"/>
      <c r="B47" s="397" t="s">
        <v>52</v>
      </c>
      <c r="C47" s="398">
        <f>SUM(C39:C46)</f>
        <v>9390687.7920780312</v>
      </c>
      <c r="D47" s="399">
        <f>SUM(D39:D46)</f>
        <v>9269610.1053466368</v>
      </c>
      <c r="E47" s="284"/>
      <c r="F47" s="689" t="str">
        <f ca="1">+IF((ROUND(C47,0)=ROUND(OFFSET(B33,0,RIGHT('Introducerea datelor'!$C$16,LEN('Introducerea datelor'!$C$16)-1),1,1),0)),"OK: Datele coincid","Atentie: Datele nu coincid")</f>
        <v>OK: Datele coincid</v>
      </c>
      <c r="G47" s="690"/>
      <c r="H47" s="690"/>
      <c r="I47" s="691"/>
      <c r="J47" s="202"/>
      <c r="K47" s="202"/>
      <c r="L47" s="202"/>
      <c r="M47" s="211"/>
      <c r="N47" s="212"/>
      <c r="O47" s="210"/>
      <c r="P47" s="208"/>
      <c r="AE47" s="36"/>
      <c r="AF47" s="36"/>
    </row>
    <row r="48" spans="1:35">
      <c r="A48" s="3"/>
      <c r="B48" s="3"/>
      <c r="C48" s="202"/>
      <c r="D48" s="202"/>
      <c r="E48" s="268"/>
      <c r="F48" s="202"/>
      <c r="G48" s="202"/>
      <c r="H48" s="202"/>
      <c r="I48" s="202"/>
      <c r="J48" s="202"/>
      <c r="K48" s="202"/>
      <c r="L48" s="202"/>
      <c r="M48" s="202"/>
      <c r="N48" s="202"/>
      <c r="O48" s="202"/>
      <c r="P48" s="211"/>
      <c r="Q48" s="212"/>
      <c r="R48" s="210"/>
      <c r="S48" s="208"/>
    </row>
    <row r="49" spans="1:35" ht="18.75">
      <c r="A49" s="3"/>
      <c r="B49" s="90" t="s">
        <v>397</v>
      </c>
      <c r="C49" s="3"/>
      <c r="D49" s="3"/>
      <c r="E49" s="3"/>
      <c r="F49" s="3"/>
      <c r="G49" s="3"/>
      <c r="H49" s="3"/>
      <c r="I49" s="3"/>
      <c r="J49" s="3"/>
      <c r="K49" s="3"/>
      <c r="L49" s="3"/>
      <c r="M49" s="3"/>
      <c r="P49" s="208"/>
      <c r="Q49" s="209"/>
      <c r="R49" s="210">
        <f>+J33</f>
        <v>8834046.422078032</v>
      </c>
      <c r="S49" s="208"/>
    </row>
    <row r="50" spans="1:35" ht="15.75" thickBot="1">
      <c r="A50" s="3"/>
      <c r="B50" s="3"/>
      <c r="C50" s="3"/>
      <c r="D50" s="3"/>
      <c r="E50" s="3"/>
      <c r="F50" s="3"/>
      <c r="G50" s="3"/>
      <c r="H50" s="3"/>
      <c r="I50" s="3"/>
      <c r="J50" s="3"/>
      <c r="K50" s="3"/>
      <c r="L50" s="3"/>
      <c r="M50" s="3"/>
      <c r="P50" s="208"/>
      <c r="Q50" s="209"/>
      <c r="R50" s="210">
        <f>+K33</f>
        <v>9390687.7920780312</v>
      </c>
      <c r="S50" s="208"/>
    </row>
    <row r="51" spans="1:35" ht="35.25" customHeight="1">
      <c r="A51" s="3"/>
      <c r="B51" s="290"/>
      <c r="C51" s="291" t="s">
        <v>398</v>
      </c>
      <c r="D51" s="291" t="s">
        <v>399</v>
      </c>
      <c r="E51" s="413" t="str">
        <f>CONCATENATE("Total Cheltuit și debursat (in ",D26,")")</f>
        <v>Total Cheltuit și debursat (in €)</v>
      </c>
      <c r="F51" s="3"/>
      <c r="G51" s="294"/>
      <c r="H51" s="287"/>
      <c r="I51" s="274"/>
      <c r="J51" s="274"/>
      <c r="K51" s="274"/>
      <c r="L51" s="274"/>
      <c r="M51" s="22"/>
      <c r="N51" s="22"/>
      <c r="O51" s="208"/>
      <c r="P51" s="209"/>
      <c r="Q51" s="210">
        <f>+M33</f>
        <v>0</v>
      </c>
      <c r="R51" s="208"/>
      <c r="AH51" s="20"/>
    </row>
    <row r="52" spans="1:35">
      <c r="A52" s="3"/>
      <c r="B52" s="288" t="s">
        <v>482</v>
      </c>
      <c r="C52" s="381">
        <v>9140656</v>
      </c>
      <c r="D52" s="382">
        <v>1219144</v>
      </c>
      <c r="E52" s="500">
        <f>+D52+C52</f>
        <v>10359800</v>
      </c>
      <c r="F52" s="3"/>
      <c r="G52" s="97"/>
      <c r="H52" s="292"/>
      <c r="I52" s="96"/>
      <c r="J52" s="205"/>
      <c r="K52" s="206"/>
      <c r="L52" s="98"/>
      <c r="M52" s="37"/>
      <c r="N52" s="37"/>
      <c r="O52" s="208"/>
      <c r="P52" s="208"/>
      <c r="Q52" s="208"/>
      <c r="R52" s="208"/>
      <c r="AH52" s="20"/>
    </row>
    <row r="53" spans="1:35">
      <c r="A53" s="3"/>
      <c r="B53" s="288" t="s">
        <v>483</v>
      </c>
      <c r="C53" s="381">
        <v>8696309</v>
      </c>
      <c r="D53" s="381">
        <v>573301.28</v>
      </c>
      <c r="E53" s="500">
        <f>+D53+C53</f>
        <v>9269610.2799999993</v>
      </c>
      <c r="F53" s="3"/>
      <c r="G53" s="253"/>
      <c r="H53" s="292"/>
      <c r="I53" s="96"/>
      <c r="J53" s="205"/>
      <c r="K53" s="205"/>
      <c r="L53" s="98"/>
      <c r="M53" s="38"/>
      <c r="N53" s="38"/>
      <c r="O53" s="208"/>
      <c r="P53" s="208"/>
      <c r="Q53" s="208"/>
      <c r="R53" s="208"/>
      <c r="AH53" s="20"/>
    </row>
    <row r="54" spans="1:35">
      <c r="A54" s="3"/>
      <c r="B54" s="288" t="s">
        <v>484</v>
      </c>
      <c r="C54" s="381">
        <v>2056720.55</v>
      </c>
      <c r="D54" s="381">
        <v>305710.28999999998</v>
      </c>
      <c r="E54" s="500">
        <f>+D54+C54</f>
        <v>2362430.84</v>
      </c>
      <c r="F54" s="3"/>
      <c r="G54" s="97"/>
      <c r="H54" s="292"/>
      <c r="I54" s="96"/>
      <c r="J54" s="205"/>
      <c r="K54" s="206"/>
      <c r="L54" s="98"/>
      <c r="M54" s="37"/>
      <c r="N54" s="37"/>
      <c r="O54"/>
      <c r="AH54" s="20"/>
    </row>
    <row r="55" spans="1:35" ht="15.75" thickBot="1">
      <c r="A55" s="3"/>
      <c r="B55" s="289" t="s">
        <v>485</v>
      </c>
      <c r="C55" s="383">
        <v>1947705.3</v>
      </c>
      <c r="D55" s="383">
        <v>282336.05</v>
      </c>
      <c r="E55" s="501">
        <f>+D55+C55</f>
        <v>2230041.35</v>
      </c>
      <c r="F55" s="3"/>
      <c r="G55" s="254"/>
      <c r="H55" s="293"/>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72"/>
      <c r="E57" s="3"/>
      <c r="F57" s="3"/>
      <c r="G57" s="3"/>
      <c r="H57" s="3"/>
      <c r="I57" s="3"/>
      <c r="J57" s="3"/>
      <c r="K57" s="3"/>
      <c r="L57" s="3"/>
      <c r="M57" s="3"/>
    </row>
    <row r="58" spans="1:35" ht="18.75">
      <c r="A58" s="3"/>
      <c r="B58" s="90" t="s">
        <v>400</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735" t="s">
        <v>401</v>
      </c>
      <c r="C60" s="736"/>
      <c r="D60" s="737"/>
      <c r="E60" s="3"/>
      <c r="F60" s="3"/>
      <c r="G60" s="3"/>
      <c r="H60" s="3"/>
      <c r="I60" s="3"/>
      <c r="J60" s="3"/>
      <c r="K60" s="3"/>
      <c r="L60" s="3"/>
      <c r="M60" s="36"/>
      <c r="O60"/>
    </row>
    <row r="61" spans="1:35">
      <c r="A61" s="3"/>
      <c r="B61" s="103"/>
      <c r="C61" s="296" t="s">
        <v>402</v>
      </c>
      <c r="D61" s="297" t="s">
        <v>403</v>
      </c>
      <c r="E61" s="3"/>
      <c r="F61" s="3"/>
      <c r="G61" s="3"/>
      <c r="H61" s="3"/>
      <c r="I61" s="3"/>
      <c r="J61" s="3"/>
      <c r="K61" s="3"/>
      <c r="L61" s="3"/>
      <c r="M61" s="36"/>
      <c r="O61"/>
    </row>
    <row r="62" spans="1:35">
      <c r="A62" s="3"/>
      <c r="B62" s="104" t="s">
        <v>404</v>
      </c>
      <c r="C62" s="363">
        <v>60</v>
      </c>
      <c r="D62" s="364">
        <v>50</v>
      </c>
      <c r="E62" s="3"/>
      <c r="F62" s="3"/>
      <c r="G62" s="3"/>
      <c r="H62" s="3"/>
      <c r="I62" s="3"/>
      <c r="J62" s="3"/>
      <c r="K62" s="3"/>
      <c r="L62" s="3"/>
      <c r="M62" s="36"/>
      <c r="O62"/>
    </row>
    <row r="63" spans="1:35">
      <c r="A63" s="3"/>
      <c r="B63" s="295" t="s">
        <v>405</v>
      </c>
      <c r="C63" s="363">
        <v>45</v>
      </c>
      <c r="D63" s="364">
        <v>95</v>
      </c>
      <c r="E63" s="3"/>
      <c r="F63" s="3"/>
      <c r="G63" s="3"/>
      <c r="H63" s="292"/>
      <c r="I63" s="292"/>
      <c r="J63" s="3"/>
      <c r="K63" s="3"/>
      <c r="L63" s="3"/>
      <c r="M63" s="36"/>
      <c r="O63"/>
    </row>
    <row r="64" spans="1:35" ht="15.75" thickBot="1">
      <c r="A64" s="3"/>
      <c r="B64" s="105" t="s">
        <v>406</v>
      </c>
      <c r="C64" s="365">
        <v>20</v>
      </c>
      <c r="D64" s="366">
        <v>2</v>
      </c>
      <c r="E64" s="3"/>
      <c r="F64" s="3"/>
      <c r="G64" s="3"/>
      <c r="H64" s="292"/>
      <c r="I64" s="292"/>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9"/>
      <c r="M66" s="3"/>
      <c r="AC66" s="19"/>
      <c r="AD66" s="19"/>
    </row>
    <row r="67" spans="1:30" ht="19.5" thickBot="1">
      <c r="A67" s="3"/>
      <c r="B67" s="106" t="s">
        <v>407</v>
      </c>
      <c r="C67" s="107"/>
      <c r="D67" s="107"/>
      <c r="E67" s="107"/>
      <c r="F67" s="107"/>
      <c r="G67" s="107"/>
      <c r="H67" s="320" t="s">
        <v>408</v>
      </c>
      <c r="I67" s="107"/>
      <c r="J67" s="108"/>
      <c r="K67" s="108"/>
      <c r="L67" s="410"/>
      <c r="M67" s="411"/>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409</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60">
      <c r="A71" s="3"/>
      <c r="B71" s="727"/>
      <c r="C71" s="728"/>
      <c r="D71" s="113" t="s">
        <v>410</v>
      </c>
      <c r="E71" s="114" t="s">
        <v>411</v>
      </c>
      <c r="F71" s="114" t="s">
        <v>412</v>
      </c>
      <c r="G71" s="115" t="s">
        <v>52</v>
      </c>
      <c r="H71" s="305"/>
      <c r="I71" s="306"/>
      <c r="J71" s="15"/>
      <c r="K71" s="2"/>
      <c r="L71" s="2"/>
      <c r="M71" s="2"/>
      <c r="N71" s="20"/>
      <c r="O71" s="19"/>
      <c r="P71" s="19"/>
      <c r="Q71" s="19"/>
      <c r="R71" s="19"/>
      <c r="S71" s="19"/>
    </row>
    <row r="72" spans="1:30">
      <c r="A72" s="3"/>
      <c r="B72" s="724" t="s">
        <v>413</v>
      </c>
      <c r="C72" s="725"/>
      <c r="D72" s="256">
        <v>0</v>
      </c>
      <c r="E72" s="256">
        <v>0</v>
      </c>
      <c r="F72" s="256">
        <v>0</v>
      </c>
      <c r="G72" s="117">
        <f>SUM(D72:F72)</f>
        <v>0</v>
      </c>
      <c r="H72" s="286"/>
      <c r="I72" s="304"/>
      <c r="J72" s="304"/>
      <c r="K72" s="2"/>
      <c r="L72" s="2"/>
      <c r="M72" s="2"/>
      <c r="N72" s="20"/>
      <c r="O72" s="19"/>
      <c r="P72" s="19"/>
      <c r="Q72" s="19"/>
      <c r="R72" s="19"/>
      <c r="S72" s="19"/>
    </row>
    <row r="73" spans="1:30" ht="15.75" thickBot="1">
      <c r="A73" s="3"/>
      <c r="B73" s="697" t="s">
        <v>414</v>
      </c>
      <c r="C73" s="698"/>
      <c r="D73" s="257">
        <v>0</v>
      </c>
      <c r="E73" s="257">
        <v>0</v>
      </c>
      <c r="F73" s="257">
        <v>0</v>
      </c>
      <c r="G73" s="119">
        <f>SUM(D73:F73)</f>
        <v>0</v>
      </c>
      <c r="H73" s="286"/>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522</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0"/>
      <c r="C78" s="485" t="s">
        <v>415</v>
      </c>
      <c r="D78" s="485" t="s">
        <v>416</v>
      </c>
      <c r="E78" s="121" t="s">
        <v>417</v>
      </c>
      <c r="F78" s="15"/>
      <c r="G78" s="15"/>
      <c r="H78" s="15"/>
      <c r="I78" s="306"/>
      <c r="J78" s="2"/>
      <c r="K78" s="2"/>
      <c r="L78" s="2"/>
      <c r="M78" s="2"/>
      <c r="N78" s="19"/>
      <c r="O78" s="19"/>
      <c r="P78" s="19"/>
      <c r="S78" s="19"/>
    </row>
    <row r="79" spans="1:30" ht="15.75" thickBot="1">
      <c r="A79" s="3"/>
      <c r="B79" s="122" t="s">
        <v>418</v>
      </c>
      <c r="C79" s="350">
        <v>6</v>
      </c>
      <c r="D79" s="350">
        <v>6</v>
      </c>
      <c r="E79" s="351">
        <f>+C79-D79</f>
        <v>0</v>
      </c>
      <c r="F79" s="264"/>
      <c r="G79" s="269"/>
      <c r="H79" s="15"/>
      <c r="I79" s="304"/>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419</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0"/>
      <c r="C83" s="485" t="s">
        <v>421</v>
      </c>
      <c r="D83" s="485" t="s">
        <v>422</v>
      </c>
      <c r="E83" s="485" t="s">
        <v>423</v>
      </c>
      <c r="F83" s="485" t="s">
        <v>424</v>
      </c>
      <c r="G83" s="150" t="s">
        <v>425</v>
      </c>
      <c r="H83" s="270"/>
      <c r="I83" s="306"/>
      <c r="J83" s="2"/>
      <c r="K83" s="2"/>
      <c r="L83" s="2"/>
      <c r="M83" s="2"/>
      <c r="N83" s="19"/>
      <c r="O83" s="19"/>
      <c r="P83" s="19"/>
      <c r="S83" s="19"/>
    </row>
    <row r="84" spans="1:36" ht="15.75" thickBot="1">
      <c r="A84" s="3"/>
      <c r="B84" s="122" t="s">
        <v>109</v>
      </c>
      <c r="C84" s="350">
        <v>1</v>
      </c>
      <c r="D84" s="350">
        <v>1</v>
      </c>
      <c r="E84" s="350">
        <v>1</v>
      </c>
      <c r="F84" s="350">
        <v>1</v>
      </c>
      <c r="G84" s="352">
        <v>1</v>
      </c>
      <c r="H84" s="307"/>
      <c r="I84" s="286"/>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420</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0"/>
      <c r="C88" s="123" t="s">
        <v>426</v>
      </c>
      <c r="D88" s="123" t="s">
        <v>427</v>
      </c>
      <c r="E88" s="124" t="s">
        <v>428</v>
      </c>
      <c r="F88" s="2"/>
      <c r="G88" s="2"/>
      <c r="H88" s="2"/>
      <c r="I88" s="2"/>
      <c r="J88" s="19"/>
      <c r="K88" s="19"/>
      <c r="L88" s="19"/>
      <c r="N88"/>
      <c r="O88" s="19"/>
      <c r="AG88" s="36"/>
      <c r="AJ88"/>
    </row>
    <row r="89" spans="1:36">
      <c r="A89" s="3"/>
      <c r="B89" s="116" t="s">
        <v>323</v>
      </c>
      <c r="C89" s="256"/>
      <c r="D89" s="258"/>
      <c r="E89" s="308">
        <f>C89-D89</f>
        <v>0</v>
      </c>
      <c r="F89" s="15"/>
      <c r="G89" s="2"/>
      <c r="H89" s="2"/>
      <c r="I89" s="2"/>
      <c r="J89" s="19"/>
      <c r="K89" s="19"/>
      <c r="L89" s="19"/>
      <c r="N89"/>
      <c r="O89" s="19"/>
      <c r="AG89" s="36"/>
      <c r="AJ89"/>
    </row>
    <row r="90" spans="1:36" ht="15.75" thickBot="1">
      <c r="A90" s="3"/>
      <c r="B90" s="118" t="s">
        <v>324</v>
      </c>
      <c r="C90" s="257">
        <v>2</v>
      </c>
      <c r="D90" s="309">
        <v>2</v>
      </c>
      <c r="E90" s="456">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429</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0"/>
      <c r="C94" s="384" t="s">
        <v>340</v>
      </c>
      <c r="D94" s="384" t="s">
        <v>341</v>
      </c>
      <c r="E94" s="384" t="s">
        <v>342</v>
      </c>
      <c r="F94" s="384" t="s">
        <v>343</v>
      </c>
      <c r="G94" s="384" t="s">
        <v>344</v>
      </c>
      <c r="H94" s="384" t="s">
        <v>345</v>
      </c>
      <c r="I94" s="370" t="s">
        <v>505</v>
      </c>
      <c r="J94" s="370" t="s">
        <v>511</v>
      </c>
      <c r="K94" s="370" t="s">
        <v>512</v>
      </c>
      <c r="L94" s="370" t="s">
        <v>107</v>
      </c>
      <c r="M94" s="370" t="s">
        <v>108</v>
      </c>
      <c r="N94" s="371" t="s">
        <v>265</v>
      </c>
      <c r="O94" s="20"/>
      <c r="P94" s="20"/>
      <c r="S94" s="19"/>
    </row>
    <row r="95" spans="1:36" ht="15" customHeight="1">
      <c r="A95" s="3"/>
      <c r="B95" s="372" t="s">
        <v>430</v>
      </c>
      <c r="C95" s="353">
        <f>1118283/1.28997</f>
        <v>866906.20712109585</v>
      </c>
      <c r="D95" s="353">
        <f>1134772/1.28997</f>
        <v>879688.67493042466</v>
      </c>
      <c r="E95" s="353">
        <f>1455805/1.28997</f>
        <v>1128557.2532694559</v>
      </c>
      <c r="F95" s="353">
        <f>1181304.93/1.28997</f>
        <v>915761.55259424623</v>
      </c>
      <c r="G95" s="353">
        <f>604820.37/1.28997</f>
        <v>468863.90381171653</v>
      </c>
      <c r="H95" s="353">
        <f>536112.23/1.28997</f>
        <v>415600.54109785496</v>
      </c>
      <c r="I95" s="353">
        <v>245949.25</v>
      </c>
      <c r="J95" s="353">
        <v>1108292.71</v>
      </c>
      <c r="K95" s="353">
        <v>269277.88</v>
      </c>
      <c r="L95" s="353"/>
      <c r="M95" s="353"/>
      <c r="N95" s="457"/>
      <c r="O95" s="20"/>
      <c r="P95" s="20"/>
      <c r="S95" s="19"/>
    </row>
    <row r="96" spans="1:36" ht="15" customHeight="1">
      <c r="A96" s="3"/>
      <c r="B96" s="372" t="s">
        <v>431</v>
      </c>
      <c r="C96" s="353">
        <f>297027.52/1.28997</f>
        <v>230259.24633906214</v>
      </c>
      <c r="D96" s="353">
        <f>942138.21/1.28997</f>
        <v>730356.68271355145</v>
      </c>
      <c r="E96" s="353">
        <f>(734489+228557)/1.28997</f>
        <v>746564.64879028196</v>
      </c>
      <c r="F96" s="353">
        <f>1338441.95/1.28997</f>
        <v>1037576.0288998968</v>
      </c>
      <c r="G96" s="353">
        <f>683483.4/1.28997</f>
        <v>529844.41498639504</v>
      </c>
      <c r="H96" s="353">
        <f>1101583/1.28997</f>
        <v>853960.16961634764</v>
      </c>
      <c r="I96" s="353">
        <v>514257.81</v>
      </c>
      <c r="J96" s="353">
        <f>725655.99</f>
        <v>725655.99</v>
      </c>
      <c r="K96" s="353">
        <v>230845.41</v>
      </c>
      <c r="L96" s="353"/>
      <c r="M96" s="353"/>
      <c r="N96" s="457"/>
      <c r="O96" s="20"/>
      <c r="P96" s="20"/>
      <c r="S96" s="19"/>
    </row>
    <row r="97" spans="1:19" ht="15" customHeight="1">
      <c r="A97" s="3"/>
      <c r="B97" s="372" t="s">
        <v>432</v>
      </c>
      <c r="C97" s="353">
        <f>297027.52/1.28997</f>
        <v>230259.24633906214</v>
      </c>
      <c r="D97" s="353">
        <f>942138.21/1.28997</f>
        <v>730356.68271355145</v>
      </c>
      <c r="E97" s="353">
        <f>734488.78/1.28997</f>
        <v>569384.38878423534</v>
      </c>
      <c r="F97" s="353">
        <f>1274908.45/1.28997</f>
        <v>988324.10831259633</v>
      </c>
      <c r="G97" s="353">
        <f>506538.26/1.28997</f>
        <v>392674.44979340606</v>
      </c>
      <c r="H97" s="353">
        <f>1252577.39/1.28997</f>
        <v>971012.80649937585</v>
      </c>
      <c r="I97" s="353">
        <v>332666.63</v>
      </c>
      <c r="J97" s="353">
        <v>871018.79</v>
      </c>
      <c r="K97" s="353">
        <v>240389.24</v>
      </c>
      <c r="L97" s="353"/>
      <c r="M97" s="353"/>
      <c r="N97" s="457"/>
      <c r="O97" s="20"/>
      <c r="P97" s="20"/>
      <c r="S97" s="19"/>
    </row>
    <row r="98" spans="1:19" ht="15" customHeight="1">
      <c r="A98" s="3"/>
      <c r="B98" s="311" t="s">
        <v>433</v>
      </c>
      <c r="C98" s="354">
        <f>+C95</f>
        <v>866906.20712109585</v>
      </c>
      <c r="D98" s="354">
        <f t="shared" ref="D98:N98" si="3">+C98+D95</f>
        <v>1746594.8820515205</v>
      </c>
      <c r="E98" s="354">
        <f>+D98+E95</f>
        <v>2875152.1353209764</v>
      </c>
      <c r="F98" s="354">
        <f t="shared" si="3"/>
        <v>3790913.6879152227</v>
      </c>
      <c r="G98" s="354">
        <f t="shared" si="3"/>
        <v>4259777.5917269392</v>
      </c>
      <c r="H98" s="354">
        <f t="shared" si="3"/>
        <v>4675378.1328247944</v>
      </c>
      <c r="I98" s="354">
        <f t="shared" si="3"/>
        <v>4921327.3828247944</v>
      </c>
      <c r="J98" s="354">
        <f t="shared" si="3"/>
        <v>6029620.0928247944</v>
      </c>
      <c r="K98" s="354">
        <f t="shared" si="3"/>
        <v>6298897.9728247942</v>
      </c>
      <c r="L98" s="354">
        <f t="shared" si="3"/>
        <v>6298897.9728247942</v>
      </c>
      <c r="M98" s="354">
        <f t="shared" si="3"/>
        <v>6298897.9728247942</v>
      </c>
      <c r="N98" s="458">
        <f t="shared" si="3"/>
        <v>6298897.9728247942</v>
      </c>
      <c r="O98" s="20"/>
      <c r="P98" s="20"/>
      <c r="S98" s="19"/>
    </row>
    <row r="99" spans="1:19" ht="15" customHeight="1">
      <c r="A99" s="3"/>
      <c r="B99" s="311" t="s">
        <v>434</v>
      </c>
      <c r="C99" s="354">
        <f>+C96</f>
        <v>230259.24633906214</v>
      </c>
      <c r="D99" s="354">
        <f t="shared" ref="D99:N99" si="4">+C99+D96</f>
        <v>960615.92905261356</v>
      </c>
      <c r="E99" s="354">
        <f>+D99+E96</f>
        <v>1707180.5778428954</v>
      </c>
      <c r="F99" s="354">
        <f t="shared" si="4"/>
        <v>2744756.6067427923</v>
      </c>
      <c r="G99" s="354">
        <f t="shared" si="4"/>
        <v>3274601.0217291871</v>
      </c>
      <c r="H99" s="354">
        <f t="shared" si="4"/>
        <v>4128561.1913455348</v>
      </c>
      <c r="I99" s="354">
        <f t="shared" si="4"/>
        <v>4642819.0013455348</v>
      </c>
      <c r="J99" s="354">
        <f t="shared" si="4"/>
        <v>5368474.991345535</v>
      </c>
      <c r="K99" s="354">
        <f t="shared" si="4"/>
        <v>5599320.4013455352</v>
      </c>
      <c r="L99" s="354">
        <f t="shared" si="4"/>
        <v>5599320.4013455352</v>
      </c>
      <c r="M99" s="354">
        <f t="shared" si="4"/>
        <v>5599320.4013455352</v>
      </c>
      <c r="N99" s="458">
        <f t="shared" si="4"/>
        <v>5599320.4013455352</v>
      </c>
      <c r="O99" s="20"/>
      <c r="P99" s="20"/>
      <c r="S99" s="19"/>
    </row>
    <row r="100" spans="1:19" ht="15.75" thickBot="1">
      <c r="A100" s="3"/>
      <c r="B100" s="453" t="s">
        <v>435</v>
      </c>
      <c r="C100" s="454">
        <f>+C97</f>
        <v>230259.24633906214</v>
      </c>
      <c r="D100" s="455">
        <f t="shared" ref="D100:N100" si="5">+C100+D97</f>
        <v>960615.92905261356</v>
      </c>
      <c r="E100" s="455">
        <f>+D100+E97</f>
        <v>1530000.317836849</v>
      </c>
      <c r="F100" s="455">
        <f t="shared" si="5"/>
        <v>2518324.4261494456</v>
      </c>
      <c r="G100" s="455">
        <f t="shared" si="5"/>
        <v>2910998.8759428514</v>
      </c>
      <c r="H100" s="455">
        <f t="shared" si="5"/>
        <v>3882011.6824422274</v>
      </c>
      <c r="I100" s="455">
        <f t="shared" si="5"/>
        <v>4214678.3124422273</v>
      </c>
      <c r="J100" s="455">
        <f t="shared" si="5"/>
        <v>5085697.1024422273</v>
      </c>
      <c r="K100" s="455">
        <f t="shared" si="5"/>
        <v>5326086.3424422275</v>
      </c>
      <c r="L100" s="455">
        <f t="shared" si="5"/>
        <v>5326086.3424422275</v>
      </c>
      <c r="M100" s="455">
        <f t="shared" si="5"/>
        <v>5326086.3424422275</v>
      </c>
      <c r="N100" s="459">
        <f t="shared" si="5"/>
        <v>5326086.3424422275</v>
      </c>
      <c r="O100" s="20"/>
      <c r="P100" s="20"/>
      <c r="S100" s="19"/>
    </row>
    <row r="101" spans="1:19">
      <c r="A101" s="3"/>
      <c r="B101" s="3"/>
      <c r="C101" s="2"/>
      <c r="D101" s="2"/>
      <c r="E101" s="2"/>
      <c r="F101" s="2"/>
      <c r="G101" s="2"/>
      <c r="H101" s="2"/>
      <c r="I101" s="15"/>
      <c r="J101" s="125"/>
      <c r="K101" s="126"/>
      <c r="L101" s="15"/>
      <c r="M101" s="127"/>
      <c r="N101" s="20"/>
      <c r="O101" s="20"/>
      <c r="P101" s="20"/>
      <c r="S101" s="19"/>
    </row>
    <row r="102" spans="1:19">
      <c r="A102" s="3"/>
      <c r="B102" s="2" t="s">
        <v>436</v>
      </c>
      <c r="C102" s="2"/>
      <c r="D102" s="2"/>
      <c r="E102" s="2"/>
      <c r="F102" s="2"/>
      <c r="G102" s="2"/>
      <c r="H102" s="2"/>
      <c r="I102" s="15"/>
      <c r="J102" s="125"/>
      <c r="K102" s="126"/>
      <c r="L102" s="15"/>
      <c r="M102" s="127"/>
      <c r="N102" s="20"/>
      <c r="O102" s="20"/>
      <c r="P102" s="20"/>
      <c r="S102" s="19"/>
    </row>
    <row r="103" spans="1:19">
      <c r="A103" s="3"/>
      <c r="C103" s="2"/>
      <c r="D103" s="2"/>
      <c r="E103" s="2"/>
      <c r="F103" s="2"/>
      <c r="G103" s="2"/>
      <c r="H103" s="2"/>
      <c r="I103" s="15"/>
      <c r="J103" s="125"/>
      <c r="K103" s="127"/>
      <c r="L103" s="15"/>
      <c r="M103" s="127"/>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437</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2" t="s">
        <v>438</v>
      </c>
      <c r="C107" s="313" t="s">
        <v>439</v>
      </c>
      <c r="D107" s="315" t="s">
        <v>440</v>
      </c>
      <c r="E107" s="315" t="s">
        <v>441</v>
      </c>
      <c r="F107" s="314" t="s">
        <v>442</v>
      </c>
      <c r="G107" s="314" t="s">
        <v>443</v>
      </c>
      <c r="H107" s="315" t="s">
        <v>444</v>
      </c>
      <c r="I107" s="315" t="s">
        <v>445</v>
      </c>
      <c r="J107" s="315" t="s">
        <v>446</v>
      </c>
      <c r="K107" s="316" t="s">
        <v>447</v>
      </c>
      <c r="L107" s="2"/>
      <c r="M107" s="20"/>
      <c r="N107" s="20"/>
      <c r="O107" s="20"/>
      <c r="P107" s="19"/>
      <c r="R107" s="20"/>
    </row>
    <row r="108" spans="1:19">
      <c r="A108" s="3"/>
      <c r="B108" s="742" t="s">
        <v>321</v>
      </c>
      <c r="C108" s="401" t="s">
        <v>321</v>
      </c>
      <c r="D108" s="402"/>
      <c r="E108" s="403" t="str">
        <f>IF(ISBLANK(D108),"",D108*30)</f>
        <v/>
      </c>
      <c r="F108" s="355"/>
      <c r="G108" s="356" t="str">
        <f>IF(AND(E108&gt;0,F108&gt;0),(F108*E108),"")</f>
        <v/>
      </c>
      <c r="H108" s="355"/>
      <c r="I108" s="418" t="str">
        <f>IF(AND(G108&gt;0,H108&gt;0),H108/G108,"")</f>
        <v/>
      </c>
      <c r="J108" s="404"/>
      <c r="K108" s="460" t="str">
        <f>IF(AND(I108&gt;0,J108&gt;0),I108-J108,"")</f>
        <v/>
      </c>
      <c r="L108" s="2"/>
      <c r="M108" s="20"/>
      <c r="N108" s="20"/>
      <c r="O108" s="20"/>
      <c r="P108" s="19"/>
      <c r="R108" s="20"/>
    </row>
    <row r="109" spans="1:19">
      <c r="A109" s="3"/>
      <c r="B109" s="743"/>
      <c r="C109" s="401" t="s">
        <v>321</v>
      </c>
      <c r="D109" s="402"/>
      <c r="E109" s="403" t="str">
        <f>IF(ISBLANK(D109),"",D109*30)</f>
        <v/>
      </c>
      <c r="F109" s="355"/>
      <c r="G109" s="356" t="str">
        <f>IF(AND(E109&gt;0,F109&gt;0),(F109*E109),"")</f>
        <v/>
      </c>
      <c r="H109" s="355"/>
      <c r="I109" s="418" t="str">
        <f>IF(AND(G109&gt;0,H109&gt;0),H109/G109,"")</f>
        <v/>
      </c>
      <c r="J109" s="404"/>
      <c r="K109" s="460" t="str">
        <f>IF(AND(I109&gt;0,J109&gt;0),I109-J109,"")</f>
        <v/>
      </c>
      <c r="L109" s="2"/>
      <c r="M109" s="20"/>
      <c r="N109" s="20"/>
      <c r="O109" s="20"/>
      <c r="P109" s="19"/>
    </row>
    <row r="110" spans="1:19">
      <c r="A110" s="3"/>
      <c r="B110" s="743"/>
      <c r="C110" s="401" t="s">
        <v>321</v>
      </c>
      <c r="D110" s="402"/>
      <c r="E110" s="403" t="str">
        <f>IF(ISBLANK(D110),"",D110*30)</f>
        <v/>
      </c>
      <c r="F110" s="355"/>
      <c r="G110" s="356" t="str">
        <f>IF(AND(E110&gt;0,F110&gt;0),(F110*E110),"")</f>
        <v/>
      </c>
      <c r="H110" s="355"/>
      <c r="I110" s="418" t="str">
        <f>IF(AND(G110&gt;0,H110&gt;0),H110/G110,"")</f>
        <v/>
      </c>
      <c r="J110" s="404"/>
      <c r="K110" s="460" t="str">
        <f>IF(AND(I110&gt;0,J110&gt;0),I110-J110,"")</f>
        <v/>
      </c>
      <c r="L110" s="2"/>
      <c r="M110" s="20"/>
      <c r="N110" s="20"/>
      <c r="O110" s="20"/>
      <c r="P110" s="19"/>
      <c r="R110" s="20"/>
    </row>
    <row r="111" spans="1:19" ht="15.75" thickBot="1">
      <c r="A111" s="3"/>
      <c r="B111" s="744"/>
      <c r="C111" s="405" t="s">
        <v>321</v>
      </c>
      <c r="D111" s="406"/>
      <c r="E111" s="450" t="str">
        <f>IF(ISBLANK(D111),"",D111*30)</f>
        <v/>
      </c>
      <c r="F111" s="357"/>
      <c r="G111" s="451" t="str">
        <f>IF(AND(E111&gt;0,F111&gt;0),(F111*E111),"")</f>
        <v/>
      </c>
      <c r="H111" s="357"/>
      <c r="I111" s="452" t="str">
        <f>IF(AND(G111&gt;0,H111&gt;0),H111/G111,"")</f>
        <v/>
      </c>
      <c r="J111" s="407"/>
      <c r="K111" s="461"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9"/>
      <c r="K113" s="109"/>
      <c r="L113" s="3"/>
      <c r="M113" s="3"/>
    </row>
    <row r="114" spans="1:20" ht="19.5" thickBot="1">
      <c r="A114" s="3"/>
      <c r="B114" s="240" t="s">
        <v>448</v>
      </c>
      <c r="C114" s="128"/>
      <c r="D114" s="128"/>
      <c r="E114" s="129"/>
      <c r="F114" s="129"/>
      <c r="G114" s="129"/>
      <c r="H114" s="251"/>
      <c r="I114" s="241"/>
      <c r="J114" s="332"/>
      <c r="K114" s="333" t="s">
        <v>319</v>
      </c>
      <c r="L114" s="129"/>
      <c r="M114" s="334"/>
      <c r="N114" s="335"/>
      <c r="O114" s="335"/>
      <c r="P114" s="408"/>
      <c r="Q114" s="36"/>
    </row>
    <row r="115" spans="1:20" ht="15.75" thickBot="1">
      <c r="A115" s="3"/>
      <c r="B115" s="3"/>
      <c r="C115" s="3"/>
      <c r="D115" s="3"/>
      <c r="E115" s="3"/>
      <c r="F115" s="3"/>
      <c r="G115" s="3"/>
      <c r="H115" s="3"/>
      <c r="I115" s="3"/>
      <c r="J115" s="3"/>
      <c r="K115" s="3"/>
      <c r="L115" s="3"/>
      <c r="M115" s="3"/>
      <c r="N115"/>
      <c r="O115"/>
      <c r="P115" s="36"/>
      <c r="Q115" s="36"/>
    </row>
    <row r="116" spans="1:20" ht="25.5">
      <c r="A116" s="3"/>
      <c r="B116" s="699" t="s">
        <v>449</v>
      </c>
      <c r="C116" s="700"/>
      <c r="D116" s="701"/>
      <c r="E116" s="319" t="s">
        <v>359</v>
      </c>
      <c r="F116" s="487" t="s">
        <v>450</v>
      </c>
      <c r="G116" s="245"/>
      <c r="H116" s="384" t="s">
        <v>340</v>
      </c>
      <c r="I116" s="384" t="s">
        <v>513</v>
      </c>
      <c r="J116" s="384" t="s">
        <v>514</v>
      </c>
      <c r="K116" s="384" t="s">
        <v>515</v>
      </c>
      <c r="L116" s="384" t="s">
        <v>516</v>
      </c>
      <c r="M116" s="384" t="s">
        <v>517</v>
      </c>
      <c r="N116" s="384" t="s">
        <v>518</v>
      </c>
      <c r="O116" s="384" t="s">
        <v>519</v>
      </c>
      <c r="P116" s="384" t="s">
        <v>520</v>
      </c>
      <c r="Q116" s="384" t="s">
        <v>107</v>
      </c>
      <c r="R116" s="384" t="s">
        <v>108</v>
      </c>
      <c r="S116" s="385" t="s">
        <v>265</v>
      </c>
      <c r="T116" s="64"/>
    </row>
    <row r="117" spans="1:20" ht="1.5" customHeight="1">
      <c r="A117" s="3"/>
      <c r="B117" s="434"/>
      <c r="C117" s="435"/>
      <c r="D117" s="435"/>
      <c r="E117" s="436"/>
      <c r="F117" s="437"/>
      <c r="G117" s="438"/>
      <c r="H117" s="439"/>
      <c r="I117" s="439"/>
      <c r="J117" s="439"/>
      <c r="K117" s="439"/>
      <c r="L117" s="439"/>
      <c r="M117" s="439"/>
      <c r="N117" s="439"/>
      <c r="O117" s="439"/>
      <c r="P117" s="439"/>
      <c r="Q117" s="439"/>
      <c r="R117" s="439"/>
      <c r="S117" s="440"/>
      <c r="T117" s="64"/>
    </row>
    <row r="118" spans="1:20" ht="24" customHeight="1">
      <c r="A118" s="731" t="s">
        <v>322</v>
      </c>
      <c r="B118" s="980" t="s">
        <v>534</v>
      </c>
      <c r="C118" s="981"/>
      <c r="D118" s="982"/>
      <c r="E118" s="983">
        <v>2.2000000000000002</v>
      </c>
      <c r="F118" s="745" t="s">
        <v>100</v>
      </c>
      <c r="G118" s="510" t="s">
        <v>357</v>
      </c>
      <c r="H118" s="466"/>
      <c r="I118" s="466"/>
      <c r="J118" s="466"/>
      <c r="K118" s="471"/>
      <c r="L118" s="466"/>
      <c r="M118" s="466"/>
      <c r="N118" s="445"/>
      <c r="O118" s="984">
        <v>0.77300000000000002</v>
      </c>
      <c r="P118" s="445"/>
      <c r="Q118" s="130"/>
      <c r="R118" s="130"/>
      <c r="S118" s="131"/>
      <c r="T118" s="64"/>
    </row>
    <row r="119" spans="1:20" ht="24" customHeight="1">
      <c r="A119" s="731"/>
      <c r="B119" s="985"/>
      <c r="C119" s="986"/>
      <c r="D119" s="987"/>
      <c r="E119" s="988"/>
      <c r="F119" s="746"/>
      <c r="G119" s="510" t="s">
        <v>358</v>
      </c>
      <c r="H119" s="494"/>
      <c r="I119" s="494"/>
      <c r="J119" s="466"/>
      <c r="K119" s="498"/>
      <c r="L119" s="494"/>
      <c r="M119" s="494"/>
      <c r="N119" s="504"/>
      <c r="O119" s="984">
        <v>0.94769999999999999</v>
      </c>
      <c r="P119" s="445"/>
      <c r="Q119" s="130"/>
      <c r="R119" s="130"/>
      <c r="S119" s="131"/>
      <c r="T119" s="64"/>
    </row>
    <row r="120" spans="1:20" ht="24" customHeight="1">
      <c r="A120" s="731"/>
      <c r="B120" s="662" t="s">
        <v>379</v>
      </c>
      <c r="C120" s="663"/>
      <c r="D120" s="664"/>
      <c r="E120" s="669" t="s">
        <v>338</v>
      </c>
      <c r="F120" s="687" t="s">
        <v>100</v>
      </c>
      <c r="G120" s="481" t="s">
        <v>357</v>
      </c>
      <c r="H120" s="470"/>
      <c r="I120" s="470">
        <v>90</v>
      </c>
      <c r="J120" s="470"/>
      <c r="K120" s="469">
        <v>92</v>
      </c>
      <c r="L120" s="469"/>
      <c r="M120" s="470">
        <v>93</v>
      </c>
      <c r="N120" s="242"/>
      <c r="O120" s="529">
        <v>84</v>
      </c>
      <c r="P120" s="242"/>
      <c r="Q120" s="242"/>
      <c r="R120" s="242"/>
      <c r="S120" s="317"/>
      <c r="T120" s="64"/>
    </row>
    <row r="121" spans="1:20" ht="24" customHeight="1">
      <c r="A121" s="731"/>
      <c r="B121" s="662"/>
      <c r="C121" s="663"/>
      <c r="D121" s="664"/>
      <c r="E121" s="669"/>
      <c r="F121" s="688"/>
      <c r="G121" s="481" t="s">
        <v>358</v>
      </c>
      <c r="H121" s="470"/>
      <c r="I121" s="492">
        <v>88</v>
      </c>
      <c r="J121" s="492"/>
      <c r="K121" s="491">
        <v>80.7</v>
      </c>
      <c r="L121" s="492"/>
      <c r="M121" s="492">
        <v>81.900000000000006</v>
      </c>
      <c r="N121" s="318"/>
      <c r="O121" s="492">
        <v>81.2</v>
      </c>
      <c r="P121" s="242"/>
      <c r="Q121" s="242"/>
      <c r="R121" s="242"/>
      <c r="S121" s="317"/>
      <c r="T121" s="64"/>
    </row>
    <row r="122" spans="1:20" s="514" customFormat="1" ht="24" customHeight="1">
      <c r="A122" s="731"/>
      <c r="B122" s="739" t="s">
        <v>385</v>
      </c>
      <c r="C122" s="740"/>
      <c r="D122" s="741"/>
      <c r="E122" s="667">
        <v>2.1</v>
      </c>
      <c r="F122" s="738" t="s">
        <v>100</v>
      </c>
      <c r="G122" s="510" t="s">
        <v>357</v>
      </c>
      <c r="H122" s="466">
        <v>1298</v>
      </c>
      <c r="I122" s="466">
        <v>1439</v>
      </c>
      <c r="J122" s="466">
        <v>1626</v>
      </c>
      <c r="K122" s="471">
        <v>1814</v>
      </c>
      <c r="L122" s="466">
        <v>2031</v>
      </c>
      <c r="M122" s="466">
        <v>2249</v>
      </c>
      <c r="N122" s="511">
        <v>2643</v>
      </c>
      <c r="O122" s="511">
        <v>2965</v>
      </c>
      <c r="P122" s="511">
        <v>3213</v>
      </c>
      <c r="Q122" s="511"/>
      <c r="R122" s="511"/>
      <c r="S122" s="512"/>
      <c r="T122" s="513"/>
    </row>
    <row r="123" spans="1:20" s="514" customFormat="1" ht="24" customHeight="1">
      <c r="A123" s="731"/>
      <c r="B123" s="739"/>
      <c r="C123" s="740"/>
      <c r="D123" s="741"/>
      <c r="E123" s="667"/>
      <c r="F123" s="738"/>
      <c r="G123" s="510" t="s">
        <v>358</v>
      </c>
      <c r="H123" s="494">
        <v>1376</v>
      </c>
      <c r="I123" s="494">
        <v>1580</v>
      </c>
      <c r="J123" s="494">
        <v>1826</v>
      </c>
      <c r="K123" s="498">
        <v>2110</v>
      </c>
      <c r="L123" s="502">
        <v>2447</v>
      </c>
      <c r="M123" s="494">
        <v>2705</v>
      </c>
      <c r="N123" s="515">
        <v>2973</v>
      </c>
      <c r="O123" s="515">
        <v>3274</v>
      </c>
      <c r="P123" s="515">
        <v>3675</v>
      </c>
      <c r="Q123" s="511"/>
      <c r="R123" s="511"/>
      <c r="S123" s="512"/>
      <c r="T123" s="513"/>
    </row>
    <row r="124" spans="1:20" ht="24" customHeight="1">
      <c r="A124" s="505"/>
      <c r="B124" s="662" t="s">
        <v>380</v>
      </c>
      <c r="C124" s="663"/>
      <c r="D124" s="664"/>
      <c r="E124" s="667">
        <v>1.1000000000000001</v>
      </c>
      <c r="F124" s="692" t="s">
        <v>100</v>
      </c>
      <c r="G124" s="481" t="s">
        <v>357</v>
      </c>
      <c r="H124" s="466"/>
      <c r="I124" s="466">
        <v>45</v>
      </c>
      <c r="J124" s="466"/>
      <c r="K124" s="495">
        <v>60</v>
      </c>
      <c r="L124" s="466"/>
      <c r="M124" s="482">
        <v>70</v>
      </c>
      <c r="N124" s="130"/>
      <c r="O124" s="130"/>
      <c r="P124" s="130"/>
      <c r="Q124" s="130"/>
      <c r="R124" s="130"/>
      <c r="S124" s="131"/>
      <c r="T124" s="64"/>
    </row>
    <row r="125" spans="1:20" ht="24" customHeight="1">
      <c r="A125" s="505"/>
      <c r="B125" s="662"/>
      <c r="C125" s="663"/>
      <c r="D125" s="664"/>
      <c r="E125" s="667"/>
      <c r="F125" s="693"/>
      <c r="G125" s="481" t="s">
        <v>358</v>
      </c>
      <c r="H125" s="466"/>
      <c r="I125" s="493">
        <v>43.6</v>
      </c>
      <c r="J125" s="466"/>
      <c r="K125" s="496">
        <v>56.9</v>
      </c>
      <c r="L125" s="494"/>
      <c r="M125" s="494">
        <v>59.54</v>
      </c>
      <c r="N125" s="130"/>
      <c r="O125" s="130"/>
      <c r="P125" s="130"/>
      <c r="Q125" s="130"/>
      <c r="R125" s="130"/>
      <c r="S125" s="131"/>
      <c r="T125" s="64"/>
    </row>
    <row r="126" spans="1:20" ht="24" customHeight="1">
      <c r="A126" s="3"/>
      <c r="B126" s="706" t="s">
        <v>381</v>
      </c>
      <c r="C126" s="707"/>
      <c r="D126" s="708"/>
      <c r="E126" s="670">
        <v>1.1000000000000001</v>
      </c>
      <c r="F126" s="745" t="s">
        <v>100</v>
      </c>
      <c r="G126" s="510" t="s">
        <v>357</v>
      </c>
      <c r="H126" s="466">
        <v>15057</v>
      </c>
      <c r="I126" s="466">
        <v>16133</v>
      </c>
      <c r="J126" s="466">
        <v>16849</v>
      </c>
      <c r="K126" s="471">
        <v>17925</v>
      </c>
      <c r="L126" s="466">
        <v>19717</v>
      </c>
      <c r="M126" s="466">
        <v>21510</v>
      </c>
      <c r="N126" s="445">
        <v>8517</v>
      </c>
      <c r="O126" s="445">
        <v>9365</v>
      </c>
      <c r="P126" s="445">
        <v>10213</v>
      </c>
      <c r="Q126" s="445"/>
      <c r="R126" s="445"/>
      <c r="S126" s="446"/>
      <c r="T126" s="64"/>
    </row>
    <row r="127" spans="1:20" ht="24" customHeight="1">
      <c r="A127" s="3"/>
      <c r="B127" s="706"/>
      <c r="C127" s="707"/>
      <c r="D127" s="708"/>
      <c r="E127" s="670"/>
      <c r="F127" s="746"/>
      <c r="G127" s="510" t="s">
        <v>358</v>
      </c>
      <c r="H127" s="494">
        <v>13403</v>
      </c>
      <c r="I127" s="494">
        <v>13732</v>
      </c>
      <c r="J127" s="494">
        <v>14113</v>
      </c>
      <c r="K127" s="498">
        <v>14815</v>
      </c>
      <c r="L127" s="494">
        <v>16177</v>
      </c>
      <c r="M127" s="494">
        <v>17544</v>
      </c>
      <c r="N127" s="504">
        <v>7466</v>
      </c>
      <c r="O127" s="504">
        <v>8712</v>
      </c>
      <c r="P127" s="504">
        <v>7740</v>
      </c>
      <c r="Q127" s="445"/>
      <c r="R127" s="445"/>
      <c r="S127" s="446"/>
      <c r="T127" s="64"/>
    </row>
    <row r="128" spans="1:20" ht="24" customHeight="1">
      <c r="A128" s="3"/>
      <c r="B128" s="662" t="s">
        <v>384</v>
      </c>
      <c r="C128" s="663"/>
      <c r="D128" s="664"/>
      <c r="E128" s="669">
        <v>1.2</v>
      </c>
      <c r="F128" s="687" t="s">
        <v>100</v>
      </c>
      <c r="G128" s="510" t="s">
        <v>357</v>
      </c>
      <c r="H128" s="470">
        <v>372</v>
      </c>
      <c r="I128" s="470">
        <v>422</v>
      </c>
      <c r="J128" s="470">
        <v>497</v>
      </c>
      <c r="K128" s="469">
        <v>572</v>
      </c>
      <c r="L128" s="470">
        <v>672</v>
      </c>
      <c r="M128" s="470">
        <v>772</v>
      </c>
      <c r="N128" s="242">
        <v>25</v>
      </c>
      <c r="O128" s="242">
        <v>50</v>
      </c>
      <c r="P128" s="242">
        <v>50</v>
      </c>
      <c r="Q128" s="242"/>
      <c r="R128" s="242"/>
      <c r="S128" s="317"/>
      <c r="T128" s="64"/>
    </row>
    <row r="129" spans="1:21" ht="24" customHeight="1">
      <c r="A129" s="3"/>
      <c r="B129" s="662"/>
      <c r="C129" s="663"/>
      <c r="D129" s="664"/>
      <c r="E129" s="669"/>
      <c r="F129" s="688"/>
      <c r="G129" s="510" t="s">
        <v>358</v>
      </c>
      <c r="H129" s="492">
        <v>443</v>
      </c>
      <c r="I129" s="492">
        <v>542</v>
      </c>
      <c r="J129" s="492">
        <v>582</v>
      </c>
      <c r="K129" s="497">
        <v>650</v>
      </c>
      <c r="L129" s="492">
        <v>682</v>
      </c>
      <c r="M129" s="492">
        <v>733</v>
      </c>
      <c r="N129" s="503">
        <v>48</v>
      </c>
      <c r="O129" s="503">
        <v>98</v>
      </c>
      <c r="P129" s="503">
        <v>68</v>
      </c>
      <c r="Q129" s="242"/>
      <c r="R129" s="242"/>
      <c r="S129" s="317"/>
      <c r="T129" s="64"/>
    </row>
    <row r="130" spans="1:21" ht="24" customHeight="1">
      <c r="A130" s="3"/>
      <c r="B130" s="739" t="s">
        <v>382</v>
      </c>
      <c r="C130" s="740"/>
      <c r="D130" s="741"/>
      <c r="E130" s="670">
        <v>1.3</v>
      </c>
      <c r="F130" s="745" t="s">
        <v>100</v>
      </c>
      <c r="G130" s="510" t="s">
        <v>357</v>
      </c>
      <c r="H130" s="466">
        <v>2064</v>
      </c>
      <c r="I130" s="466">
        <v>2580</v>
      </c>
      <c r="J130" s="466">
        <v>2838</v>
      </c>
      <c r="K130" s="471">
        <v>3096</v>
      </c>
      <c r="L130" s="466">
        <v>3225</v>
      </c>
      <c r="M130" s="466">
        <v>3354</v>
      </c>
      <c r="N130" s="445">
        <v>2801</v>
      </c>
      <c r="O130" s="445">
        <v>3123</v>
      </c>
      <c r="P130" s="445">
        <v>3445</v>
      </c>
      <c r="Q130" s="445"/>
      <c r="R130" s="445"/>
      <c r="S130" s="446"/>
      <c r="T130" s="64"/>
    </row>
    <row r="131" spans="1:21" ht="24" customHeight="1">
      <c r="A131" s="3"/>
      <c r="B131" s="739"/>
      <c r="C131" s="740"/>
      <c r="D131" s="741"/>
      <c r="E131" s="670"/>
      <c r="F131" s="746"/>
      <c r="G131" s="510" t="s">
        <v>358</v>
      </c>
      <c r="H131" s="494">
        <v>1161</v>
      </c>
      <c r="I131" s="494">
        <v>1215</v>
      </c>
      <c r="J131" s="494">
        <v>1289</v>
      </c>
      <c r="K131" s="498">
        <v>1465</v>
      </c>
      <c r="L131" s="494">
        <v>2141</v>
      </c>
      <c r="M131" s="494">
        <v>2867</v>
      </c>
      <c r="N131" s="504">
        <v>2411</v>
      </c>
      <c r="O131" s="504">
        <v>2704</v>
      </c>
      <c r="P131" s="504">
        <v>2315</v>
      </c>
      <c r="Q131" s="445"/>
      <c r="R131" s="445"/>
      <c r="S131" s="446"/>
      <c r="T131" s="64"/>
    </row>
    <row r="132" spans="1:21" ht="24" customHeight="1">
      <c r="A132" s="3"/>
      <c r="B132" s="662" t="s">
        <v>383</v>
      </c>
      <c r="C132" s="663"/>
      <c r="D132" s="664"/>
      <c r="E132" s="669">
        <v>1.4</v>
      </c>
      <c r="F132" s="687" t="s">
        <v>100</v>
      </c>
      <c r="G132" s="510" t="s">
        <v>357</v>
      </c>
      <c r="H132" s="470">
        <v>950</v>
      </c>
      <c r="I132" s="470">
        <v>1000</v>
      </c>
      <c r="J132" s="470">
        <v>1100</v>
      </c>
      <c r="K132" s="469">
        <v>1250</v>
      </c>
      <c r="L132" s="470">
        <v>1500</v>
      </c>
      <c r="M132" s="470">
        <v>1750</v>
      </c>
      <c r="N132" s="318">
        <v>2093</v>
      </c>
      <c r="O132" s="318">
        <v>2513</v>
      </c>
      <c r="P132" s="318">
        <v>2933</v>
      </c>
      <c r="Q132" s="318"/>
      <c r="R132" s="318"/>
      <c r="S132" s="447"/>
      <c r="T132" s="64"/>
    </row>
    <row r="133" spans="1:21" ht="24" customHeight="1">
      <c r="A133" s="3"/>
      <c r="B133" s="662"/>
      <c r="C133" s="663"/>
      <c r="D133" s="664"/>
      <c r="E133" s="669"/>
      <c r="F133" s="688"/>
      <c r="G133" s="510" t="s">
        <v>358</v>
      </c>
      <c r="H133" s="492">
        <v>866</v>
      </c>
      <c r="I133" s="492">
        <v>884</v>
      </c>
      <c r="J133" s="492">
        <v>967</v>
      </c>
      <c r="K133" s="497">
        <v>1001</v>
      </c>
      <c r="L133" s="492">
        <v>1504</v>
      </c>
      <c r="M133" s="492">
        <v>1788</v>
      </c>
      <c r="N133" s="503">
        <v>904</v>
      </c>
      <c r="O133" s="503">
        <v>1685</v>
      </c>
      <c r="P133" s="989">
        <v>1073</v>
      </c>
      <c r="Q133" s="318"/>
      <c r="R133" s="318"/>
      <c r="S133" s="447"/>
      <c r="T133" s="64"/>
    </row>
    <row r="134" spans="1:21" ht="24" customHeight="1">
      <c r="A134" s="3"/>
      <c r="B134" s="739" t="s">
        <v>386</v>
      </c>
      <c r="C134" s="740"/>
      <c r="D134" s="741"/>
      <c r="E134" s="667">
        <v>2.2999999999999998</v>
      </c>
      <c r="F134" s="668" t="s">
        <v>100</v>
      </c>
      <c r="G134" s="510" t="s">
        <v>357</v>
      </c>
      <c r="H134" s="466"/>
      <c r="I134" s="466">
        <v>70</v>
      </c>
      <c r="J134" s="466"/>
      <c r="K134" s="484">
        <v>80</v>
      </c>
      <c r="L134" s="471"/>
      <c r="M134" s="471">
        <v>80</v>
      </c>
      <c r="N134" s="445"/>
      <c r="O134" s="445"/>
      <c r="P134" s="445"/>
      <c r="Q134" s="445"/>
      <c r="R134" s="445"/>
      <c r="S134" s="446"/>
      <c r="T134" s="64"/>
    </row>
    <row r="135" spans="1:21" ht="24" customHeight="1">
      <c r="A135" s="3"/>
      <c r="B135" s="739"/>
      <c r="C135" s="740"/>
      <c r="D135" s="741"/>
      <c r="E135" s="667"/>
      <c r="F135" s="668"/>
      <c r="G135" s="510" t="s">
        <v>358</v>
      </c>
      <c r="H135" s="466"/>
      <c r="I135" s="493">
        <v>57.3</v>
      </c>
      <c r="J135" s="466"/>
      <c r="K135" s="499">
        <v>43.9</v>
      </c>
      <c r="L135" s="494"/>
      <c r="M135" s="494">
        <v>50.2</v>
      </c>
      <c r="N135" s="445"/>
      <c r="O135" s="445"/>
      <c r="P135" s="445"/>
      <c r="Q135" s="445"/>
      <c r="R135" s="445"/>
      <c r="S135" s="446"/>
      <c r="T135" s="64"/>
    </row>
    <row r="136" spans="1:21" ht="24" customHeight="1">
      <c r="A136" s="3"/>
      <c r="B136" s="662" t="s">
        <v>387</v>
      </c>
      <c r="C136" s="663"/>
      <c r="D136" s="664"/>
      <c r="E136" s="669" t="s">
        <v>339</v>
      </c>
      <c r="F136" s="687" t="s">
        <v>100</v>
      </c>
      <c r="G136" s="510" t="s">
        <v>357</v>
      </c>
      <c r="H136" s="470">
        <v>1923</v>
      </c>
      <c r="I136" s="470">
        <v>2083</v>
      </c>
      <c r="J136" s="470">
        <v>2128</v>
      </c>
      <c r="K136" s="469">
        <v>2198</v>
      </c>
      <c r="L136" s="470">
        <v>2223</v>
      </c>
      <c r="M136" s="470">
        <v>2323</v>
      </c>
      <c r="N136" s="318"/>
      <c r="O136" s="318"/>
      <c r="P136" s="318"/>
      <c r="Q136" s="318"/>
      <c r="R136" s="318"/>
      <c r="S136" s="447"/>
      <c r="T136" s="64"/>
    </row>
    <row r="137" spans="1:21" ht="24" customHeight="1">
      <c r="A137" s="3"/>
      <c r="B137" s="662"/>
      <c r="C137" s="663"/>
      <c r="D137" s="664"/>
      <c r="E137" s="669"/>
      <c r="F137" s="688"/>
      <c r="G137" s="481" t="s">
        <v>358</v>
      </c>
      <c r="H137" s="492">
        <v>2055</v>
      </c>
      <c r="I137" s="492">
        <v>2133</v>
      </c>
      <c r="J137" s="492">
        <v>2208</v>
      </c>
      <c r="K137" s="497">
        <v>2254</v>
      </c>
      <c r="L137" s="492">
        <v>2289</v>
      </c>
      <c r="M137" s="492">
        <v>2307</v>
      </c>
      <c r="N137" s="318"/>
      <c r="O137" s="318"/>
      <c r="P137" s="318"/>
      <c r="Q137" s="318"/>
      <c r="R137" s="318"/>
      <c r="S137" s="447"/>
      <c r="T137" s="64"/>
    </row>
    <row r="138" spans="1:21" ht="24" customHeight="1">
      <c r="A138" s="3"/>
      <c r="B138" s="972" t="s">
        <v>378</v>
      </c>
      <c r="C138" s="973"/>
      <c r="D138" s="974"/>
      <c r="E138" s="970" t="s">
        <v>346</v>
      </c>
      <c r="F138" s="668" t="s">
        <v>100</v>
      </c>
      <c r="G138" s="481" t="s">
        <v>357</v>
      </c>
      <c r="H138" s="466"/>
      <c r="I138" s="468">
        <v>3</v>
      </c>
      <c r="J138" s="466"/>
      <c r="K138" s="467">
        <v>3</v>
      </c>
      <c r="L138" s="466"/>
      <c r="M138" s="468">
        <v>3</v>
      </c>
      <c r="N138" s="130"/>
      <c r="O138" s="528">
        <v>3</v>
      </c>
      <c r="P138" s="130"/>
      <c r="Q138" s="516"/>
      <c r="R138" s="516"/>
      <c r="S138" s="517"/>
      <c r="T138" s="64"/>
    </row>
    <row r="139" spans="1:21" ht="24" customHeight="1">
      <c r="A139" s="3"/>
      <c r="B139" s="975"/>
      <c r="C139" s="976"/>
      <c r="D139" s="977"/>
      <c r="E139" s="971"/>
      <c r="F139" s="668"/>
      <c r="G139" s="481" t="s">
        <v>358</v>
      </c>
      <c r="H139" s="466"/>
      <c r="I139" s="967">
        <v>4.2</v>
      </c>
      <c r="J139" s="968"/>
      <c r="K139" s="967">
        <v>4.17</v>
      </c>
      <c r="L139" s="968"/>
      <c r="M139" s="967">
        <v>3.3</v>
      </c>
      <c r="N139" s="969"/>
      <c r="O139" s="967">
        <v>5.73</v>
      </c>
      <c r="P139" s="130"/>
      <c r="Q139" s="516"/>
      <c r="R139" s="516"/>
      <c r="S139" s="517"/>
      <c r="T139" s="64"/>
    </row>
    <row r="140" spans="1:21">
      <c r="A140" s="3"/>
      <c r="B140" s="3"/>
      <c r="C140" s="3"/>
      <c r="D140" s="3"/>
      <c r="E140" s="3"/>
      <c r="F140" s="3"/>
      <c r="G140" s="2"/>
      <c r="H140" s="3"/>
      <c r="I140" s="3"/>
      <c r="J140" s="3"/>
      <c r="K140" s="3"/>
      <c r="L140" s="3"/>
      <c r="M140" s="3"/>
      <c r="N140" s="3"/>
      <c r="O140" s="3"/>
      <c r="R140" s="36"/>
      <c r="S140" s="36"/>
    </row>
    <row r="141" spans="1:21" ht="15.75" thickBot="1">
      <c r="A141" s="3"/>
      <c r="B141" s="3"/>
      <c r="C141" s="3"/>
      <c r="D141" s="3"/>
      <c r="E141" s="3"/>
      <c r="F141" s="3"/>
      <c r="G141" s="2"/>
      <c r="H141" s="3"/>
      <c r="I141" s="3"/>
      <c r="J141" s="3"/>
      <c r="K141" s="3"/>
      <c r="L141" s="3"/>
      <c r="M141" s="3"/>
      <c r="N141" s="3"/>
      <c r="O141" s="3"/>
      <c r="R141" s="36"/>
      <c r="S141" s="36"/>
    </row>
    <row r="142" spans="1:21" ht="26.25" thickBot="1">
      <c r="A142" s="3"/>
      <c r="B142" s="3" t="s">
        <v>451</v>
      </c>
      <c r="C142" s="3"/>
      <c r="D142" s="3"/>
      <c r="E142" s="319" t="s">
        <v>291</v>
      </c>
      <c r="F142" s="487" t="s">
        <v>452</v>
      </c>
      <c r="G142" s="245"/>
      <c r="H142" s="384" t="str">
        <f t="shared" ref="H142:S142" si="6">C30</f>
        <v>P1 (Q2.2010)</v>
      </c>
      <c r="I142" s="384" t="str">
        <f t="shared" si="6"/>
        <v>P2 (Q3-4.2010)</v>
      </c>
      <c r="J142" s="384" t="str">
        <f t="shared" si="6"/>
        <v>P3 (Q1-2.2011)</v>
      </c>
      <c r="K142" s="384" t="str">
        <f t="shared" si="6"/>
        <v>P4 (Q3-4.2011)</v>
      </c>
      <c r="L142" s="384" t="str">
        <f t="shared" si="6"/>
        <v>P5 (Q1-2.2012)</v>
      </c>
      <c r="M142" s="384" t="str">
        <f t="shared" si="6"/>
        <v>P6 (Q3-4.2012)</v>
      </c>
      <c r="N142" s="384" t="str">
        <f t="shared" si="6"/>
        <v>P7 (Q1-2.2013)</v>
      </c>
      <c r="O142" s="384" t="str">
        <f t="shared" si="6"/>
        <v>P8 (Q3-4.2013)</v>
      </c>
      <c r="P142" s="384" t="str">
        <f t="shared" si="6"/>
        <v>P9 (Q1-2.2014)</v>
      </c>
      <c r="Q142" s="384" t="str">
        <f t="shared" si="6"/>
        <v>P10</v>
      </c>
      <c r="R142" s="384" t="str">
        <f t="shared" si="6"/>
        <v>P11</v>
      </c>
      <c r="S142" s="385" t="str">
        <f t="shared" si="6"/>
        <v>P12</v>
      </c>
      <c r="T142" s="36"/>
      <c r="U142" s="36"/>
    </row>
    <row r="143" spans="1:21" ht="22.5" customHeight="1">
      <c r="A143" s="3"/>
      <c r="B143" s="678" t="str">
        <f>IF(ISBLANK(B118),"",(B118))</f>
        <v>% of HIV-positive pregnant women who received ARV treatment to reduce the risk of mother-to-child transmission // Procentul gravidelor HIV+ care au primit tratament ARV pentru a preveni transmiterea infectiei de la mama la fat</v>
      </c>
      <c r="C143" s="679"/>
      <c r="D143" s="680"/>
      <c r="E143" s="660">
        <f>IF(ISBLANK(E118),"",(E118))</f>
        <v>2.2000000000000002</v>
      </c>
      <c r="F143" s="665" t="str">
        <f>IF(ISBLANK(F118),"",(F118))</f>
        <v>Yes</v>
      </c>
      <c r="G143" s="518" t="s">
        <v>71</v>
      </c>
      <c r="H143" s="416">
        <f t="shared" ref="H143:S143" si="7">H118</f>
        <v>0</v>
      </c>
      <c r="I143" s="416">
        <f t="shared" si="7"/>
        <v>0</v>
      </c>
      <c r="J143" s="416">
        <f t="shared" si="7"/>
        <v>0</v>
      </c>
      <c r="K143" s="416">
        <f t="shared" si="7"/>
        <v>0</v>
      </c>
      <c r="L143" s="416">
        <f t="shared" si="7"/>
        <v>0</v>
      </c>
      <c r="M143" s="416">
        <f t="shared" si="7"/>
        <v>0</v>
      </c>
      <c r="N143" s="416">
        <f t="shared" si="7"/>
        <v>0</v>
      </c>
      <c r="O143" s="990">
        <f t="shared" si="7"/>
        <v>0.77300000000000002</v>
      </c>
      <c r="P143" s="416">
        <f t="shared" si="7"/>
        <v>0</v>
      </c>
      <c r="Q143" s="416">
        <f t="shared" si="7"/>
        <v>0</v>
      </c>
      <c r="R143" s="416">
        <f t="shared" si="7"/>
        <v>0</v>
      </c>
      <c r="S143" s="462">
        <f t="shared" si="7"/>
        <v>0</v>
      </c>
      <c r="T143" s="36"/>
      <c r="U143" s="36"/>
    </row>
    <row r="144" spans="1:21" ht="22.5" customHeight="1">
      <c r="A144" s="3"/>
      <c r="B144" s="681"/>
      <c r="C144" s="682"/>
      <c r="D144" s="683"/>
      <c r="E144" s="660"/>
      <c r="F144" s="665"/>
      <c r="G144" s="519" t="s">
        <v>72</v>
      </c>
      <c r="H144" s="416">
        <f t="shared" ref="H144:K148" si="8">H119</f>
        <v>0</v>
      </c>
      <c r="I144" s="416">
        <f t="shared" si="8"/>
        <v>0</v>
      </c>
      <c r="J144" s="416">
        <f t="shared" si="8"/>
        <v>0</v>
      </c>
      <c r="K144" s="416">
        <f t="shared" si="8"/>
        <v>0</v>
      </c>
      <c r="L144" s="416">
        <f t="shared" ref="L144:S144" si="9">L119</f>
        <v>0</v>
      </c>
      <c r="M144" s="416">
        <f t="shared" si="9"/>
        <v>0</v>
      </c>
      <c r="N144" s="416">
        <f t="shared" si="9"/>
        <v>0</v>
      </c>
      <c r="O144" s="990">
        <f t="shared" si="9"/>
        <v>0.94769999999999999</v>
      </c>
      <c r="P144" s="416">
        <f t="shared" si="9"/>
        <v>0</v>
      </c>
      <c r="Q144" s="416">
        <f t="shared" si="9"/>
        <v>0</v>
      </c>
      <c r="R144" s="416">
        <f t="shared" si="9"/>
        <v>0</v>
      </c>
      <c r="S144" s="462">
        <f t="shared" si="9"/>
        <v>0</v>
      </c>
      <c r="T144" s="36"/>
      <c r="U144" s="36"/>
    </row>
    <row r="145" spans="1:21" ht="21.75" customHeight="1">
      <c r="A145" s="3"/>
      <c r="B145" s="703" t="str">
        <f>IF(ISBLANK(B120),"",(B120))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145" s="704"/>
      <c r="D145" s="705"/>
      <c r="E145" s="677" t="str">
        <f>IF(ISBLANK(E120),"",(E120))</f>
        <v>Impact</v>
      </c>
      <c r="F145" s="709" t="str">
        <f>IF(ISBLANK(F120),"",(F120))</f>
        <v>Yes</v>
      </c>
      <c r="G145" s="520" t="s">
        <v>71</v>
      </c>
      <c r="H145" s="448">
        <f t="shared" si="8"/>
        <v>0</v>
      </c>
      <c r="I145" s="448">
        <f>I120</f>
        <v>90</v>
      </c>
      <c r="J145" s="448">
        <f t="shared" si="8"/>
        <v>0</v>
      </c>
      <c r="K145" s="448">
        <f>K120</f>
        <v>92</v>
      </c>
      <c r="L145" s="448">
        <f t="shared" ref="L145:S145" si="10">L120</f>
        <v>0</v>
      </c>
      <c r="M145" s="448">
        <f t="shared" si="10"/>
        <v>93</v>
      </c>
      <c r="N145" s="448">
        <f t="shared" si="10"/>
        <v>0</v>
      </c>
      <c r="O145" s="448">
        <f t="shared" si="10"/>
        <v>84</v>
      </c>
      <c r="P145" s="448">
        <f t="shared" si="10"/>
        <v>0</v>
      </c>
      <c r="Q145" s="448">
        <f t="shared" si="10"/>
        <v>0</v>
      </c>
      <c r="R145" s="448">
        <f t="shared" si="10"/>
        <v>0</v>
      </c>
      <c r="S145" s="463">
        <f t="shared" si="10"/>
        <v>0</v>
      </c>
      <c r="T145" s="36"/>
      <c r="U145" s="36"/>
    </row>
    <row r="146" spans="1:21" ht="21.75" customHeight="1">
      <c r="A146" s="3"/>
      <c r="B146" s="703"/>
      <c r="C146" s="704"/>
      <c r="D146" s="705"/>
      <c r="E146" s="677"/>
      <c r="F146" s="709"/>
      <c r="G146" s="520" t="s">
        <v>72</v>
      </c>
      <c r="H146" s="448">
        <f t="shared" si="8"/>
        <v>0</v>
      </c>
      <c r="I146" s="448">
        <f t="shared" si="8"/>
        <v>88</v>
      </c>
      <c r="J146" s="448">
        <f t="shared" si="8"/>
        <v>0</v>
      </c>
      <c r="K146" s="448">
        <f t="shared" si="8"/>
        <v>80.7</v>
      </c>
      <c r="L146" s="448">
        <f t="shared" ref="L146:S146" si="11">L121</f>
        <v>0</v>
      </c>
      <c r="M146" s="448">
        <f t="shared" si="11"/>
        <v>81.900000000000006</v>
      </c>
      <c r="N146" s="448">
        <f t="shared" si="11"/>
        <v>0</v>
      </c>
      <c r="O146" s="448">
        <f t="shared" si="11"/>
        <v>81.2</v>
      </c>
      <c r="P146" s="448">
        <f t="shared" si="11"/>
        <v>0</v>
      </c>
      <c r="Q146" s="448">
        <f t="shared" si="11"/>
        <v>0</v>
      </c>
      <c r="R146" s="448">
        <f t="shared" si="11"/>
        <v>0</v>
      </c>
      <c r="S146" s="463">
        <f t="shared" si="11"/>
        <v>0</v>
      </c>
      <c r="T146" s="36"/>
      <c r="U146" s="36"/>
    </row>
    <row r="147" spans="1:21" ht="23.25" customHeight="1">
      <c r="A147" s="3"/>
      <c r="B147" s="671" t="str">
        <f>IF(ISBLANK(B122),"",(B122))</f>
        <v>Number of people with advanced HIV infection that have started antiretroviral combination therapy // Numărul pesoanelor cu infecţia HIV/SIDA avansată care au initiat tratament antiretroviral combinat</v>
      </c>
      <c r="C147" s="672"/>
      <c r="D147" s="673"/>
      <c r="E147" s="660">
        <f>IF(ISBLANK(E122),"",(E122))</f>
        <v>2.1</v>
      </c>
      <c r="F147" s="665" t="str">
        <f>IF(ISBLANK(F122),"",(F122))</f>
        <v>Yes</v>
      </c>
      <c r="G147" s="519" t="s">
        <v>71</v>
      </c>
      <c r="H147" s="416">
        <f t="shared" si="8"/>
        <v>1298</v>
      </c>
      <c r="I147" s="416">
        <f t="shared" si="8"/>
        <v>1439</v>
      </c>
      <c r="J147" s="416">
        <f t="shared" si="8"/>
        <v>1626</v>
      </c>
      <c r="K147" s="416">
        <f t="shared" si="8"/>
        <v>1814</v>
      </c>
      <c r="L147" s="416">
        <f t="shared" ref="L147:S147" si="12">L122</f>
        <v>2031</v>
      </c>
      <c r="M147" s="416">
        <f t="shared" si="12"/>
        <v>2249</v>
      </c>
      <c r="N147" s="416">
        <f t="shared" si="12"/>
        <v>2643</v>
      </c>
      <c r="O147" s="416">
        <f t="shared" si="12"/>
        <v>2965</v>
      </c>
      <c r="P147" s="416">
        <f t="shared" si="12"/>
        <v>3213</v>
      </c>
      <c r="Q147" s="416">
        <f t="shared" si="12"/>
        <v>0</v>
      </c>
      <c r="R147" s="416">
        <f t="shared" si="12"/>
        <v>0</v>
      </c>
      <c r="S147" s="462">
        <f t="shared" si="12"/>
        <v>0</v>
      </c>
      <c r="T147" s="36"/>
      <c r="U147" s="36"/>
    </row>
    <row r="148" spans="1:21" ht="23.25" customHeight="1" thickBot="1">
      <c r="A148" s="3"/>
      <c r="B148" s="674"/>
      <c r="C148" s="675"/>
      <c r="D148" s="676"/>
      <c r="E148" s="661"/>
      <c r="F148" s="666"/>
      <c r="G148" s="521" t="s">
        <v>72</v>
      </c>
      <c r="H148" s="417">
        <f t="shared" si="8"/>
        <v>1376</v>
      </c>
      <c r="I148" s="417">
        <f t="shared" si="8"/>
        <v>1580</v>
      </c>
      <c r="J148" s="417">
        <f t="shared" si="8"/>
        <v>1826</v>
      </c>
      <c r="K148" s="417">
        <f t="shared" si="8"/>
        <v>2110</v>
      </c>
      <c r="L148" s="417">
        <f t="shared" ref="L148:S148" si="13">L123</f>
        <v>2447</v>
      </c>
      <c r="M148" s="417">
        <f t="shared" si="13"/>
        <v>2705</v>
      </c>
      <c r="N148" s="417">
        <f t="shared" si="13"/>
        <v>2973</v>
      </c>
      <c r="O148" s="417">
        <f t="shared" si="13"/>
        <v>3274</v>
      </c>
      <c r="P148" s="417">
        <f t="shared" si="13"/>
        <v>3675</v>
      </c>
      <c r="Q148" s="417">
        <f t="shared" si="13"/>
        <v>0</v>
      </c>
      <c r="R148" s="417">
        <f t="shared" si="13"/>
        <v>0</v>
      </c>
      <c r="S148" s="464">
        <f t="shared" si="13"/>
        <v>0</v>
      </c>
      <c r="T148" s="36"/>
      <c r="U148" s="36"/>
    </row>
    <row r="149" spans="1:21">
      <c r="A149" s="3"/>
      <c r="B149" s="3"/>
      <c r="C149" s="3"/>
      <c r="D149" s="3"/>
      <c r="E149" s="3"/>
      <c r="F149" s="3"/>
      <c r="G149" s="3"/>
      <c r="H149" s="3"/>
      <c r="I149" s="3"/>
      <c r="J149" s="3"/>
      <c r="K149" s="3"/>
      <c r="L149" s="3"/>
      <c r="M149" s="3"/>
      <c r="N149"/>
      <c r="O149"/>
      <c r="P149" s="36"/>
      <c r="Q149" s="36"/>
      <c r="S149" s="449"/>
    </row>
    <row r="150" spans="1:21">
      <c r="N150"/>
      <c r="O150"/>
      <c r="P150" s="36"/>
      <c r="Q150" s="36"/>
    </row>
    <row r="151" spans="1:21">
      <c r="N151"/>
      <c r="O151"/>
      <c r="P151" s="36"/>
      <c r="Q151" s="36"/>
    </row>
  </sheetData>
  <mergeCells count="76">
    <mergeCell ref="E138:E139"/>
    <mergeCell ref="F138:F139"/>
    <mergeCell ref="A118:A123"/>
    <mergeCell ref="B29:N29"/>
    <mergeCell ref="B118:D119"/>
    <mergeCell ref="B60:D60"/>
    <mergeCell ref="F122:F123"/>
    <mergeCell ref="B120:D121"/>
    <mergeCell ref="B122:D123"/>
    <mergeCell ref="F130:F131"/>
    <mergeCell ref="B108:B111"/>
    <mergeCell ref="F132:F133"/>
    <mergeCell ref="E128:E129"/>
    <mergeCell ref="F128:F129"/>
    <mergeCell ref="F126:F127"/>
    <mergeCell ref="B124:D125"/>
    <mergeCell ref="C12:D12"/>
    <mergeCell ref="G24:H24"/>
    <mergeCell ref="C6:D6"/>
    <mergeCell ref="E6:F6"/>
    <mergeCell ref="B72:C72"/>
    <mergeCell ref="B18:C18"/>
    <mergeCell ref="D18:F18"/>
    <mergeCell ref="B71:C71"/>
    <mergeCell ref="B26:C26"/>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B145:D146"/>
    <mergeCell ref="B132:D133"/>
    <mergeCell ref="B128:D129"/>
    <mergeCell ref="B134:D135"/>
    <mergeCell ref="B138:D139"/>
    <mergeCell ref="E124:E125"/>
    <mergeCell ref="F124:F125"/>
    <mergeCell ref="I24:J24"/>
    <mergeCell ref="B21:J21"/>
    <mergeCell ref="B73:C73"/>
    <mergeCell ref="E122:E123"/>
    <mergeCell ref="B116:D116"/>
    <mergeCell ref="D24:E24"/>
    <mergeCell ref="O31:O34"/>
    <mergeCell ref="E118:E119"/>
    <mergeCell ref="F118:F119"/>
    <mergeCell ref="F120:F121"/>
    <mergeCell ref="E120:E121"/>
    <mergeCell ref="F47:I47"/>
    <mergeCell ref="E147:E148"/>
    <mergeCell ref="B126:D127"/>
    <mergeCell ref="F147:F148"/>
    <mergeCell ref="E134:E135"/>
    <mergeCell ref="F134:F135"/>
    <mergeCell ref="E136:E137"/>
    <mergeCell ref="F136:F137"/>
    <mergeCell ref="E143:E144"/>
    <mergeCell ref="E126:E127"/>
    <mergeCell ref="E132:E133"/>
    <mergeCell ref="B147:D148"/>
    <mergeCell ref="B136:D137"/>
    <mergeCell ref="E145:E146"/>
    <mergeCell ref="E130:E131"/>
    <mergeCell ref="B130:D131"/>
    <mergeCell ref="B143:D144"/>
  </mergeCells>
  <phoneticPr fontId="30" type="noConversion"/>
  <conditionalFormatting sqref="B34 B32 C32:D33 E32:H32 E33:N33 C31">
    <cfRule type="expression" dxfId="50" priority="10" stopIfTrue="1">
      <formula>+AND(B30&gt;=#REF!,B30&lt;=#REF!)</formula>
    </cfRule>
  </conditionalFormatting>
  <conditionalFormatting sqref="C34:N34">
    <cfRule type="expression" dxfId="49" priority="11" stopIfTrue="1">
      <formula>+AND(C32&gt;=#REF!,C32&lt;=#REF!)</formula>
    </cfRule>
  </conditionalFormatting>
  <conditionalFormatting sqref="C30:N30 C94:N94">
    <cfRule type="cellIs" dxfId="48" priority="14" stopIfTrue="1" operator="equal">
      <formula>$C$16</formula>
    </cfRule>
  </conditionalFormatting>
  <conditionalFormatting sqref="C12:D12">
    <cfRule type="cellIs" dxfId="47" priority="16" stopIfTrue="1" operator="equal">
      <formula>"C"</formula>
    </cfRule>
    <cfRule type="cellIs" dxfId="46" priority="17" stopIfTrue="1" operator="equal">
      <formula>"B2"</formula>
    </cfRule>
    <cfRule type="cellIs" dxfId="45" priority="18" stopIfTrue="1" operator="equal">
      <formula>"B1"</formula>
    </cfRule>
  </conditionalFormatting>
  <conditionalFormatting sqref="H142:S142 H116:S117 C30:H30 C94:H94">
    <cfRule type="cellIs" dxfId="44" priority="25" stopIfTrue="1" operator="equal">
      <formula>$C$16</formula>
    </cfRule>
  </conditionalFormatting>
  <conditionalFormatting sqref="F47:I47">
    <cfRule type="expression" dxfId="43" priority="26" stopIfTrue="1">
      <formula>LEFT($F$47,2)="OK"</formula>
    </cfRule>
  </conditionalFormatting>
  <conditionalFormatting sqref="C32:E32 C31">
    <cfRule type="expression" dxfId="42" priority="8" stopIfTrue="1">
      <formula>+AND(C30&gt;=#REF!,C30&lt;=#REF!)</formula>
    </cfRule>
  </conditionalFormatting>
  <conditionalFormatting sqref="B34">
    <cfRule type="expression" dxfId="41" priority="5" stopIfTrue="1">
      <formula>+AND(B33&gt;=#REF!,B33&lt;=#REF!)</formula>
    </cfRule>
  </conditionalFormatting>
  <conditionalFormatting sqref="C32:H32 C31">
    <cfRule type="expression" dxfId="40" priority="2" stopIfTrue="1">
      <formula>+AND(C30&gt;=#REF!,C30&lt;=#REF!)</formula>
    </cfRule>
  </conditionalFormatting>
  <conditionalFormatting sqref="C32:E32 C31">
    <cfRule type="expression" dxfId="39" priority="1" stopIfTrue="1">
      <formula>+AND(C30&gt;=#REF!,C30&lt;=#REF!)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25" right="0.25" top="0.75" bottom="0.75" header="0.3" footer="0.3"/>
  <pageSetup paperSize="8" scale="60" orientation="landscape" r:id="rId1"/>
  <headerFooter>
    <oddFooter>&amp;L&amp;F&amp;C&amp;A&amp;RV1.0          &amp;D</oddFooter>
  </headerFooter>
  <ignoredErrors>
    <ignoredError sqref="H142:S142 E143 J6" unlockedFormula="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51"/>
  </sheetPr>
  <dimension ref="A1:X18"/>
  <sheetViews>
    <sheetView showGridLines="0" view="pageBreakPreview" zoomScaleNormal="110" zoomScaleSheetLayoutView="100" workbookViewId="0">
      <selection activeCell="K23" sqref="K23"/>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67"/>
      <c r="H1" s="2"/>
      <c r="I1" s="2"/>
      <c r="J1" s="2"/>
    </row>
    <row r="2" spans="1:24" ht="25.5" customHeight="1"/>
    <row r="3" spans="1:24" ht="36">
      <c r="B3" s="752" t="str">
        <f>+"Dashboard: "&amp;" "&amp;+IF('Introducerea datelor'!C4="Please Select","",'Introducerea datelor'!C4&amp;" - ")&amp;+IF('Introducerea datelor'!G6="Please Select","",'Introducerea datelor'!G6)</f>
        <v>Dashboard:  Moldova - HIV / AIDS</v>
      </c>
      <c r="C3" s="752"/>
      <c r="D3" s="752"/>
      <c r="E3" s="752"/>
      <c r="F3" s="752"/>
      <c r="G3" s="752"/>
      <c r="H3" s="752"/>
      <c r="I3" s="752"/>
      <c r="J3" s="752"/>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77.25" customHeight="1">
      <c r="A6" s="263" t="s">
        <v>19</v>
      </c>
      <c r="B6" s="753" t="str">
        <f>+IF('Introducerea datelor'!C4="Please Select","",'Introducerea datelor'!C4)</f>
        <v>Moldova</v>
      </c>
      <c r="C6" s="753"/>
      <c r="D6" s="756" t="s">
        <v>5</v>
      </c>
      <c r="E6" s="756"/>
      <c r="F6" s="757" t="str">
        <f>+'Introducerea datelor'!G4</f>
        <v>Scaling up Access to Prevention, Treatment and Care under the National Program for Prevention and Control of HIV/AIDS/STIs 2006-2010 and reducing morbidity, mortality and HIV-related impact on people living with HIV/AIDS, 2010-2014</v>
      </c>
      <c r="G6" s="757"/>
      <c r="H6" s="757"/>
      <c r="I6" s="757"/>
      <c r="J6" s="757"/>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75" t="s">
        <v>20</v>
      </c>
      <c r="B9" s="337" t="str">
        <f>+IF('Introducerea datelor'!G6="Please Select","",'Introducerea datelor'!G6)</f>
        <v>HIV / AIDS</v>
      </c>
      <c r="C9" s="225" t="s">
        <v>292</v>
      </c>
      <c r="D9" s="338" t="str">
        <f>+'Introducerea datelor'!C6</f>
        <v>MOL-H-PCIMU</v>
      </c>
      <c r="E9" s="755" t="s">
        <v>6</v>
      </c>
      <c r="F9" s="755"/>
      <c r="G9" s="339">
        <f>+IF(ISBLANK('Introducerea datelor'!C10),"",'Introducerea datelor'!C10)</f>
        <v>41275</v>
      </c>
      <c r="H9" s="375" t="s">
        <v>293</v>
      </c>
      <c r="I9" s="754">
        <f>+IF(ISBLANK('Introducerea datelor'!I6),"",'Introducerea datelor'!I6)</f>
        <v>10150404.691729322</v>
      </c>
      <c r="J9" s="754"/>
      <c r="K9" s="50"/>
      <c r="L9" s="50"/>
      <c r="M9" s="50"/>
      <c r="N9" s="50"/>
      <c r="O9" s="52"/>
      <c r="P9" s="51"/>
      <c r="Q9" s="52"/>
      <c r="R9" s="53"/>
      <c r="S9" s="17"/>
      <c r="T9" s="11"/>
      <c r="U9" s="11"/>
      <c r="V9" s="10"/>
      <c r="W9" s="10"/>
      <c r="X9" s="10"/>
    </row>
    <row r="10" spans="1:24" ht="25.5" customHeight="1">
      <c r="A10" s="375" t="s">
        <v>290</v>
      </c>
      <c r="B10" s="340" t="str">
        <f>+IF('Introducerea datelor'!G8="Please Select","",'Introducerea datelor'!G8)</f>
        <v/>
      </c>
      <c r="C10" s="225" t="s">
        <v>289</v>
      </c>
      <c r="D10" s="341" t="str">
        <f>+IF('Introducerea datelor'!I8="Please Select","",'Introducerea datelor'!I8)</f>
        <v>Faza 2</v>
      </c>
      <c r="E10" s="748" t="s">
        <v>248</v>
      </c>
      <c r="F10" s="748"/>
      <c r="G10" s="747" t="str">
        <f>+'Introducerea datelor'!C8</f>
        <v>PI "CIMU HSRP"</v>
      </c>
      <c r="H10" s="747"/>
      <c r="I10" s="747"/>
      <c r="J10" s="747"/>
      <c r="K10" s="54"/>
      <c r="L10" s="54"/>
      <c r="M10" s="50"/>
      <c r="N10" s="54"/>
      <c r="O10" s="52"/>
      <c r="P10" s="51"/>
      <c r="Q10" s="11"/>
      <c r="R10" s="53"/>
      <c r="S10" s="17"/>
      <c r="T10" s="11"/>
      <c r="U10" s="11"/>
    </row>
    <row r="11" spans="1:24" ht="25.5" customHeight="1">
      <c r="A11" s="375" t="s">
        <v>14</v>
      </c>
      <c r="B11" s="342" t="str">
        <f>+'Introducerea datelor'!C16</f>
        <v>P9</v>
      </c>
      <c r="C11" s="323" t="s">
        <v>247</v>
      </c>
      <c r="D11" s="343">
        <f>+IF(ISBLANK('Introducerea datelor'!E16),"",'Introducerea datelor'!E16)</f>
        <v>41640</v>
      </c>
      <c r="E11" s="755" t="s">
        <v>15</v>
      </c>
      <c r="F11" s="755"/>
      <c r="G11" s="343">
        <f>+IF(ISBLANK('Introducerea datelor'!G16),"",'Introducerea datelor'!G16)</f>
        <v>41820</v>
      </c>
      <c r="H11" s="375" t="s">
        <v>22</v>
      </c>
      <c r="I11" s="749" t="s">
        <v>38</v>
      </c>
      <c r="J11" s="749"/>
      <c r="K11" s="266"/>
      <c r="L11" s="54"/>
      <c r="M11" s="50"/>
      <c r="N11" s="54"/>
      <c r="O11" s="54"/>
      <c r="P11" s="51"/>
      <c r="Q11" s="11"/>
      <c r="R11" s="53"/>
      <c r="S11" s="17"/>
      <c r="T11" s="12"/>
      <c r="U11" s="11"/>
    </row>
    <row r="12" spans="1:24" ht="25.5" customHeight="1">
      <c r="A12" s="375" t="s">
        <v>24</v>
      </c>
      <c r="B12" s="747" t="str">
        <f>+IF('Introducerea datelor'!G10="Please Select","",'Introducerea datelor'!G10)</f>
        <v>PwC (PricewaterhouseCoopers)</v>
      </c>
      <c r="C12" s="747"/>
      <c r="D12" s="747"/>
      <c r="E12" s="748" t="s">
        <v>266</v>
      </c>
      <c r="F12" s="748"/>
      <c r="G12" s="747" t="str">
        <f>+'Introducerea datelor'!G12</f>
        <v>Tatiana Vinicenco</v>
      </c>
      <c r="H12" s="747"/>
      <c r="I12" s="747"/>
      <c r="J12" s="747"/>
      <c r="K12" s="54"/>
      <c r="L12" s="54"/>
      <c r="M12" s="50"/>
      <c r="N12" s="54"/>
      <c r="O12" s="17"/>
      <c r="P12" s="51"/>
      <c r="Q12" s="11"/>
      <c r="R12" s="53"/>
      <c r="S12" s="17"/>
      <c r="T12" s="11"/>
      <c r="U12" s="55"/>
      <c r="V12" s="11"/>
      <c r="W12" s="12"/>
      <c r="X12" s="11"/>
    </row>
    <row r="13" spans="1:24" ht="25.5" customHeight="1">
      <c r="A13" s="375" t="s">
        <v>25</v>
      </c>
      <c r="B13" s="747" t="str">
        <f>+'Introducerea datelor'!D18</f>
        <v>IP UCIMP RSS</v>
      </c>
      <c r="C13" s="747"/>
      <c r="D13" s="747"/>
      <c r="E13" s="748" t="s">
        <v>23</v>
      </c>
      <c r="F13" s="748"/>
      <c r="G13" s="750">
        <f>+IF(ISBLANK('Introducerea datelor'!J16),"",'Introducerea datelor'!J16)</f>
        <v>41922</v>
      </c>
      <c r="H13" s="751"/>
      <c r="I13" s="751"/>
      <c r="J13" s="751"/>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4"/>
      <c r="D16" s="16"/>
      <c r="E16" s="376"/>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8" priority="1" stopIfTrue="1" operator="equal">
      <formula>"C"</formula>
    </cfRule>
    <cfRule type="cellIs" dxfId="37" priority="2" stopIfTrue="1" operator="equal">
      <formula>"B2"</formula>
    </cfRule>
    <cfRule type="cellIs" dxfId="36"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view="pageLayout" topLeftCell="A25" zoomScale="115" zoomScaleNormal="70" zoomScalePageLayoutView="115" workbookViewId="0">
      <selection activeCell="I23" sqref="I23:K23"/>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2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96" t="str">
        <f>+"Dashboard:  "&amp;"  "&amp;IF(+'Introducerea datelor'!C4="Please Select","",'Introducerea datelor'!C4&amp;" - ")&amp;IF('Introducerea datelor'!G6="Please Select","",'Introducerea datelor'!G6)</f>
        <v>Dashboard:    Moldova - HIV / AIDS</v>
      </c>
      <c r="C2" s="696"/>
      <c r="D2" s="696"/>
      <c r="E2" s="696"/>
      <c r="F2" s="696"/>
      <c r="G2" s="696"/>
      <c r="H2" s="696"/>
      <c r="I2" s="696"/>
      <c r="J2" s="696"/>
      <c r="K2" s="696"/>
      <c r="L2" s="1"/>
      <c r="M2" s="1"/>
      <c r="N2" s="1"/>
      <c r="O2" s="1"/>
    </row>
    <row r="3" spans="2:15">
      <c r="B3" s="132" t="str">
        <f>+IF('Introducerea datelor'!G8="Please Select","",'Introducerea datelor'!G8)</f>
        <v/>
      </c>
      <c r="C3" s="775" t="str">
        <f>+IF('Introducerea datelor'!I8="Please Select","",'Introducerea datelor'!I8)</f>
        <v>Faza 2</v>
      </c>
      <c r="D3" s="775"/>
      <c r="E3" s="774"/>
      <c r="F3" s="774"/>
      <c r="G3" s="774"/>
      <c r="H3" s="774"/>
      <c r="I3" s="772" t="str">
        <f>+'Introducerea datelor'!B16</f>
        <v>Perioada de Raportare:</v>
      </c>
      <c r="J3" s="772"/>
      <c r="K3" s="198" t="str">
        <f>+'Introducerea datelor'!C16</f>
        <v>P9</v>
      </c>
      <c r="L3" s="83"/>
    </row>
    <row r="4" spans="2:15">
      <c r="B4" s="132" t="str">
        <f>+'Introducerea datelor'!B12</f>
        <v>Ultimul Rating:</v>
      </c>
      <c r="C4" s="776" t="str">
        <f>+IF('Introducerea datelor'!C12="Please Select","",'Introducerea datelor'!C12)</f>
        <v>A2</v>
      </c>
      <c r="D4" s="776"/>
      <c r="E4" s="774" t="str">
        <f>+'Introducerea datelor'!C8</f>
        <v>PI "CIMU HSRP"</v>
      </c>
      <c r="F4" s="774"/>
      <c r="G4" s="774"/>
      <c r="H4" s="774"/>
      <c r="I4" s="772" t="str">
        <f>+'Introducerea datelor'!D16</f>
        <v>De la:</v>
      </c>
      <c r="J4" s="773"/>
      <c r="K4" s="200">
        <f>+IF(ISBLANK('Introducerea datelor'!E16),"",'Introducerea datelor'!E16)</f>
        <v>41640</v>
      </c>
    </row>
    <row r="5" spans="2:15" ht="49.5" customHeight="1">
      <c r="B5" s="132"/>
      <c r="C5" s="132"/>
      <c r="D5" s="771" t="str">
        <f>+'Introducerea datelor'!G4</f>
        <v>Scaling up Access to Prevention, Treatment and Care under the National Program for Prevention and Control of HIV/AIDS/STIs 2006-2010 and reducing morbidity, mortality and HIV-related impact on people living with HIV/AIDS, 2010-2014</v>
      </c>
      <c r="E5" s="771"/>
      <c r="F5" s="771"/>
      <c r="G5" s="771"/>
      <c r="H5" s="771"/>
      <c r="I5" s="771"/>
      <c r="J5" s="132" t="str">
        <f>+'Introducerea datelor'!F16</f>
        <v>Pînă la:</v>
      </c>
      <c r="K5" s="200">
        <f>+IF(ISBLANK('Introducerea datelor'!G16),"",'Introducerea datelor'!G16)</f>
        <v>41820</v>
      </c>
    </row>
    <row r="6" spans="2:15" ht="18.75">
      <c r="B6" s="136"/>
      <c r="C6" s="132"/>
      <c r="D6" s="133"/>
      <c r="E6" s="777" t="s">
        <v>56</v>
      </c>
      <c r="F6" s="777"/>
      <c r="G6" s="777"/>
      <c r="H6" s="777"/>
      <c r="I6" s="3"/>
      <c r="J6" s="3"/>
      <c r="K6" s="3"/>
    </row>
    <row r="7" spans="2:15" ht="10.5" customHeight="1">
      <c r="B7" s="137"/>
      <c r="C7" s="138"/>
      <c r="D7" s="139"/>
      <c r="E7" s="140"/>
      <c r="F7" s="140"/>
      <c r="G7" s="141"/>
      <c r="H7" s="141"/>
      <c r="I7" s="135"/>
      <c r="J7" s="135"/>
      <c r="K7" s="134"/>
    </row>
    <row r="8" spans="2:15">
      <c r="B8" s="203" t="str">
        <f>+'Introducerea datelor'!B27&amp; " - in ("&amp;'Introducerea datelor'!D26&amp;")         "&amp;+I3&amp;" "&amp;+K3</f>
        <v>F1: Bugetul și debursările de către Fondul Global - in (€)         Perioada de Raportare: P9</v>
      </c>
      <c r="C8" s="142"/>
      <c r="D8" s="2"/>
      <c r="E8" s="2"/>
      <c r="F8" s="2"/>
      <c r="H8" s="203" t="str">
        <f>+'Introducerea datelor'!B49&amp; " - in ("&amp;'Introducerea datelor'!D26&amp;")         "&amp;+I3&amp;" "&amp;+K3</f>
        <v>F3: Debursări și cheltuieli - in (€)         Perioada de Raportare: P9</v>
      </c>
      <c r="I8" s="3"/>
      <c r="J8" s="3"/>
      <c r="K8" s="3"/>
    </row>
    <row r="9" spans="2:15">
      <c r="B9" s="346" t="s">
        <v>3</v>
      </c>
      <c r="C9" s="783" t="s">
        <v>486</v>
      </c>
      <c r="D9" s="765"/>
      <c r="E9" s="765"/>
      <c r="F9" s="766"/>
      <c r="H9" s="347" t="s">
        <v>3</v>
      </c>
      <c r="I9" s="764" t="s">
        <v>487</v>
      </c>
      <c r="J9" s="765"/>
      <c r="K9" s="766"/>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32.25" customHeight="1">
      <c r="B22" s="204" t="str">
        <f>+'Introducerea datelor'!B36&amp; " - in ("&amp;'Introducerea datelor'!D26&amp;")  "&amp;+I3&amp;" "&amp;+K3</f>
        <v>F2: Bugetul și cheltuielile actuale după Obiectivele Grantului - in (€)  Perioada de Raportare: P9</v>
      </c>
      <c r="C22" s="2"/>
      <c r="D22" s="2"/>
      <c r="E22" s="2"/>
      <c r="F22" s="2"/>
      <c r="H22" s="784" t="str">
        <f>+'Introducerea datelor'!B58&amp;"  
"&amp;+I3&amp;" "&amp;+K3</f>
        <v>F4: Ultima perioadă de raportare și debursare a RP   
Perioada de Raportare: P9</v>
      </c>
      <c r="I22" s="784"/>
      <c r="J22" s="784"/>
      <c r="K22" s="784"/>
    </row>
    <row r="23" spans="1:11" ht="303.75" customHeight="1">
      <c r="B23" s="524" t="s">
        <v>4</v>
      </c>
      <c r="C23" s="761" t="s">
        <v>521</v>
      </c>
      <c r="D23" s="762"/>
      <c r="E23" s="762"/>
      <c r="F23" s="763"/>
      <c r="G23" s="526"/>
      <c r="H23" s="524" t="s">
        <v>3</v>
      </c>
      <c r="I23" s="758" t="s">
        <v>510</v>
      </c>
      <c r="J23" s="759"/>
      <c r="K23" s="760"/>
    </row>
    <row r="24" spans="1:11" ht="15.75" thickBot="1">
      <c r="B24" s="213"/>
      <c r="C24" s="213"/>
      <c r="D24" s="213"/>
      <c r="E24" s="213"/>
      <c r="F24" s="213"/>
      <c r="G24" s="213"/>
      <c r="H24" s="214"/>
      <c r="I24" s="214"/>
      <c r="J24" s="213"/>
      <c r="K24" s="213"/>
    </row>
    <row r="25" spans="1:11" ht="29.25" customHeight="1" thickBot="1">
      <c r="B25" s="3"/>
      <c r="C25" s="3"/>
      <c r="D25" s="3"/>
      <c r="E25" s="3"/>
      <c r="F25" s="3"/>
      <c r="G25" s="321"/>
      <c r="H25" s="778" t="s">
        <v>279</v>
      </c>
      <c r="I25" s="779"/>
      <c r="J25" s="779"/>
      <c r="K25" s="780"/>
    </row>
    <row r="26" spans="1:11" ht="24.75">
      <c r="B26" s="3"/>
      <c r="C26" s="3"/>
      <c r="D26" s="3"/>
      <c r="E26" s="3"/>
      <c r="F26" s="3"/>
      <c r="G26" s="282"/>
      <c r="H26" s="781"/>
      <c r="I26" s="782"/>
      <c r="J26" s="299" t="s">
        <v>54</v>
      </c>
      <c r="K26" s="300" t="s">
        <v>55</v>
      </c>
    </row>
    <row r="27" spans="1:11" ht="23.25" customHeight="1">
      <c r="B27" s="3"/>
      <c r="C27" s="3"/>
      <c r="D27" s="3"/>
      <c r="E27" s="3"/>
      <c r="F27" s="3"/>
      <c r="G27" s="322"/>
      <c r="H27" s="767" t="str">
        <f>'Introducerea datelor'!B62</f>
        <v>Zile necesare pentru remiterea PU/DR final către ALF</v>
      </c>
      <c r="I27" s="768"/>
      <c r="J27" s="301">
        <v>60</v>
      </c>
      <c r="K27" s="298">
        <f>+'Introducerea datelor'!D62</f>
        <v>50</v>
      </c>
    </row>
    <row r="28" spans="1:11" ht="21" customHeight="1">
      <c r="B28" s="3"/>
      <c r="C28" s="3"/>
      <c r="D28" s="3"/>
      <c r="E28" s="3"/>
      <c r="F28" s="3"/>
      <c r="G28" s="322"/>
      <c r="H28" s="767" t="str">
        <f>'Introducerea datelor'!B63</f>
        <v>Zile necesare pentru debursare către RP</v>
      </c>
      <c r="I28" s="768"/>
      <c r="J28" s="301">
        <f>+'Introducerea datelor'!C63</f>
        <v>45</v>
      </c>
      <c r="K28" s="298">
        <f>+'Introducerea datelor'!D63</f>
        <v>95</v>
      </c>
    </row>
    <row r="29" spans="1:11" ht="21" customHeight="1" thickBot="1">
      <c r="B29" s="3"/>
      <c r="C29" s="3"/>
      <c r="D29" s="3"/>
      <c r="E29" s="3"/>
      <c r="F29" s="3"/>
      <c r="G29" s="322"/>
      <c r="H29" s="769" t="str">
        <f>'Introducerea datelor'!B64</f>
        <v>Zile necesare pentru debursare către SR</v>
      </c>
      <c r="I29" s="770"/>
      <c r="J29" s="302">
        <f>+'Introducerea datelor'!C64</f>
        <v>20</v>
      </c>
      <c r="K29" s="303">
        <f>+'Introducerea datelor'!D64</f>
        <v>2</v>
      </c>
    </row>
    <row r="30" spans="1:11">
      <c r="B30" s="3"/>
      <c r="C30" s="3"/>
      <c r="D30" s="3"/>
      <c r="E30" s="3"/>
      <c r="F30" s="3"/>
      <c r="G30" s="3"/>
      <c r="H30" s="3"/>
      <c r="I30" s="3"/>
      <c r="J30" s="3"/>
      <c r="K30" s="3"/>
    </row>
    <row r="31" spans="1:11">
      <c r="B31" s="3"/>
      <c r="C31" s="15"/>
      <c r="D31" s="235"/>
      <c r="E31" s="3"/>
      <c r="F31" s="3"/>
      <c r="G31" s="3"/>
      <c r="H31" s="3"/>
      <c r="I31" s="3"/>
      <c r="J31" s="3"/>
      <c r="K31" s="3"/>
    </row>
    <row r="32" spans="1:11">
      <c r="B32" s="3"/>
      <c r="C32" s="15"/>
      <c r="D32" s="235"/>
      <c r="E32" s="3"/>
      <c r="F32" s="3"/>
      <c r="G32" s="3"/>
      <c r="H32" s="3"/>
      <c r="I32" s="3"/>
      <c r="J32" s="3"/>
      <c r="K32" s="3"/>
    </row>
    <row r="34" spans="5:5">
      <c r="E34" s="19"/>
    </row>
  </sheetData>
  <mergeCells count="19">
    <mergeCell ref="E6:H6"/>
    <mergeCell ref="H25:K25"/>
    <mergeCell ref="H26:I26"/>
    <mergeCell ref="H27:I27"/>
    <mergeCell ref="C9:F9"/>
    <mergeCell ref="H22:K22"/>
    <mergeCell ref="B2:K2"/>
    <mergeCell ref="D5:I5"/>
    <mergeCell ref="I4:J4"/>
    <mergeCell ref="I3:J3"/>
    <mergeCell ref="E3:H3"/>
    <mergeCell ref="C3:D3"/>
    <mergeCell ref="C4:D4"/>
    <mergeCell ref="E4:H4"/>
    <mergeCell ref="I23:K23"/>
    <mergeCell ref="C23:F23"/>
    <mergeCell ref="I9:K9"/>
    <mergeCell ref="H28:I28"/>
    <mergeCell ref="H29:I29"/>
  </mergeCells>
  <phoneticPr fontId="30" type="noConversion"/>
  <conditionalFormatting sqref="K27:K29">
    <cfRule type="cellIs" dxfId="35" priority="4" stopIfTrue="1" operator="greaterThan">
      <formula>J27</formula>
    </cfRule>
    <cfRule type="cellIs" dxfId="34" priority="5" stopIfTrue="1" operator="between">
      <formula>J27</formula>
      <formula>1</formula>
    </cfRule>
    <cfRule type="cellIs" dxfId="33" priority="6" stopIfTrue="1" operator="equal">
      <formula>0</formula>
    </cfRule>
  </conditionalFormatting>
  <conditionalFormatting sqref="C4:D4">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pageMargins left="0.25" right="0.25" top="0.75" bottom="0.75" header="0.3" footer="0.3"/>
  <pageSetup paperSize="9" scale="81" orientation="portrait"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view="pageLayout" topLeftCell="A7" zoomScale="85" zoomScaleNormal="100" zoomScalePageLayoutView="85" workbookViewId="0">
      <selection activeCell="N29" sqref="N29"/>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231"/>
      <c r="E1" s="232"/>
    </row>
    <row r="2" spans="1:16" ht="27.75" customHeight="1">
      <c r="B2" s="797" t="str">
        <f>+"Dashboard:  "&amp;"  "&amp;IF(+'Introducerea datelor'!C4="Please Select","",'Introducerea datelor'!C4&amp;" - ")&amp;IF('Introducerea datelor'!G6="Please Select","",'Introducerea datelor'!G6)</f>
        <v>Dashboard:    Moldova - HIV / AIDS</v>
      </c>
      <c r="C2" s="797"/>
      <c r="D2" s="797"/>
      <c r="E2" s="797"/>
      <c r="F2" s="797"/>
      <c r="G2" s="797"/>
      <c r="H2" s="797"/>
      <c r="I2" s="797"/>
      <c r="J2" s="797"/>
      <c r="K2" s="797"/>
      <c r="L2" s="797"/>
      <c r="M2" s="26"/>
      <c r="N2" s="26"/>
      <c r="O2" s="26"/>
      <c r="P2" s="26"/>
    </row>
    <row r="3" spans="1:16">
      <c r="B3" s="24" t="str">
        <f>+IF('Introducerea datelor'!G8="Please Select","",'Introducerea datelor'!G8)</f>
        <v/>
      </c>
      <c r="C3" s="795" t="str">
        <f>+IF('Introducerea datelor'!I8="Please Select","",'Introducerea datelor'!I8)</f>
        <v>Faza 2</v>
      </c>
      <c r="D3" s="795"/>
      <c r="E3" s="796"/>
      <c r="F3" s="796"/>
      <c r="G3" s="796"/>
      <c r="H3" s="796"/>
      <c r="I3" s="796"/>
      <c r="J3" s="799" t="str">
        <f>+'Introducerea datelor'!B16</f>
        <v>Perioada de Raportare:</v>
      </c>
      <c r="K3" s="799"/>
      <c r="L3" s="198" t="str">
        <f>+'Introducerea datelor'!C16</f>
        <v>P9</v>
      </c>
    </row>
    <row r="4" spans="1:16">
      <c r="B4" s="24" t="str">
        <f>+'Introducerea datelor'!B12</f>
        <v>Ultimul Rating:</v>
      </c>
      <c r="C4" s="776" t="str">
        <f>+IF('Introducerea datelor'!C12="Please Select","",'Introducerea datelor'!C12)</f>
        <v>A2</v>
      </c>
      <c r="D4" s="776"/>
      <c r="E4" s="796" t="str">
        <f>+'Introducerea datelor'!C8</f>
        <v>PI "CIMU HSRP"</v>
      </c>
      <c r="F4" s="796"/>
      <c r="G4" s="796"/>
      <c r="H4" s="796"/>
      <c r="I4" s="796"/>
      <c r="J4" s="799" t="str">
        <f>+'Introducerea datelor'!D16</f>
        <v>De la:</v>
      </c>
      <c r="K4" s="803"/>
      <c r="L4" s="200">
        <f>+IF(ISBLANK('Introducerea datelor'!E16),"",'Introducerea datelor'!E16)</f>
        <v>41640</v>
      </c>
    </row>
    <row r="5" spans="1:16" ht="31.5" customHeight="1">
      <c r="B5" s="24"/>
      <c r="C5" s="24"/>
      <c r="D5" s="806" t="str">
        <f>+'Introducerea datelor'!G4</f>
        <v>Scaling up Access to Prevention, Treatment and Care under the National Program for Prevention and Control of HIV/AIDS/STIs 2006-2010 and reducing morbidity, mortality and HIV-related impact on people living with HIV/AIDS, 2010-2014</v>
      </c>
      <c r="E5" s="806"/>
      <c r="F5" s="806"/>
      <c r="G5" s="806"/>
      <c r="H5" s="806"/>
      <c r="I5" s="806"/>
      <c r="J5" s="806"/>
      <c r="K5" s="24" t="str">
        <f>+'Introducerea datelor'!F16</f>
        <v>Pînă la:</v>
      </c>
      <c r="L5" s="200">
        <f>+IF(ISBLANK('Introducerea datelor'!G16),"",'Introducerea datelor'!G16)</f>
        <v>41820</v>
      </c>
    </row>
    <row r="6" spans="1:16" ht="18.75">
      <c r="B6" s="23"/>
      <c r="C6" s="24"/>
      <c r="D6" s="25"/>
      <c r="E6" s="798" t="s">
        <v>57</v>
      </c>
      <c r="F6" s="798"/>
      <c r="G6" s="798"/>
      <c r="H6" s="798"/>
      <c r="I6" s="798"/>
    </row>
    <row r="7" spans="1:16">
      <c r="B7" s="373" t="str">
        <f>+'Introducerea datelor'!B69&amp;"   "&amp;+J3&amp;" "&amp;+L3</f>
        <v>M1: Statutul Condițiilor Precedente și a Acțiunilor Prestabilite în Timp    Perioada de Raportare: P9</v>
      </c>
      <c r="C7" s="21"/>
      <c r="H7" s="373" t="str">
        <f>+'Introducerea datelor'!B76&amp;"   "&amp;+J3&amp;"  "&amp;+L3</f>
        <v>M2: Statutul pozițiilor cheie ale RP    Perioada de Raportare:  P9</v>
      </c>
    </row>
    <row r="8" spans="1:16" ht="24" customHeight="1">
      <c r="B8" s="348" t="s">
        <v>3</v>
      </c>
      <c r="C8" s="786" t="s">
        <v>489</v>
      </c>
      <c r="D8" s="789"/>
      <c r="E8" s="789"/>
      <c r="F8" s="790"/>
      <c r="G8" s="374"/>
      <c r="H8" s="347" t="s">
        <v>3</v>
      </c>
      <c r="I8" s="764"/>
      <c r="J8" s="804"/>
      <c r="K8" s="804"/>
      <c r="L8" s="805"/>
    </row>
    <row r="9" spans="1:16" ht="30" customHeight="1">
      <c r="B9" s="19"/>
      <c r="C9" s="19"/>
      <c r="D9" s="19"/>
      <c r="E9" s="19"/>
      <c r="F9" s="19"/>
      <c r="G9" s="19"/>
      <c r="H9" s="19"/>
    </row>
    <row r="10" spans="1:16">
      <c r="A10" s="47"/>
      <c r="B10" s="19"/>
      <c r="C10" s="19"/>
      <c r="D10" s="807"/>
      <c r="E10" s="547"/>
      <c r="F10" s="547"/>
      <c r="G10" s="207"/>
      <c r="H10" s="19"/>
      <c r="N10" s="49"/>
      <c r="O10" s="49"/>
      <c r="P10" s="48"/>
    </row>
    <row r="11" spans="1:16">
      <c r="B11" s="19"/>
      <c r="C11" s="28"/>
      <c r="D11" s="807"/>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3" t="str">
        <f>+'Introducerea datelor'!B81&amp;"     "&amp;+J3&amp;" "&amp;+L3</f>
        <v>M3: Aranjamente contractuale (SR)      Perioada de Raportare: P9</v>
      </c>
      <c r="H15" s="373" t="str">
        <f>+'Introducerea datelor'!B86&amp;"          "&amp;+J3&amp;" "&amp;+L3</f>
        <v>M4: Numărul rapoartelor complete recepționate la timp          Perioada de Raportare: P9</v>
      </c>
    </row>
    <row r="16" spans="1:16" ht="26.25" customHeight="1">
      <c r="B16" s="348" t="s">
        <v>3</v>
      </c>
      <c r="C16" s="786" t="s">
        <v>488</v>
      </c>
      <c r="D16" s="787"/>
      <c r="E16" s="787"/>
      <c r="F16" s="788"/>
      <c r="G16" s="374"/>
      <c r="H16" s="347" t="s">
        <v>3</v>
      </c>
      <c r="I16" s="786" t="s">
        <v>490</v>
      </c>
      <c r="J16" s="789"/>
      <c r="K16" s="789"/>
      <c r="L16" s="790"/>
    </row>
    <row r="17" spans="2:16">
      <c r="B17" s="29"/>
      <c r="H17" s="30"/>
    </row>
    <row r="18" spans="2:16">
      <c r="M18" s="83"/>
    </row>
    <row r="26" spans="2:16" ht="41.25" customHeight="1">
      <c r="B26" s="785" t="str">
        <f>+'Introducerea datelor'!B92</f>
        <v xml:space="preserve">M5: Bugetul și Procurarea produselor medicale, echipamentului medical, medicamentelor și produselor farmaceutice </v>
      </c>
      <c r="C26" s="785"/>
      <c r="D26" s="785"/>
      <c r="E26" s="785"/>
      <c r="F26" s="785"/>
      <c r="H26" s="373" t="str">
        <f>+'Introducerea datelor'!B105&amp;"      "&amp;+J3&amp;"  "&amp;+L3</f>
        <v>M6: Diferență între stocul curent și stocul de siguranță      Perioada de Raportare:  P9</v>
      </c>
    </row>
    <row r="27" spans="2:16" s="525" customFormat="1" ht="49.5" customHeight="1">
      <c r="B27" s="522" t="s">
        <v>3</v>
      </c>
      <c r="C27" s="792" t="s">
        <v>525</v>
      </c>
      <c r="D27" s="793"/>
      <c r="E27" s="793"/>
      <c r="F27" s="794"/>
      <c r="G27" s="523"/>
      <c r="H27" s="524" t="s">
        <v>3</v>
      </c>
      <c r="I27" s="758" t="s">
        <v>524</v>
      </c>
      <c r="J27" s="759"/>
      <c r="K27" s="759"/>
      <c r="L27" s="760"/>
      <c r="N27" s="527"/>
      <c r="O27" s="527"/>
      <c r="P27" s="527"/>
    </row>
    <row r="28" spans="2:16" ht="15.75" thickBot="1"/>
    <row r="29" spans="2:16" ht="44.25" customHeight="1">
      <c r="F29" s="328"/>
      <c r="G29" s="328"/>
      <c r="H29" s="219" t="s">
        <v>26</v>
      </c>
      <c r="I29" s="324" t="s">
        <v>67</v>
      </c>
      <c r="J29" s="345" t="s">
        <v>300</v>
      </c>
      <c r="K29" s="218" t="s">
        <v>295</v>
      </c>
      <c r="L29" s="325" t="s">
        <v>294</v>
      </c>
    </row>
    <row r="30" spans="2:16" ht="15" customHeight="1">
      <c r="F30" s="328"/>
      <c r="G30" s="328"/>
      <c r="H30" s="800" t="str">
        <f>+'Introducerea datelor'!B108</f>
        <v>Please Select</v>
      </c>
      <c r="I30" s="326" t="str">
        <f>+'Introducerea datelor'!C108</f>
        <v>Please Select</v>
      </c>
      <c r="J30" s="441" t="str">
        <f>+'Introducerea datelor'!I108</f>
        <v/>
      </c>
      <c r="K30" s="442">
        <f>+'Introducerea datelor'!J108</f>
        <v>0</v>
      </c>
      <c r="L30" s="419" t="str">
        <f>+'Introducerea datelor'!K108</f>
        <v/>
      </c>
    </row>
    <row r="31" spans="2:16">
      <c r="F31" s="328"/>
      <c r="G31" s="328"/>
      <c r="H31" s="801"/>
      <c r="I31" s="326" t="str">
        <f>+'Introducerea datelor'!C109</f>
        <v>Please Select</v>
      </c>
      <c r="J31" s="441" t="str">
        <f>+'Introducerea datelor'!I109</f>
        <v/>
      </c>
      <c r="K31" s="442">
        <f>+'Introducerea datelor'!J109</f>
        <v>0</v>
      </c>
      <c r="L31" s="420" t="str">
        <f>+'Introducerea datelor'!K109</f>
        <v/>
      </c>
    </row>
    <row r="32" spans="2:16">
      <c r="F32" s="328"/>
      <c r="G32" s="328"/>
      <c r="H32" s="801"/>
      <c r="I32" s="326" t="str">
        <f>+'Introducerea datelor'!C110</f>
        <v>Please Select</v>
      </c>
      <c r="J32" s="441" t="str">
        <f>+'Introducerea datelor'!I110</f>
        <v/>
      </c>
      <c r="K32" s="442">
        <f>+'Introducerea datelor'!J110</f>
        <v>0</v>
      </c>
      <c r="L32" s="419" t="str">
        <f>+'Introducerea datelor'!K110</f>
        <v/>
      </c>
    </row>
    <row r="33" spans="2:12" ht="15.75" thickBot="1">
      <c r="F33" s="328"/>
      <c r="G33" s="328"/>
      <c r="H33" s="802"/>
      <c r="I33" s="327" t="str">
        <f>+'Introducerea datelor'!C111</f>
        <v>Please Select</v>
      </c>
      <c r="J33" s="443" t="str">
        <f>+'Introducerea datelor'!I111</f>
        <v/>
      </c>
      <c r="K33" s="444">
        <f>+'Introducerea datelor'!J111</f>
        <v>0</v>
      </c>
      <c r="L33" s="419" t="str">
        <f>+'Introducerea datelor'!K111</f>
        <v/>
      </c>
    </row>
    <row r="34" spans="2:12" ht="24.75" customHeight="1">
      <c r="B34" s="791" t="str">
        <f>+'Introducerea datelor'!B102</f>
        <v>* Include numai EFR categoriile 4 și 5  (Produse medicale și Echipamente medicale &amp; Medicamente și Produse farmaceutice)</v>
      </c>
      <c r="C34" s="791"/>
      <c r="D34" s="791"/>
      <c r="E34" s="791"/>
      <c r="F34" s="19"/>
      <c r="G34" s="19"/>
      <c r="H34" s="215"/>
      <c r="I34" s="216"/>
      <c r="J34" s="217"/>
      <c r="K34" s="207"/>
      <c r="L34" s="20"/>
    </row>
    <row r="35" spans="2:12">
      <c r="F35" s="19"/>
      <c r="G35" s="19"/>
      <c r="H35" s="19"/>
      <c r="I35" s="19"/>
      <c r="J35" s="19"/>
      <c r="K35" s="19"/>
      <c r="L35" s="19"/>
    </row>
  </sheetData>
  <mergeCells count="20">
    <mergeCell ref="H30:H33"/>
    <mergeCell ref="J4:K4"/>
    <mergeCell ref="I8:L8"/>
    <mergeCell ref="D5:J5"/>
    <mergeCell ref="I16:L16"/>
    <mergeCell ref="I27:L27"/>
    <mergeCell ref="D10:D11"/>
    <mergeCell ref="C3:D3"/>
    <mergeCell ref="E4:I4"/>
    <mergeCell ref="B2:L2"/>
    <mergeCell ref="C4:D4"/>
    <mergeCell ref="E6:I6"/>
    <mergeCell ref="E3:I3"/>
    <mergeCell ref="J3:K3"/>
    <mergeCell ref="B26:F26"/>
    <mergeCell ref="C16:F16"/>
    <mergeCell ref="E10:F10"/>
    <mergeCell ref="C8:F8"/>
    <mergeCell ref="B34:E34"/>
    <mergeCell ref="C27:F27"/>
  </mergeCells>
  <phoneticPr fontId="30" type="noConversion"/>
  <conditionalFormatting sqref="D12:D13">
    <cfRule type="cellIs" dxfId="29" priority="1" stopIfTrue="1" operator="greaterThan">
      <formula>0</formula>
    </cfRule>
  </conditionalFormatting>
  <conditionalFormatting sqref="E12:E13">
    <cfRule type="cellIs" dxfId="28" priority="2" stopIfTrue="1" operator="greaterThan">
      <formula>0</formula>
    </cfRule>
  </conditionalFormatting>
  <conditionalFormatting sqref="F12:G13">
    <cfRule type="cellIs" dxfId="27" priority="3" stopIfTrue="1" operator="greaterThan">
      <formula>0</formula>
    </cfRule>
  </conditionalFormatting>
  <conditionalFormatting sqref="C4:D4">
    <cfRule type="cellIs" dxfId="26" priority="4" stopIfTrue="1" operator="equal">
      <formula>"C"</formula>
    </cfRule>
    <cfRule type="cellIs" dxfId="25" priority="5" stopIfTrue="1" operator="equal">
      <formula>"B2"</formula>
    </cfRule>
    <cfRule type="cellIs" dxfId="24" priority="6" stopIfTrue="1" operator="equal">
      <formula>"B1"</formula>
    </cfRule>
  </conditionalFormatting>
  <conditionalFormatting sqref="L30 L32:L33">
    <cfRule type="cellIs" dxfId="23" priority="13" stopIfTrue="1" operator="lessThan">
      <formula>1</formula>
    </cfRule>
    <cfRule type="cellIs" dxfId="22" priority="14" stopIfTrue="1" operator="between">
      <formula>3</formula>
      <formula>17</formula>
    </cfRule>
    <cfRule type="cellIs" dxfId="21" priority="15" stopIfTrue="1" operator="between">
      <formula>1</formula>
      <formula>3</formula>
    </cfRule>
  </conditionalFormatting>
  <conditionalFormatting sqref="L31">
    <cfRule type="cellIs" dxfId="20" priority="16" stopIfTrue="1" operator="lessThan">
      <formula>1</formula>
    </cfRule>
    <cfRule type="cellIs" dxfId="19" priority="17" stopIfTrue="1" operator="between">
      <formula>3</formula>
      <formula>100</formula>
    </cfRule>
    <cfRule type="cellIs" dxfId="18" priority="18" stopIfTrue="1" operator="between">
      <formula>1</formula>
      <formula>3</formula>
    </cfRule>
  </conditionalFormatting>
  <pageMargins left="0.25" right="0.25" top="0.75" bottom="0.75" header="0.3" footer="0.3"/>
  <pageSetup paperSize="9" scale="67" orientation="portrait" r:id="rId1"/>
  <headerFooter alignWithMargins="0">
    <oddFooter>&amp;L&amp;F&amp;C&amp;A&amp;RV1.0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view="pageLayout" topLeftCell="B26" zoomScale="130" zoomScaleNormal="100" zoomScalePageLayoutView="130" workbookViewId="0">
      <selection activeCell="G26" sqref="G26:K26"/>
    </sheetView>
  </sheetViews>
  <sheetFormatPr defaultColWidth="11" defaultRowHeight="15"/>
  <cols>
    <col min="1" max="1" width="0.42578125" customWidth="1"/>
    <col min="2" max="2" width="13.85546875" customWidth="1"/>
    <col min="3" max="3" width="16.140625" customWidth="1"/>
    <col min="4" max="4" width="17.28515625" customWidth="1"/>
    <col min="5" max="5" width="8" customWidth="1"/>
    <col min="6" max="6" width="8.7109375" customWidth="1"/>
    <col min="7" max="7" width="5.7109375" customWidth="1"/>
    <col min="8" max="8" width="6.28515625" customWidth="1"/>
    <col min="9" max="9" width="6" customWidth="1"/>
    <col min="10" max="10" width="4.140625" customWidth="1"/>
    <col min="11" max="11" width="12.42578125" customWidth="1"/>
    <col min="12" max="12" width="9.42578125" customWidth="1"/>
    <col min="13" max="13" width="5" customWidth="1"/>
    <col min="14" max="14" width="6.5703125" customWidth="1"/>
    <col min="15" max="15" width="8.5703125" customWidth="1"/>
    <col min="16" max="16" width="10.7109375" customWidth="1"/>
    <col min="17" max="17" width="11.710937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808" t="str">
        <f>+"Dashboard:  "&amp;"  "&amp;IF(+'Introducerea datelor'!C4="Please Select","",'Introducerea datelor'!C4&amp;" - ")&amp;IF('Introducerea datelor'!G6="Please Select","",'Introducerea datelor'!G6)</f>
        <v>Dashboard:    Moldova - HIV / AIDS</v>
      </c>
      <c r="C2" s="808"/>
      <c r="D2" s="808"/>
      <c r="E2" s="808"/>
      <c r="F2" s="808"/>
      <c r="G2" s="808"/>
      <c r="H2" s="808"/>
      <c r="I2" s="808"/>
      <c r="J2" s="808"/>
      <c r="K2" s="808"/>
      <c r="L2" s="808"/>
      <c r="M2" s="808"/>
      <c r="N2" s="808"/>
      <c r="O2" s="808"/>
      <c r="P2" s="808"/>
      <c r="Q2" s="808"/>
    </row>
    <row r="3" spans="1:35" ht="18.75">
      <c r="A3" s="3"/>
      <c r="B3" s="132" t="str">
        <f>+IF('Introducerea datelor'!G8="Please Select","",'Introducerea datelor'!G8)</f>
        <v/>
      </c>
      <c r="C3" s="775" t="str">
        <f>+IF('Introducerea datelor'!I8="Please Select","",'Introducerea datelor'!I8)</f>
        <v>Faza 2</v>
      </c>
      <c r="D3" s="775"/>
      <c r="E3" s="774"/>
      <c r="F3" s="774"/>
      <c r="G3" s="774"/>
      <c r="H3" s="774"/>
      <c r="I3" s="812"/>
      <c r="J3" s="812"/>
      <c r="K3" s="812"/>
      <c r="L3" s="3"/>
      <c r="M3" s="3"/>
      <c r="O3" s="772" t="str">
        <f>+'Introducerea datelor'!B16</f>
        <v>Perioada de Raportare:</v>
      </c>
      <c r="P3" s="772"/>
      <c r="Q3" s="506" t="str">
        <f>+'Introducerea datelor'!C16</f>
        <v>P9</v>
      </c>
      <c r="S3" s="36"/>
    </row>
    <row r="4" spans="1:35" ht="12" customHeight="1">
      <c r="A4" s="3"/>
      <c r="B4" s="132" t="str">
        <f>+'Introducerea datelor'!B12</f>
        <v>Ultimul Rating:</v>
      </c>
      <c r="C4" s="978" t="str">
        <f>+IF('Introducerea datelor'!C12="Please Select","",'Introducerea datelor'!C12)</f>
        <v>A2</v>
      </c>
      <c r="D4" s="978"/>
      <c r="E4" s="774" t="str">
        <f>+'Introducerea datelor'!C8</f>
        <v>PI "CIMU HSRP"</v>
      </c>
      <c r="F4" s="774"/>
      <c r="G4" s="774"/>
      <c r="H4" s="774"/>
      <c r="I4" s="774"/>
      <c r="J4" s="774"/>
      <c r="K4" s="774"/>
      <c r="L4" s="774"/>
      <c r="M4" s="3"/>
      <c r="O4" s="330"/>
      <c r="P4" s="132" t="str">
        <f>+'Introducerea datelor'!D16</f>
        <v>De la:</v>
      </c>
      <c r="Q4" s="331">
        <f>+IF(ISBLANK('Introducerea datelor'!E16),"",'Introducerea datelor'!E16)</f>
        <v>41640</v>
      </c>
      <c r="S4" s="36"/>
      <c r="Y4" s="71"/>
      <c r="Z4" s="71"/>
      <c r="AA4" s="71"/>
      <c r="AB4" s="71"/>
      <c r="AC4" s="71"/>
    </row>
    <row r="5" spans="1:35" ht="54.75" customHeight="1">
      <c r="A5" s="3"/>
      <c r="B5" s="132"/>
      <c r="C5" s="132"/>
      <c r="D5" s="809" t="str">
        <f>+'Introducerea datelor'!G4</f>
        <v>Scaling up Access to Prevention, Treatment and Care under the National Program for Prevention and Control of HIV/AIDS/STIs 2006-2010 and reducing morbidity, mortality and HIV-related impact on people living with HIV/AIDS, 2010-2014</v>
      </c>
      <c r="E5" s="809"/>
      <c r="F5" s="809"/>
      <c r="G5" s="809"/>
      <c r="H5" s="809"/>
      <c r="I5" s="809"/>
      <c r="J5" s="809"/>
      <c r="K5" s="809"/>
      <c r="L5" s="809"/>
      <c r="M5" s="809"/>
      <c r="N5" s="809"/>
      <c r="P5" s="132" t="str">
        <f>+'Introducerea datelor'!F16</f>
        <v>Pînă la:</v>
      </c>
      <c r="Q5" s="331">
        <f>+IF(ISBLANK('Introducerea datelor'!G16),"",'Introducerea datelor'!G16)</f>
        <v>41820</v>
      </c>
      <c r="S5" s="509"/>
      <c r="T5" s="226"/>
      <c r="U5" s="226"/>
      <c r="V5" s="226"/>
      <c r="W5" s="226"/>
      <c r="X5" s="226"/>
      <c r="Y5" s="71"/>
      <c r="Z5" s="71"/>
      <c r="AA5" s="71" t="s">
        <v>36</v>
      </c>
      <c r="AB5" s="71"/>
      <c r="AC5" s="71" t="s">
        <v>245</v>
      </c>
      <c r="AD5" s="226"/>
      <c r="AE5" s="226"/>
      <c r="AF5" s="226"/>
      <c r="AG5" s="226"/>
      <c r="AH5" s="226"/>
      <c r="AI5" s="226"/>
    </row>
    <row r="6" spans="1:35" ht="19.5" customHeight="1">
      <c r="A6" s="3"/>
      <c r="B6" s="132"/>
      <c r="C6" s="132"/>
      <c r="D6" s="224"/>
      <c r="E6" s="224"/>
      <c r="F6" s="811" t="s">
        <v>325</v>
      </c>
      <c r="G6" s="811"/>
      <c r="H6" s="811"/>
      <c r="I6" s="811"/>
      <c r="J6" s="811"/>
      <c r="K6" s="811"/>
      <c r="L6" s="224"/>
      <c r="M6" s="3"/>
      <c r="N6" s="3"/>
      <c r="O6" s="201"/>
      <c r="P6" s="255"/>
      <c r="S6" s="509"/>
      <c r="T6" s="226"/>
      <c r="U6" s="226"/>
      <c r="V6" s="226"/>
      <c r="W6" s="226"/>
      <c r="X6" s="226"/>
      <c r="Y6" s="71"/>
      <c r="Z6" s="71"/>
      <c r="AA6" s="71"/>
      <c r="AB6" s="71"/>
      <c r="AC6" s="71"/>
      <c r="AD6" s="226"/>
      <c r="AE6" s="226"/>
      <c r="AF6" s="226"/>
      <c r="AG6" s="226"/>
      <c r="AH6" s="226"/>
      <c r="AI6" s="226"/>
    </row>
    <row r="7" spans="1:35" ht="3" customHeight="1">
      <c r="A7" s="3"/>
      <c r="B7" s="132"/>
      <c r="C7" s="132"/>
      <c r="D7" s="224"/>
      <c r="E7" s="224"/>
      <c r="F7" s="224"/>
      <c r="G7" s="224"/>
      <c r="H7" s="224"/>
      <c r="I7" s="224"/>
      <c r="J7" s="224"/>
      <c r="K7" s="224"/>
      <c r="L7" s="224"/>
      <c r="M7" s="3"/>
      <c r="N7" s="3"/>
      <c r="O7" s="201"/>
      <c r="P7" s="200"/>
      <c r="Q7" s="200"/>
      <c r="S7" s="226"/>
      <c r="T7" s="226"/>
      <c r="U7" s="226"/>
      <c r="V7" s="226"/>
      <c r="W7" s="226"/>
      <c r="X7" s="226"/>
      <c r="Y7" s="71"/>
      <c r="Z7" s="71"/>
      <c r="AA7" s="71"/>
      <c r="AB7" s="71"/>
      <c r="AC7" s="71"/>
      <c r="AD7" s="226"/>
      <c r="AE7" s="226"/>
      <c r="AF7" s="226"/>
      <c r="AG7" s="226"/>
      <c r="AH7" s="226"/>
      <c r="AI7" s="226"/>
    </row>
    <row r="8" spans="1:35" ht="54.75" customHeight="1">
      <c r="A8" s="3"/>
      <c r="B8" s="844" t="str">
        <f>+'Introducerea datelor'!B118</f>
        <v>% of HIV-positive pregnant women who received ARV treatment to reduce the risk of mother-to-child transmission // Procentul gravidelor HIV+ care au primit tratament ARV pentru a preveni transmiterea infectiei de la mama la fat</v>
      </c>
      <c r="C8" s="844"/>
      <c r="D8" s="844"/>
      <c r="E8" s="844"/>
      <c r="F8" s="810" t="str">
        <f>+'Introducerea datelor'!B120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G8" s="810"/>
      <c r="H8" s="810"/>
      <c r="I8" s="810"/>
      <c r="J8" s="810"/>
      <c r="K8" s="810"/>
      <c r="L8" s="810" t="str">
        <f>+'Introducerea datelor'!B122</f>
        <v>Number of people with advanced HIV infection that have started antiretroviral combination therapy // Numărul pesoanelor cu infecţia HIV/SIDA avansată care au initiat tratament antiretroviral combinat</v>
      </c>
      <c r="M8" s="810"/>
      <c r="N8" s="810"/>
      <c r="O8" s="810"/>
      <c r="P8" s="810"/>
      <c r="Q8" s="810"/>
      <c r="S8" s="226"/>
      <c r="T8" s="226"/>
      <c r="U8" s="226"/>
      <c r="V8" s="226"/>
      <c r="W8" s="226"/>
      <c r="X8" s="226"/>
      <c r="Y8" s="71"/>
      <c r="Z8" s="71"/>
      <c r="AA8" s="71"/>
      <c r="AB8" s="71"/>
      <c r="AC8" s="71"/>
      <c r="AD8" s="226"/>
      <c r="AE8" s="226"/>
      <c r="AF8" s="226"/>
      <c r="AG8" s="226"/>
      <c r="AH8" s="226"/>
      <c r="AI8" s="226"/>
    </row>
    <row r="9" spans="1:35" ht="82.5" customHeight="1">
      <c r="A9" s="3"/>
      <c r="B9" s="465" t="s">
        <v>335</v>
      </c>
      <c r="C9" s="833" t="s">
        <v>535</v>
      </c>
      <c r="D9" s="834"/>
      <c r="E9" s="835"/>
      <c r="F9" s="465" t="s">
        <v>336</v>
      </c>
      <c r="G9" s="833" t="s">
        <v>530</v>
      </c>
      <c r="H9" s="834"/>
      <c r="I9" s="834"/>
      <c r="J9" s="834"/>
      <c r="K9" s="835"/>
      <c r="L9" s="465" t="s">
        <v>337</v>
      </c>
      <c r="M9" s="833" t="s">
        <v>529</v>
      </c>
      <c r="N9" s="842"/>
      <c r="O9" s="842"/>
      <c r="P9" s="842"/>
      <c r="Q9" s="843"/>
      <c r="S9" s="226"/>
      <c r="T9" s="226"/>
      <c r="U9" s="226"/>
      <c r="V9" s="226"/>
      <c r="W9" s="226"/>
      <c r="X9" s="226"/>
      <c r="Y9" s="226"/>
      <c r="Z9" s="226"/>
      <c r="AA9" s="226"/>
      <c r="AB9" s="226"/>
      <c r="AC9" s="226"/>
      <c r="AD9" s="226"/>
      <c r="AE9" s="226"/>
      <c r="AF9" s="226"/>
      <c r="AG9" s="226"/>
      <c r="AH9" s="226"/>
      <c r="AI9" s="226"/>
    </row>
    <row r="10" spans="1:35" ht="18.75" customHeight="1">
      <c r="A10" s="3"/>
      <c r="B10" s="132"/>
      <c r="C10" s="132"/>
      <c r="D10" s="224"/>
      <c r="E10" s="224"/>
      <c r="F10" s="224"/>
      <c r="G10" s="224"/>
      <c r="H10" s="224"/>
      <c r="I10" s="224"/>
      <c r="J10" s="224"/>
      <c r="K10" s="224"/>
      <c r="L10" s="224"/>
      <c r="M10" s="3"/>
      <c r="N10" s="3"/>
      <c r="O10" s="201"/>
      <c r="P10" s="200"/>
      <c r="S10" s="226"/>
      <c r="T10" s="226"/>
      <c r="U10" s="226"/>
      <c r="V10" s="226"/>
      <c r="W10" s="226"/>
      <c r="X10" s="226"/>
      <c r="Y10" s="226"/>
      <c r="Z10" s="226"/>
      <c r="AA10" s="226"/>
      <c r="AB10" s="226"/>
      <c r="AC10" s="226"/>
      <c r="AD10" s="226"/>
      <c r="AE10" s="226"/>
      <c r="AF10" s="226"/>
      <c r="AG10" s="226"/>
      <c r="AH10" s="226"/>
      <c r="AI10" s="226"/>
    </row>
    <row r="11" spans="1:35" ht="18.75" customHeight="1">
      <c r="A11" s="3"/>
      <c r="B11" s="132"/>
      <c r="C11" s="132"/>
      <c r="D11" s="224"/>
      <c r="E11" s="224"/>
      <c r="F11" s="224"/>
      <c r="G11" s="224"/>
      <c r="H11" s="224"/>
      <c r="I11" s="224"/>
      <c r="J11" s="224"/>
      <c r="K11" s="224"/>
      <c r="L11" s="224"/>
      <c r="M11" s="3"/>
      <c r="N11" s="3"/>
      <c r="O11" s="201"/>
      <c r="P11" s="200"/>
      <c r="S11" s="226"/>
      <c r="T11" s="226"/>
      <c r="U11" s="226"/>
      <c r="V11" s="226"/>
      <c r="W11" s="226"/>
      <c r="X11" s="226"/>
      <c r="Y11" s="226"/>
      <c r="Z11" s="226"/>
      <c r="AA11" s="226"/>
      <c r="AB11" s="226"/>
      <c r="AC11" s="226"/>
      <c r="AD11" s="226"/>
      <c r="AE11" s="226"/>
      <c r="AF11" s="226"/>
      <c r="AG11" s="226"/>
      <c r="AH11" s="226"/>
      <c r="AI11" s="226"/>
    </row>
    <row r="12" spans="1:35" ht="18.75" customHeight="1">
      <c r="A12" s="3"/>
      <c r="B12" s="132"/>
      <c r="C12" s="132"/>
      <c r="D12" s="224"/>
      <c r="E12" s="224"/>
      <c r="F12" s="224"/>
      <c r="G12" s="224"/>
      <c r="H12" s="224"/>
      <c r="I12" s="224"/>
      <c r="J12" s="224"/>
      <c r="K12" s="224"/>
      <c r="L12" s="224"/>
      <c r="M12" s="3"/>
      <c r="N12" s="3"/>
      <c r="O12" s="201"/>
      <c r="P12" s="200"/>
      <c r="S12" s="226"/>
      <c r="T12" s="226"/>
      <c r="U12" s="226"/>
      <c r="V12" s="226"/>
      <c r="W12" s="226"/>
      <c r="X12" s="226"/>
      <c r="Y12" s="226"/>
      <c r="Z12" s="226"/>
      <c r="AA12" s="226"/>
      <c r="AB12" s="226"/>
      <c r="AC12" s="226"/>
      <c r="AD12" s="226"/>
      <c r="AE12" s="226"/>
      <c r="AF12" s="226"/>
      <c r="AG12" s="226"/>
      <c r="AH12" s="226"/>
      <c r="AI12" s="226"/>
    </row>
    <row r="13" spans="1:35" ht="18.75" customHeight="1">
      <c r="A13" s="3"/>
      <c r="B13" s="132"/>
      <c r="C13" s="132"/>
      <c r="D13" s="224"/>
      <c r="E13" s="224"/>
      <c r="F13" s="224"/>
      <c r="G13" s="224"/>
      <c r="H13" s="224"/>
      <c r="I13" s="224"/>
      <c r="J13" s="224"/>
      <c r="K13" s="224"/>
      <c r="L13" s="224"/>
      <c r="M13" s="3"/>
      <c r="N13" s="3"/>
      <c r="O13" s="201"/>
      <c r="P13" s="200"/>
      <c r="S13" s="226"/>
      <c r="T13" s="226"/>
      <c r="U13" s="226"/>
      <c r="V13" s="226"/>
      <c r="W13" s="226"/>
      <c r="X13" s="226"/>
      <c r="Y13" s="226"/>
      <c r="Z13" s="226"/>
      <c r="AA13" s="226"/>
      <c r="AB13" s="226"/>
      <c r="AC13" s="226"/>
      <c r="AD13" s="226"/>
      <c r="AE13" s="226"/>
      <c r="AF13" s="226"/>
      <c r="AG13" s="226"/>
      <c r="AH13" s="226"/>
      <c r="AI13" s="226"/>
    </row>
    <row r="14" spans="1:35" ht="18.75" customHeight="1">
      <c r="A14" s="3"/>
      <c r="B14" s="132"/>
      <c r="C14" s="132"/>
      <c r="D14" s="224"/>
      <c r="E14" s="224"/>
      <c r="F14" s="224"/>
      <c r="G14" s="224"/>
      <c r="H14" s="224"/>
      <c r="I14" s="224"/>
      <c r="J14" s="224"/>
      <c r="K14" s="224"/>
      <c r="L14" s="224"/>
      <c r="M14" s="3"/>
      <c r="N14" s="3"/>
      <c r="O14" s="201"/>
      <c r="P14" s="200"/>
      <c r="S14" s="226"/>
      <c r="T14" s="226"/>
      <c r="U14" s="226"/>
      <c r="V14" s="226"/>
      <c r="W14" s="226"/>
      <c r="X14" s="226"/>
      <c r="Y14" s="226"/>
      <c r="Z14" s="226"/>
      <c r="AA14" s="226"/>
      <c r="AB14" s="226"/>
      <c r="AC14" s="226"/>
      <c r="AD14" s="226"/>
      <c r="AE14" s="226"/>
      <c r="AF14" s="226"/>
      <c r="AG14" s="226"/>
      <c r="AH14" s="226"/>
      <c r="AI14" s="226"/>
    </row>
    <row r="15" spans="1:35" ht="18.75" customHeight="1">
      <c r="A15" s="3"/>
      <c r="B15" s="132"/>
      <c r="C15" s="132"/>
      <c r="D15" s="224"/>
      <c r="E15" s="224"/>
      <c r="F15" s="224"/>
      <c r="G15" s="224"/>
      <c r="H15" s="224"/>
      <c r="I15" s="224"/>
      <c r="J15" s="224"/>
      <c r="K15" s="224"/>
      <c r="L15" s="224"/>
      <c r="M15" s="3"/>
      <c r="N15" s="3"/>
      <c r="O15" s="201"/>
      <c r="P15" s="200"/>
      <c r="S15" s="226"/>
      <c r="T15" s="226"/>
      <c r="U15" s="226"/>
      <c r="V15" s="226"/>
      <c r="W15" s="226"/>
      <c r="X15" s="226"/>
      <c r="Y15" s="226"/>
      <c r="Z15" s="226"/>
      <c r="AA15" s="226"/>
      <c r="AB15" s="226"/>
      <c r="AC15" s="226"/>
      <c r="AD15" s="226"/>
      <c r="AE15" s="226"/>
      <c r="AF15" s="226"/>
      <c r="AG15" s="226"/>
      <c r="AH15" s="226"/>
      <c r="AI15" s="226"/>
    </row>
    <row r="16" spans="1:35" ht="18.75" customHeight="1">
      <c r="A16" s="3"/>
      <c r="B16" s="132"/>
      <c r="C16" s="132"/>
      <c r="D16" s="224"/>
      <c r="E16" s="224"/>
      <c r="F16" s="224"/>
      <c r="G16" s="224"/>
      <c r="H16" s="224"/>
      <c r="I16" s="224"/>
      <c r="J16" s="224"/>
      <c r="K16" s="224"/>
      <c r="L16" s="224"/>
      <c r="M16" s="3"/>
      <c r="N16" s="3"/>
      <c r="O16" s="201"/>
      <c r="P16" s="200"/>
      <c r="S16" s="226"/>
      <c r="T16" s="226"/>
      <c r="U16" s="226"/>
      <c r="V16" s="226"/>
      <c r="W16" s="226"/>
      <c r="X16" s="226"/>
      <c r="Y16" s="226"/>
      <c r="Z16" s="226"/>
      <c r="AA16" s="226"/>
      <c r="AB16" s="226"/>
      <c r="AC16" s="226"/>
      <c r="AD16" s="226"/>
      <c r="AE16" s="226"/>
      <c r="AF16" s="226"/>
      <c r="AG16" s="226"/>
      <c r="AH16" s="226"/>
      <c r="AI16" s="226"/>
    </row>
    <row r="17" spans="1:35" ht="17.25" customHeight="1">
      <c r="A17" s="3"/>
      <c r="B17" s="132"/>
      <c r="C17" s="132"/>
      <c r="D17" s="224"/>
      <c r="E17" s="224"/>
      <c r="F17" s="224"/>
      <c r="G17" s="224"/>
      <c r="H17" s="224"/>
      <c r="I17" s="224"/>
      <c r="J17" s="224"/>
      <c r="K17" s="224"/>
      <c r="L17" s="224"/>
      <c r="M17" s="3"/>
      <c r="N17" s="3"/>
      <c r="O17" s="201"/>
      <c r="P17" s="200"/>
      <c r="S17" s="226"/>
      <c r="T17" s="226"/>
      <c r="U17" s="226"/>
      <c r="V17" s="226"/>
      <c r="W17" s="226"/>
      <c r="X17" s="226"/>
      <c r="Y17" s="226"/>
      <c r="Z17" s="226"/>
      <c r="AA17" s="226"/>
      <c r="AB17" s="226"/>
      <c r="AC17" s="226"/>
      <c r="AD17" s="226"/>
      <c r="AE17" s="226"/>
      <c r="AF17" s="226"/>
      <c r="AG17" s="226"/>
      <c r="AH17" s="226"/>
      <c r="AI17" s="226"/>
    </row>
    <row r="18" spans="1:35" ht="6" customHeight="1">
      <c r="A18" s="3"/>
      <c r="B18" s="136"/>
      <c r="C18" s="132"/>
      <c r="D18" s="133"/>
      <c r="E18" s="840"/>
      <c r="F18" s="840"/>
      <c r="G18" s="840"/>
      <c r="H18" s="840"/>
      <c r="I18" s="840"/>
      <c r="J18" s="840"/>
      <c r="K18" s="840"/>
      <c r="L18" s="3"/>
      <c r="M18" s="3"/>
      <c r="N18" s="3"/>
      <c r="O18" s="3"/>
      <c r="P18" s="3"/>
      <c r="S18" s="226"/>
      <c r="T18" s="226"/>
      <c r="U18" s="226"/>
      <c r="V18" s="226"/>
      <c r="W18" s="226"/>
      <c r="X18" s="226"/>
      <c r="Y18" s="226"/>
      <c r="Z18" s="226"/>
      <c r="AA18" s="226"/>
      <c r="AB18" s="226"/>
      <c r="AC18" s="226"/>
      <c r="AD18" s="226"/>
      <c r="AE18" s="226"/>
      <c r="AF18" s="226"/>
      <c r="AG18" s="226"/>
      <c r="AH18" s="226"/>
      <c r="AI18" s="226"/>
    </row>
    <row r="19" spans="1:35" ht="24" customHeight="1">
      <c r="A19" s="3"/>
      <c r="B19" s="841" t="s">
        <v>74</v>
      </c>
      <c r="C19" s="841"/>
      <c r="D19" s="841"/>
      <c r="E19" s="143" t="s">
        <v>71</v>
      </c>
      <c r="F19" s="143" t="s">
        <v>75</v>
      </c>
      <c r="G19" s="836" t="s">
        <v>296</v>
      </c>
      <c r="H19" s="837"/>
      <c r="I19" s="838" t="s">
        <v>297</v>
      </c>
      <c r="J19" s="839"/>
      <c r="K19" s="329" t="s">
        <v>298</v>
      </c>
      <c r="L19" s="813" t="s">
        <v>78</v>
      </c>
      <c r="M19" s="814"/>
      <c r="N19" s="814"/>
      <c r="O19" s="814"/>
      <c r="P19" s="814"/>
      <c r="Q19" s="815"/>
      <c r="S19" s="65" t="s">
        <v>76</v>
      </c>
      <c r="T19" s="66">
        <v>0</v>
      </c>
      <c r="U19" s="67">
        <v>0.3</v>
      </c>
      <c r="V19" s="67">
        <v>0.6</v>
      </c>
      <c r="W19" s="67">
        <v>0.9</v>
      </c>
      <c r="X19" s="67">
        <v>1</v>
      </c>
      <c r="Y19" s="71"/>
      <c r="Z19" s="71"/>
      <c r="AA19" s="65" t="s">
        <v>76</v>
      </c>
      <c r="AB19" s="66">
        <v>0</v>
      </c>
      <c r="AC19" s="67">
        <v>0.2</v>
      </c>
      <c r="AD19" s="67">
        <v>0.4</v>
      </c>
      <c r="AE19" s="67">
        <v>0.6</v>
      </c>
      <c r="AF19" s="67">
        <v>0.8</v>
      </c>
      <c r="AG19" s="71"/>
      <c r="AH19" s="71"/>
      <c r="AI19" s="71"/>
    </row>
    <row r="20" spans="1:35" ht="54.75" customHeight="1">
      <c r="A20" s="3"/>
      <c r="B20" s="832" t="s">
        <v>537</v>
      </c>
      <c r="C20" s="826"/>
      <c r="D20" s="826"/>
      <c r="E20" s="483">
        <v>3</v>
      </c>
      <c r="F20" s="488">
        <v>5.7</v>
      </c>
      <c r="G20" s="819">
        <f>E20/F20</f>
        <v>0.52631578947368418</v>
      </c>
      <c r="H20" s="820"/>
      <c r="I20" s="820"/>
      <c r="J20" s="820"/>
      <c r="K20" s="821"/>
      <c r="L20" s="831" t="s">
        <v>538</v>
      </c>
      <c r="M20" s="818"/>
      <c r="N20" s="818"/>
      <c r="O20" s="818"/>
      <c r="P20" s="818"/>
      <c r="Q20" s="818"/>
      <c r="S20" s="65"/>
      <c r="T20" s="66"/>
      <c r="U20" s="67"/>
      <c r="V20" s="67"/>
      <c r="W20" s="67"/>
      <c r="X20" s="67"/>
      <c r="Y20" s="71"/>
      <c r="Z20" s="71"/>
      <c r="AA20" s="65"/>
      <c r="AB20" s="66"/>
      <c r="AC20" s="67"/>
      <c r="AD20" s="67"/>
      <c r="AE20" s="67"/>
      <c r="AF20" s="67"/>
      <c r="AG20" s="71"/>
      <c r="AH20" s="71"/>
      <c r="AI20" s="71"/>
    </row>
    <row r="21" spans="1:35" ht="72" customHeight="1">
      <c r="A21" s="3"/>
      <c r="B21" s="832" t="str">
        <f>+'Introducerea datelor'!B118</f>
        <v>% of HIV-positive pregnant women who received ARV treatment to reduce the risk of mother-to-child transmission // Procentul gravidelor HIV+ care au primit tratament ARV pentru a preveni transmiterea infectiei de la mama la fat</v>
      </c>
      <c r="C21" s="826"/>
      <c r="D21" s="826"/>
      <c r="E21" s="483">
        <v>77.3</v>
      </c>
      <c r="F21" s="488">
        <v>94.77</v>
      </c>
      <c r="G21" s="819">
        <f>F21/E21</f>
        <v>1.2260025873221216</v>
      </c>
      <c r="H21" s="820"/>
      <c r="I21" s="820"/>
      <c r="J21" s="820"/>
      <c r="K21" s="821"/>
      <c r="L21" s="831" t="s">
        <v>536</v>
      </c>
      <c r="M21" s="818"/>
      <c r="N21" s="818"/>
      <c r="O21" s="818"/>
      <c r="P21" s="818"/>
      <c r="Q21" s="818"/>
      <c r="S21" s="65" t="s">
        <v>77</v>
      </c>
      <c r="T21" s="68">
        <v>0.3</v>
      </c>
      <c r="U21" s="67">
        <v>0.6</v>
      </c>
      <c r="V21" s="67">
        <v>0.9</v>
      </c>
      <c r="W21" s="67">
        <v>1</v>
      </c>
      <c r="X21" s="67">
        <v>2</v>
      </c>
      <c r="Y21" s="71"/>
      <c r="Z21" s="71"/>
      <c r="AA21" s="65" t="s">
        <v>77</v>
      </c>
      <c r="AB21" s="68">
        <v>0.2</v>
      </c>
      <c r="AC21" s="67">
        <v>0.4</v>
      </c>
      <c r="AD21" s="67">
        <v>0.6</v>
      </c>
      <c r="AE21" s="67">
        <v>0.8</v>
      </c>
      <c r="AF21" s="67">
        <v>1</v>
      </c>
      <c r="AG21" s="71"/>
      <c r="AH21" s="71"/>
      <c r="AI21" s="71"/>
    </row>
    <row r="22" spans="1:35" ht="54.75" customHeight="1">
      <c r="A22" s="3"/>
      <c r="B22" s="826" t="str">
        <f>+'Introducerea datelor'!B120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22" s="826"/>
      <c r="D22" s="826"/>
      <c r="E22" s="483">
        <v>84</v>
      </c>
      <c r="F22" s="488">
        <v>81.2</v>
      </c>
      <c r="G22" s="819">
        <f>F22/E22</f>
        <v>0.96666666666666667</v>
      </c>
      <c r="H22" s="820"/>
      <c r="I22" s="820"/>
      <c r="J22" s="820"/>
      <c r="K22" s="821"/>
      <c r="L22" s="831" t="s">
        <v>542</v>
      </c>
      <c r="M22" s="818"/>
      <c r="N22" s="818"/>
      <c r="O22" s="818"/>
      <c r="P22" s="818"/>
      <c r="Q22" s="818"/>
      <c r="S22" s="69"/>
      <c r="T22" s="70" t="str">
        <f>"de "&amp;T19&amp;" a "&amp;T21</f>
        <v>de 0 a 0.3</v>
      </c>
      <c r="U22" s="70" t="str">
        <f>"de "&amp;U19&amp;" a "&amp;U21</f>
        <v>de 0.3 a 0.6</v>
      </c>
      <c r="V22" s="70" t="str">
        <f>"de "&amp;V19&amp;" a "&amp;V21</f>
        <v>de 0.6 a 0.9</v>
      </c>
      <c r="W22" s="70" t="str">
        <f>"de "&amp;W19&amp;" a "&amp;W21</f>
        <v>de 0.9 a 1</v>
      </c>
      <c r="X22" s="70" t="str">
        <f>"de "&amp;X19&amp;" a "&amp;X21</f>
        <v>de 1 a 2</v>
      </c>
      <c r="Y22" s="71"/>
      <c r="Z22" s="71" t="s">
        <v>246</v>
      </c>
      <c r="AA22" s="69" t="s">
        <v>245</v>
      </c>
      <c r="AB22" s="70" t="str">
        <f>"de "&amp;AB19&amp;" a "&amp;AB21</f>
        <v>de 0 a 0.2</v>
      </c>
      <c r="AC22" s="70" t="str">
        <f>"de "&amp;AC19&amp;" a "&amp;AC21</f>
        <v>de 0.2 a 0.4</v>
      </c>
      <c r="AD22" s="70" t="str">
        <f>"de "&amp;AD19&amp;" a "&amp;AD21</f>
        <v>de 0.4 a 0.6</v>
      </c>
      <c r="AE22" s="70" t="str">
        <f>"de "&amp;AE19&amp;" a "&amp;AE21</f>
        <v>de 0.6 a 0.8</v>
      </c>
      <c r="AF22" s="70" t="str">
        <f>"de "&amp;AF19&amp;" a "&amp;AF21</f>
        <v>de 0.8 a 1</v>
      </c>
      <c r="AG22" s="71"/>
      <c r="AH22" s="71"/>
      <c r="AI22" s="71"/>
    </row>
    <row r="23" spans="1:35" ht="138" hidden="1" customHeight="1">
      <c r="A23" s="3"/>
      <c r="B23" s="826" t="str">
        <f>+'Introducerea datelor'!B122</f>
        <v>Number of people with advanced HIV infection that have started antiretroviral combination therapy // Numărul pesoanelor cu infecţia HIV/SIDA avansată care au initiat tratament antiretroviral combinat</v>
      </c>
      <c r="C23" s="826"/>
      <c r="D23" s="826"/>
      <c r="E23" s="483">
        <v>70</v>
      </c>
      <c r="F23" s="488">
        <v>59.54</v>
      </c>
      <c r="G23" s="819">
        <f>F23/E23</f>
        <v>0.85057142857142853</v>
      </c>
      <c r="H23" s="820"/>
      <c r="I23" s="820"/>
      <c r="J23" s="820"/>
      <c r="K23" s="821"/>
      <c r="L23" s="831" t="s">
        <v>495</v>
      </c>
      <c r="M23" s="818"/>
      <c r="N23" s="818"/>
      <c r="O23" s="818"/>
      <c r="P23" s="818"/>
      <c r="Q23" s="818"/>
      <c r="S23" s="69"/>
      <c r="T23" s="67" t="e">
        <f>IF($K21&gt;T$19,IF($K21&lt;=T$21,$K21,NA()),NA())</f>
        <v>#N/A</v>
      </c>
      <c r="U23" s="67" t="e">
        <f>IF($K21&gt;U$19,IF($K21&lt;=U$21,$K21,NA()),NA())</f>
        <v>#N/A</v>
      </c>
      <c r="V23" s="67" t="e">
        <f>IF($K21&gt;V$19,IF($K21&lt;=V$21,$K21,NA()),NA())</f>
        <v>#N/A</v>
      </c>
      <c r="W23" s="67" t="e">
        <f>IF($K21&gt;W$19,IF($K21&lt;=W$21,$K21,NA()),NA())</f>
        <v>#N/A</v>
      </c>
      <c r="X23" s="67" t="e">
        <f>IF($K21&gt;X$19,IF($K21&lt;=X$21,1,NA()),NA())</f>
        <v>#N/A</v>
      </c>
      <c r="Y23" s="71"/>
      <c r="Z23" s="197" t="e">
        <f>+'Detalii despre Grant'!#REF!</f>
        <v>#REF!</v>
      </c>
      <c r="AA23" s="67" t="e">
        <f>+IF(Z23="A1",1,IF(Z23="A2",0.8,IF(Z23="B1",0.6,IF(Z23="B2",0.4,0.2))))</f>
        <v>#REF!</v>
      </c>
      <c r="AB23" s="67" t="e">
        <f>IF($AA23&gt;AB$19,IF($AA23&lt;=AB$21,$AA23,NA()),NA())</f>
        <v>#REF!</v>
      </c>
      <c r="AC23" s="67" t="e">
        <f>IF($AA23&gt;AC$19,IF($AA23&lt;=AC$21,$AA23,NA()),NA())</f>
        <v>#REF!</v>
      </c>
      <c r="AD23" s="67" t="e">
        <f>IF($AA23&gt;AD$19,IF($AA23&lt;=AD$21,$AA23,NA()),NA())</f>
        <v>#REF!</v>
      </c>
      <c r="AE23" s="67" t="e">
        <f>IF($AA23&gt;AE$19,IF($AA23&lt;=AE$21,$AA23,NA()),NA())</f>
        <v>#REF!</v>
      </c>
      <c r="AF23" s="67" t="e">
        <f>IF($AA23&gt;AF$19,IF($AA23&lt;=AF$21,$AA23,NA()),NA())</f>
        <v>#REF!</v>
      </c>
      <c r="AG23" s="71"/>
      <c r="AH23" s="71"/>
      <c r="AI23" s="71"/>
    </row>
    <row r="24" spans="1:35" ht="251.25" customHeight="1">
      <c r="A24" s="3"/>
      <c r="B24" s="823" t="str">
        <f>+'Introducerea datelor'!B126</f>
        <v>Number and percentage of injecting drug users (IDUs) reached with prevention programmes  // Numărul şi procentul utilizatorilor de droguri injectabile (UDI) cuprinşi în programele de prevenire</v>
      </c>
      <c r="C24" s="824"/>
      <c r="D24" s="825"/>
      <c r="E24" s="483">
        <v>10213</v>
      </c>
      <c r="F24" s="483">
        <v>7740</v>
      </c>
      <c r="G24" s="819">
        <f>F24/E24</f>
        <v>0.75785763242925686</v>
      </c>
      <c r="H24" s="820"/>
      <c r="I24" s="820"/>
      <c r="J24" s="820"/>
      <c r="K24" s="821"/>
      <c r="L24" s="817" t="s">
        <v>531</v>
      </c>
      <c r="M24" s="817"/>
      <c r="N24" s="817"/>
      <c r="O24" s="817"/>
      <c r="P24" s="817"/>
      <c r="Q24" s="817"/>
      <c r="S24" s="69"/>
      <c r="T24" s="67" t="e">
        <f>IF($K22&gt;T$19,IF($K22&lt;=T$21,$K22,NA()),NA())</f>
        <v>#N/A</v>
      </c>
      <c r="U24" s="67" t="e">
        <f>IF($K22&gt;U$19,IF($K22&lt;=U$21,$K22,NA()),NA())</f>
        <v>#N/A</v>
      </c>
      <c r="V24" s="67" t="e">
        <f>IF($K22&gt;V$19,IF($K22&lt;=V$21,$K22,NA()),NA())</f>
        <v>#N/A</v>
      </c>
      <c r="W24" s="67" t="e">
        <f>IF($K22&gt;W$19,IF($K22&lt;=W$21,$K22,NA()),NA())</f>
        <v>#N/A</v>
      </c>
      <c r="X24" s="67" t="e">
        <f>IF($K22&gt;X$19,IF($K22&lt;=X$21,1,1),NA())</f>
        <v>#N/A</v>
      </c>
      <c r="Y24" s="71"/>
      <c r="Z24" s="197" t="e">
        <f>+'Detalii despre Grant'!#REF!</f>
        <v>#REF!</v>
      </c>
      <c r="AA24" s="67" t="e">
        <f>+IF(Z24="A1",1,IF(Z24="A2",0.8,IF(Z24="B1",0.6,IF(Z24="B2",0.4,0.2))))</f>
        <v>#REF!</v>
      </c>
      <c r="AB24" s="67" t="e">
        <f>IF($AA24&gt;AB$19,IF($AA24&lt;=AB$21,$AA24,NA()),NA())</f>
        <v>#REF!</v>
      </c>
      <c r="AC24" s="67" t="e">
        <f>IF($AA24&gt;AC$19,IF($AA24&lt;=AC$21,$AA24,NA()),NA())</f>
        <v>#REF!</v>
      </c>
      <c r="AD24" s="67" t="e">
        <f>IF($AA24&gt;AD$19,IF($AA24&lt;=AD$21,$AA24,NA()),NA())</f>
        <v>#REF!</v>
      </c>
      <c r="AE24" s="67" t="e">
        <f>IF($AA24&gt;AE$19,IF($AA24&lt;=AE$21,$AA24,NA()),NA())</f>
        <v>#REF!</v>
      </c>
      <c r="AF24" s="67" t="e">
        <f>IF($AA24&gt;AF$19,IF($AA24&lt;=AF$21,$AA24,NA()),NA())</f>
        <v>#REF!</v>
      </c>
      <c r="AG24" s="71"/>
      <c r="AH24" s="71"/>
      <c r="AI24" s="71"/>
    </row>
    <row r="25" spans="1:35" ht="177.75" customHeight="1">
      <c r="A25" s="3"/>
      <c r="B25" s="826" t="str">
        <f>+'Introducerea datelor'!B130</f>
        <v>Number and percentage of commercial sex workers (CSWs) reached with outreach programmes // Numărul şi procentul lucratoarelor sexului comercial (LSC) cuprinse în  programele de prevenire în teren</v>
      </c>
      <c r="C25" s="826"/>
      <c r="D25" s="826"/>
      <c r="E25" s="483">
        <v>3445</v>
      </c>
      <c r="F25" s="483">
        <v>2315</v>
      </c>
      <c r="G25" s="819">
        <f t="shared" ref="G25:G30" si="0">+IF(ISERROR(F25/E25),0,F25/E25)</f>
        <v>0.67198838896952107</v>
      </c>
      <c r="H25" s="820"/>
      <c r="I25" s="820"/>
      <c r="J25" s="820"/>
      <c r="K25" s="821"/>
      <c r="L25" s="817" t="s">
        <v>532</v>
      </c>
      <c r="M25" s="817"/>
      <c r="N25" s="817"/>
      <c r="O25" s="817"/>
      <c r="P25" s="817"/>
      <c r="Q25" s="817"/>
      <c r="S25" s="69"/>
      <c r="T25" s="67" t="e">
        <f>IF($K23&gt;T$19,IF($K23&lt;=T$21,$K23,NA()),NA())</f>
        <v>#N/A</v>
      </c>
      <c r="U25" s="67" t="e">
        <f>IF($K23&gt;U$19,IF($K23&lt;=U$21,$K23,NA()),NA())</f>
        <v>#N/A</v>
      </c>
      <c r="V25" s="67" t="e">
        <f>IF($K23&gt;V$19,IF($K23&lt;=V$21,$K23,NA()),NA())</f>
        <v>#N/A</v>
      </c>
      <c r="W25" s="67" t="e">
        <f>IF($K23&gt;W$19,IF($K23&lt;=W$21,$K23,NA()),NA())</f>
        <v>#N/A</v>
      </c>
      <c r="X25" s="67" t="e">
        <f>IF($K23&gt;X$19,IF($K23&lt;=X$21,1,NA()),NA())</f>
        <v>#N/A</v>
      </c>
      <c r="Y25" s="71"/>
      <c r="Z25" s="197" t="e">
        <f>+'Detalii despre Grant'!#REF!</f>
        <v>#REF!</v>
      </c>
      <c r="AA25" s="67" t="e">
        <f>+IF(Z25="A1",1,IF(Z25="A2",0.8,IF(Z25="B1",0.6,IF(Z25="B2",0.4,0.2))))</f>
        <v>#REF!</v>
      </c>
      <c r="AB25" s="67" t="e">
        <f>IF($AA25&gt;AB$19,IF($AA25&lt;=AB$21,$AA25,NA()),NA())</f>
        <v>#REF!</v>
      </c>
      <c r="AC25" s="67" t="e">
        <f>IF($AA25&gt;AC$19,IF($AA25&lt;=AC$21,$AA25,NA()),NA())</f>
        <v>#REF!</v>
      </c>
      <c r="AD25" s="67" t="e">
        <f>IF($AA25&gt;AD$19,IF($AA25&lt;=AD$21,$AA25,NA()),NA())</f>
        <v>#REF!</v>
      </c>
      <c r="AE25" s="67" t="e">
        <f>IF($AA25&gt;AE$19,IF($AA25&lt;=AE$21,$AA25,NA()),NA())</f>
        <v>#REF!</v>
      </c>
      <c r="AF25" s="67" t="e">
        <f>IF($AA25&gt;AF$19,IF($AA25&lt;=AF$21,$AA25,NA()),NA())</f>
        <v>#REF!</v>
      </c>
      <c r="AG25" s="71"/>
      <c r="AH25" s="71"/>
      <c r="AI25" s="71"/>
    </row>
    <row r="26" spans="1:35" ht="147.75" customHeight="1">
      <c r="A26" s="3"/>
      <c r="B26" s="826" t="str">
        <f>+'Introducerea datelor'!B132</f>
        <v>Number and percentage of lesbian, gay, bi-sexual and trans-sexual reached with outreach programmes // Numărul şi procentul lesbienelor, gay-lor, bisexualilor si trans-sexualilor cuprinşi în  programele de prevenire în teren</v>
      </c>
      <c r="C26" s="826"/>
      <c r="D26" s="826"/>
      <c r="E26" s="483">
        <v>2933</v>
      </c>
      <c r="F26" s="483">
        <v>1073</v>
      </c>
      <c r="G26" s="819">
        <f t="shared" si="0"/>
        <v>0.36583702693487896</v>
      </c>
      <c r="H26" s="820"/>
      <c r="I26" s="820"/>
      <c r="J26" s="820"/>
      <c r="K26" s="821"/>
      <c r="L26" s="816" t="s">
        <v>526</v>
      </c>
      <c r="M26" s="816"/>
      <c r="N26" s="816"/>
      <c r="O26" s="816"/>
      <c r="P26" s="816"/>
      <c r="Q26" s="816"/>
      <c r="S26" s="69"/>
      <c r="T26" s="67" t="e">
        <f>IF($K24&gt;T$19,IF($K24&lt;=T$21,$K24,NA()),NA())</f>
        <v>#N/A</v>
      </c>
      <c r="U26" s="67" t="e">
        <f>IF($K24&gt;U$19,IF($K24&lt;=U$21,$K24,NA()),NA())</f>
        <v>#N/A</v>
      </c>
      <c r="V26" s="67" t="e">
        <f>IF($K24&gt;V$19,IF($K24&lt;=V$21,$K24,NA()),NA())</f>
        <v>#N/A</v>
      </c>
      <c r="W26" s="67" t="e">
        <f>IF($K24&gt;W$19,IF($K24&lt;=W$21,$K24,NA()),NA())</f>
        <v>#N/A</v>
      </c>
      <c r="X26" s="67" t="e">
        <f>IF($K24&gt;X$19,IF($K24&lt;=X$21,1,NA()),NA())</f>
        <v>#N/A</v>
      </c>
      <c r="Y26" s="71"/>
      <c r="Z26" s="71"/>
      <c r="AA26" s="71"/>
      <c r="AB26" s="71"/>
      <c r="AC26" s="71"/>
      <c r="AD26" s="71"/>
      <c r="AE26" s="71"/>
      <c r="AF26" s="71"/>
      <c r="AG26" s="71"/>
      <c r="AH26" s="71"/>
      <c r="AI26" s="71"/>
    </row>
    <row r="27" spans="1:35" ht="102" customHeight="1">
      <c r="A27" s="3"/>
      <c r="B27" s="826" t="str">
        <f>+'Introducerea datelor'!B128</f>
        <v xml:space="preserve">Number of drug users reached with drug substitution therapy  // Numărul utilizatorilor de droguri care beneficiază de tratament de substituţie  </v>
      </c>
      <c r="C27" s="826"/>
      <c r="D27" s="826"/>
      <c r="E27" s="144">
        <v>50</v>
      </c>
      <c r="F27" s="144">
        <v>68</v>
      </c>
      <c r="G27" s="819">
        <f t="shared" si="0"/>
        <v>1.36</v>
      </c>
      <c r="H27" s="820"/>
      <c r="I27" s="820"/>
      <c r="J27" s="820"/>
      <c r="K27" s="821"/>
      <c r="L27" s="817" t="s">
        <v>533</v>
      </c>
      <c r="M27" s="817"/>
      <c r="N27" s="817"/>
      <c r="O27" s="817"/>
      <c r="P27" s="817"/>
      <c r="Q27" s="817"/>
      <c r="S27" s="69"/>
      <c r="T27" s="67" t="e">
        <f>IF($K25&gt;T$19,IF($K25&lt;=T$21,$K25,NA()),NA())</f>
        <v>#N/A</v>
      </c>
      <c r="U27" s="67" t="e">
        <f>IF($K25&gt;U$19,IF($K25&lt;=U$21,$K25,NA()),NA())</f>
        <v>#N/A</v>
      </c>
      <c r="V27" s="67" t="e">
        <f>IF($K25&gt;V$19,IF($K25&lt;=V$21,$K25,NA()),NA())</f>
        <v>#N/A</v>
      </c>
      <c r="W27" s="67" t="e">
        <f>IF($K25&gt;W$19,IF($K25&lt;=W$21,$K25,NA()),NA())</f>
        <v>#N/A</v>
      </c>
      <c r="X27" s="67" t="e">
        <f>IF($K25&gt;X$19,IF($K25&lt;=X$21,1,NA()),NA())</f>
        <v>#N/A</v>
      </c>
      <c r="Y27" s="71"/>
      <c r="Z27" s="71"/>
      <c r="AA27" s="71"/>
      <c r="AB27" s="71"/>
      <c r="AC27" s="71"/>
      <c r="AD27" s="71"/>
      <c r="AE27" s="71"/>
      <c r="AF27" s="71"/>
      <c r="AG27" s="71"/>
      <c r="AH27" s="71"/>
      <c r="AI27" s="71"/>
    </row>
    <row r="28" spans="1:35" ht="66.75" customHeight="1">
      <c r="A28" s="3"/>
      <c r="B28" s="832" t="str">
        <f>+'Introducerea datelor'!B122</f>
        <v>Number of people with advanced HIV infection that have started antiretroviral combination therapy // Numărul pesoanelor cu infecţia HIV/SIDA avansată care au initiat tratament antiretroviral combinat</v>
      </c>
      <c r="C28" s="826"/>
      <c r="D28" s="826"/>
      <c r="E28" s="144">
        <v>3213</v>
      </c>
      <c r="F28" s="144">
        <v>3675</v>
      </c>
      <c r="G28" s="819">
        <f t="shared" si="0"/>
        <v>1.1437908496732025</v>
      </c>
      <c r="H28" s="820"/>
      <c r="I28" s="820"/>
      <c r="J28" s="820"/>
      <c r="K28" s="821"/>
      <c r="L28" s="818" t="s">
        <v>523</v>
      </c>
      <c r="M28" s="818"/>
      <c r="N28" s="818"/>
      <c r="O28" s="818"/>
      <c r="P28" s="818"/>
      <c r="Q28" s="818"/>
      <c r="S28" s="69"/>
      <c r="T28" s="67" t="e">
        <f>IF($K26&gt;T$19,IF($K26&lt;=T$21,$K26,NA()),NA())</f>
        <v>#N/A</v>
      </c>
      <c r="U28" s="67" t="e">
        <f>IF($K26&gt;U$19,IF($K26&lt;=U$21,$K26,NA()),NA())</f>
        <v>#N/A</v>
      </c>
      <c r="V28" s="67" t="e">
        <f>IF($K26&gt;V$19,IF($K26&lt;=V$21,$K26,NA()),NA())</f>
        <v>#N/A</v>
      </c>
      <c r="W28" s="67" t="e">
        <f>IF($K26&gt;W$19,IF($K26&lt;=W$21,$K26,NA()),NA())</f>
        <v>#N/A</v>
      </c>
      <c r="X28" s="67" t="e">
        <f>IF($K26&gt;X$19,IF($K26&lt;=X$21,1,NA()),NA())</f>
        <v>#N/A</v>
      </c>
      <c r="Y28" s="71"/>
      <c r="Z28" s="71"/>
      <c r="AA28" s="71"/>
      <c r="AB28" s="71"/>
      <c r="AC28" s="71"/>
      <c r="AD28" s="71"/>
      <c r="AE28" s="71"/>
      <c r="AF28" s="71"/>
      <c r="AG28" s="71"/>
      <c r="AH28" s="71"/>
      <c r="AI28" s="71"/>
    </row>
    <row r="29" spans="1:35" ht="124.5" hidden="1" customHeight="1">
      <c r="A29" s="3"/>
      <c r="B29" s="826" t="str">
        <f>+'Introducerea datelor'!B134</f>
        <v>Number and percentage of PLWHA screened for TB // Numărul şi procentul persoanelor care trăiesc cu HIV/SIDA testate pentru TB</v>
      </c>
      <c r="C29" s="826"/>
      <c r="D29" s="826"/>
      <c r="E29" s="489" t="s">
        <v>492</v>
      </c>
      <c r="F29" s="490">
        <v>50.2</v>
      </c>
      <c r="G29" s="819">
        <v>0.63</v>
      </c>
      <c r="H29" s="820"/>
      <c r="I29" s="820"/>
      <c r="J29" s="820"/>
      <c r="K29" s="821"/>
      <c r="L29" s="831" t="s">
        <v>493</v>
      </c>
      <c r="M29" s="818"/>
      <c r="N29" s="818"/>
      <c r="O29" s="818"/>
      <c r="P29" s="818"/>
      <c r="Q29" s="818"/>
      <c r="S29" s="69"/>
      <c r="T29" s="67" t="e">
        <f>IF($K27&gt;T$19,IF($K27&lt;=T$21,$K27,NA()),NA())</f>
        <v>#N/A</v>
      </c>
      <c r="U29" s="67" t="e">
        <f>IF($K27&gt;U$19,IF($K27&lt;=U$21,$K27,NA()),NA())</f>
        <v>#N/A</v>
      </c>
      <c r="V29" s="67" t="e">
        <f>IF($K27&gt;V$19,IF($K27&lt;=V$21,$K27,NA()),NA())</f>
        <v>#N/A</v>
      </c>
      <c r="W29" s="67" t="e">
        <f>IF($K27&gt;W$19,IF($K27&lt;=W$21,$K27,NA()),NA())</f>
        <v>#N/A</v>
      </c>
      <c r="X29" s="67" t="e">
        <f>IF($K27&gt;X$19,IF($K27&lt;=X$21,1,NA()),NA())</f>
        <v>#N/A</v>
      </c>
      <c r="Y29" s="71"/>
      <c r="Z29" s="71"/>
      <c r="AA29" s="71"/>
      <c r="AB29" s="71"/>
      <c r="AC29" s="71"/>
      <c r="AD29" s="71"/>
      <c r="AE29" s="71"/>
      <c r="AF29" s="71"/>
      <c r="AG29" s="71"/>
      <c r="AH29" s="71"/>
      <c r="AI29" s="71"/>
    </row>
    <row r="30" spans="1:35" ht="375.75" hidden="1" customHeight="1">
      <c r="A30" s="3"/>
      <c r="B30" s="823" t="str">
        <f>+'Introducerea datelor'!B136</f>
        <v>Number of healthcare providers trained // Numărul prestatorilor de servicii medicale instruiţi</v>
      </c>
      <c r="C30" s="824"/>
      <c r="D30" s="825"/>
      <c r="E30" s="489">
        <v>2323</v>
      </c>
      <c r="F30" s="490">
        <v>2307</v>
      </c>
      <c r="G30" s="819">
        <f t="shared" si="0"/>
        <v>0.99311235471373227</v>
      </c>
      <c r="H30" s="820"/>
      <c r="I30" s="820"/>
      <c r="J30" s="820"/>
      <c r="K30" s="821"/>
      <c r="L30" s="818" t="s">
        <v>494</v>
      </c>
      <c r="M30" s="818"/>
      <c r="N30" s="818"/>
      <c r="O30" s="818"/>
      <c r="P30" s="818"/>
      <c r="Q30" s="818"/>
      <c r="S30" s="69"/>
      <c r="T30" s="67" t="e">
        <f>IF($K28&gt;T$19,IF($K28&lt;=T$21,$K28,NA()),NA())</f>
        <v>#N/A</v>
      </c>
      <c r="U30" s="67" t="e">
        <f>IF($K28&gt;U$19,IF($K28&lt;=U$21,$K28,NA()),NA())</f>
        <v>#N/A</v>
      </c>
      <c r="V30" s="67" t="e">
        <f>IF($K28&gt;V$19,IF($K28&lt;=V$21,$K28,NA()),NA())</f>
        <v>#N/A</v>
      </c>
      <c r="W30" s="67" t="e">
        <f>IF($K28&gt;W$19,IF($K28&lt;=W$21,$K28,NA()),NA())</f>
        <v>#N/A</v>
      </c>
      <c r="X30" s="67" t="e">
        <f>IF($K28&gt;X$19,IF($K28&lt;=X$21,1,NA()),NA())</f>
        <v>#N/A</v>
      </c>
      <c r="Y30" s="71"/>
      <c r="Z30" s="71"/>
      <c r="AA30" s="71"/>
      <c r="AB30" s="71"/>
      <c r="AC30" s="71"/>
      <c r="AD30" s="71"/>
      <c r="AE30" s="71"/>
      <c r="AF30" s="71"/>
      <c r="AG30" s="71"/>
      <c r="AH30" s="71"/>
      <c r="AI30" s="71"/>
    </row>
    <row r="31" spans="1:35" ht="22.5" customHeight="1">
      <c r="A31" s="3"/>
      <c r="B31" s="827"/>
      <c r="C31" s="827"/>
      <c r="D31" s="827"/>
      <c r="E31" s="828"/>
      <c r="F31" s="829"/>
      <c r="G31" s="830"/>
      <c r="H31" s="830"/>
      <c r="I31" s="830"/>
      <c r="J31" s="830"/>
      <c r="K31" s="828"/>
      <c r="L31" s="829"/>
      <c r="M31" s="830"/>
      <c r="N31" s="830"/>
      <c r="O31" s="830"/>
      <c r="P31" s="830"/>
      <c r="S31" s="69"/>
      <c r="T31" s="67" t="e">
        <f>IF($K30&gt;T$19,IF($K30&lt;=T$21,$K30,NA()),NA())</f>
        <v>#N/A</v>
      </c>
      <c r="U31" s="67" t="e">
        <f>IF($K30&gt;U$19,IF($K30&lt;=U$21,$K30,NA()),NA())</f>
        <v>#N/A</v>
      </c>
      <c r="V31" s="67" t="e">
        <f>IF($K30&gt;V$19,IF($K30&lt;=V$21,$K30,NA()),NA())</f>
        <v>#N/A</v>
      </c>
      <c r="W31" s="67" t="e">
        <f>IF($K30&gt;W$19,IF($K30&lt;=W$21,$K30,NA()),NA())</f>
        <v>#N/A</v>
      </c>
      <c r="X31" s="67" t="e">
        <f>IF($K30&gt;X$19,IF($K30&lt;=X$21,1,NA()),NA())</f>
        <v>#N/A</v>
      </c>
      <c r="Y31" s="71"/>
      <c r="Z31" s="71"/>
      <c r="AA31" s="71"/>
      <c r="AB31" s="71"/>
      <c r="AC31" s="71"/>
      <c r="AD31" s="71"/>
      <c r="AE31" s="71"/>
      <c r="AF31" s="71"/>
      <c r="AG31" s="71"/>
      <c r="AH31" s="71"/>
      <c r="AI31" s="71"/>
    </row>
    <row r="32" spans="1:35">
      <c r="A32" s="3"/>
      <c r="B32" s="227"/>
      <c r="C32" s="227"/>
      <c r="D32" s="227"/>
      <c r="E32" s="227"/>
      <c r="F32" s="227"/>
      <c r="G32" s="227"/>
      <c r="H32" s="228"/>
      <c r="I32" s="227"/>
      <c r="J32" s="227"/>
      <c r="K32" s="227"/>
      <c r="L32" s="227"/>
      <c r="M32" s="227"/>
      <c r="N32" s="227"/>
      <c r="O32" s="227"/>
      <c r="P32" s="227"/>
      <c r="S32" s="69"/>
      <c r="T32" s="67" t="e">
        <f>IF(#REF!&gt;T$19,IF(#REF!&lt;=T$21,#REF!,NA()),NA())</f>
        <v>#REF!</v>
      </c>
      <c r="U32" s="67" t="e">
        <f>IF(#REF!&gt;U$19,IF(#REF!&lt;=U$21,#REF!,NA()),NA())</f>
        <v>#REF!</v>
      </c>
      <c r="V32" s="67" t="e">
        <f>IF(#REF!&gt;V$19,IF(#REF!&lt;=V$21,#REF!,NA()),NA())</f>
        <v>#REF!</v>
      </c>
      <c r="W32" s="67" t="e">
        <f>IF(#REF!&gt;W$19,IF(#REF!&lt;=W$21,#REF!,NA()),NA())</f>
        <v>#REF!</v>
      </c>
      <c r="X32" s="67" t="e">
        <f>IF(#REF!&gt;X$19,IF(#REF!&lt;=X$21,1,NA()),NA())</f>
        <v>#REF!</v>
      </c>
      <c r="Y32" s="71"/>
      <c r="Z32" s="71"/>
      <c r="AA32" s="71"/>
      <c r="AB32" s="71"/>
      <c r="AC32" s="71"/>
      <c r="AD32" s="71"/>
      <c r="AE32" s="71"/>
      <c r="AF32" s="71"/>
      <c r="AG32" s="71"/>
      <c r="AH32" s="71"/>
      <c r="AI32" s="71"/>
    </row>
    <row r="33" spans="1:35">
      <c r="A33" s="3"/>
      <c r="B33" s="822"/>
      <c r="C33" s="822"/>
      <c r="D33" s="822"/>
      <c r="E33" s="822"/>
      <c r="F33" s="822"/>
      <c r="G33" s="822"/>
      <c r="H33" s="822"/>
      <c r="I33" s="822"/>
      <c r="J33" s="822"/>
      <c r="K33" s="822"/>
      <c r="L33" s="227"/>
      <c r="M33" s="227"/>
      <c r="N33" s="227"/>
      <c r="O33" s="227"/>
      <c r="P33" s="227"/>
      <c r="S33" s="69"/>
      <c r="T33" s="67" t="e">
        <f>IF($K31&gt;T$19,IF($K31&lt;=T$21,$K31,NA()),NA())</f>
        <v>#N/A</v>
      </c>
      <c r="U33" s="67" t="e">
        <f>IF($K31&gt;U$19,IF($K31&lt;=U$21,$K31,NA()),NA())</f>
        <v>#N/A</v>
      </c>
      <c r="V33" s="67" t="e">
        <f>IF($K31&gt;V$19,IF($K31&lt;=V$21,$K31,NA()),NA())</f>
        <v>#N/A</v>
      </c>
      <c r="W33" s="67" t="e">
        <f>IF($K31&gt;W$19,IF($K31&lt;=W$21,$K31,NA()),NA())</f>
        <v>#N/A</v>
      </c>
      <c r="X33" s="67" t="e">
        <f>IF($K31&gt;X$19,IF($K31&lt;=X$21,1,NA()),NA())</f>
        <v>#N/A</v>
      </c>
      <c r="Y33" s="71"/>
      <c r="Z33" s="71"/>
      <c r="AA33" s="71"/>
      <c r="AB33" s="71"/>
      <c r="AC33" s="71"/>
      <c r="AD33" s="71"/>
      <c r="AE33" s="71"/>
      <c r="AF33" s="71"/>
      <c r="AG33" s="71"/>
      <c r="AH33" s="71"/>
      <c r="AI33" s="71"/>
    </row>
    <row r="34" spans="1:35">
      <c r="A34" s="3"/>
      <c r="B34" s="822"/>
      <c r="C34" s="822"/>
      <c r="D34" s="822"/>
      <c r="E34" s="822"/>
      <c r="F34" s="822"/>
      <c r="G34" s="822"/>
      <c r="H34" s="822"/>
      <c r="I34" s="822"/>
      <c r="J34" s="822"/>
      <c r="K34" s="822"/>
      <c r="L34" s="227"/>
      <c r="M34" s="227"/>
      <c r="N34" s="227"/>
      <c r="O34" s="227"/>
      <c r="P34" s="227"/>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5"/>
      <c r="J36" s="146"/>
      <c r="K36" s="146"/>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7"/>
      <c r="J37" s="148"/>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9"/>
      <c r="J38" s="148"/>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7"/>
      <c r="J39" s="148"/>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B20:D20"/>
    <mergeCell ref="G20:K20"/>
    <mergeCell ref="L20:Q20"/>
    <mergeCell ref="M9:Q9"/>
    <mergeCell ref="C3:D3"/>
    <mergeCell ref="E4:L4"/>
    <mergeCell ref="B8:E8"/>
    <mergeCell ref="F8:K8"/>
    <mergeCell ref="B28:D28"/>
    <mergeCell ref="B29:D29"/>
    <mergeCell ref="B30:D30"/>
    <mergeCell ref="C9:E9"/>
    <mergeCell ref="G9:K9"/>
    <mergeCell ref="B23:D23"/>
    <mergeCell ref="G19:H19"/>
    <mergeCell ref="I19:J19"/>
    <mergeCell ref="E18:K18"/>
    <mergeCell ref="B19:D19"/>
    <mergeCell ref="B21:D21"/>
    <mergeCell ref="B22:D22"/>
    <mergeCell ref="G27:K27"/>
    <mergeCell ref="G28:K28"/>
    <mergeCell ref="L31:P31"/>
    <mergeCell ref="L21:Q21"/>
    <mergeCell ref="L22:Q22"/>
    <mergeCell ref="L23:Q23"/>
    <mergeCell ref="L29:Q29"/>
    <mergeCell ref="L24:Q24"/>
    <mergeCell ref="L25:Q25"/>
    <mergeCell ref="L30:Q30"/>
    <mergeCell ref="B33:D34"/>
    <mergeCell ref="E33:G34"/>
    <mergeCell ref="H33:K34"/>
    <mergeCell ref="B24:D24"/>
    <mergeCell ref="B25:D25"/>
    <mergeCell ref="B26:D26"/>
    <mergeCell ref="B27:D27"/>
    <mergeCell ref="G24:K24"/>
    <mergeCell ref="G25:K25"/>
    <mergeCell ref="G26:K26"/>
    <mergeCell ref="B31:E31"/>
    <mergeCell ref="F31:K31"/>
    <mergeCell ref="G29:K29"/>
    <mergeCell ref="G30:K30"/>
    <mergeCell ref="L19:Q19"/>
    <mergeCell ref="L26:Q26"/>
    <mergeCell ref="L27:Q27"/>
    <mergeCell ref="L28:Q28"/>
    <mergeCell ref="G21:K21"/>
    <mergeCell ref="G22:K22"/>
    <mergeCell ref="G23:K23"/>
    <mergeCell ref="B2:Q2"/>
    <mergeCell ref="O3:P3"/>
    <mergeCell ref="D5:N5"/>
    <mergeCell ref="L8:Q8"/>
    <mergeCell ref="F6:K6"/>
    <mergeCell ref="E3:K3"/>
    <mergeCell ref="C4:D4"/>
  </mergeCells>
  <phoneticPr fontId="30" type="noConversion"/>
  <conditionalFormatting sqref="C4:D4">
    <cfRule type="cellIs" dxfId="17" priority="56" stopIfTrue="1" operator="equal">
      <formula>"C"</formula>
    </cfRule>
    <cfRule type="cellIs" dxfId="16" priority="57" stopIfTrue="1" operator="equal">
      <formula>"B2"</formula>
    </cfRule>
    <cfRule type="cellIs" dxfId="15" priority="58" stopIfTrue="1" operator="equal">
      <formula>"B1"</formula>
    </cfRule>
  </conditionalFormatting>
  <conditionalFormatting sqref="G21:G30">
    <cfRule type="cellIs" dxfId="14" priority="62" stopIfTrue="1" operator="between">
      <formula>0</formula>
      <formula>0.599</formula>
    </cfRule>
    <cfRule type="cellIs" dxfId="13" priority="63" stopIfTrue="1" operator="between">
      <formula>0.6</formula>
      <formula>0.899</formula>
    </cfRule>
    <cfRule type="cellIs" dxfId="12" priority="64" stopIfTrue="1" operator="greaterThanOrEqual">
      <formula>0.9</formula>
    </cfRule>
  </conditionalFormatting>
  <conditionalFormatting sqref="G20">
    <cfRule type="cellIs" dxfId="5" priority="1" stopIfTrue="1" operator="between">
      <formula>0</formula>
      <formula>0.599</formula>
    </cfRule>
    <cfRule type="cellIs" dxfId="4" priority="2" stopIfTrue="1" operator="between">
      <formula>0.6</formula>
      <formula>0.899</formula>
    </cfRule>
    <cfRule type="cellIs" dxfId="3" priority="3" stopIfTrue="1" operator="greaterThanOrEqual">
      <formula>0.9</formula>
    </cfRule>
  </conditionalFormatting>
  <pageMargins left="0.25" right="0.25" top="0.75" bottom="0.75" header="0.3" footer="0.3"/>
  <pageSetup paperSize="9" scale="65" orientation="portrait" r:id="rId1"/>
  <headerFooter alignWithMargins="0">
    <oddFooter>&amp;L&amp;F&amp;C&amp;A&amp;RV1.0          &amp;D</oddFooter>
  </headerFooter>
  <ignoredErrors>
    <ignoredError sqref="X24:Y24" formula="1"/>
    <ignoredError sqref="Z24:AC24" evalError="1" formula="1"/>
    <ignoredError sqref="AD24:AF24 Z25:AF25" evalError="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A42" zoomScale="130" zoomScaleNormal="130" zoomScalePageLayoutView="40" workbookViewId="0">
      <selection activeCell="D18" sqref="D18:G18"/>
    </sheetView>
  </sheetViews>
  <sheetFormatPr defaultRowHeight="11.25"/>
  <cols>
    <col min="1" max="1" width="1.140625" style="31" customWidth="1"/>
    <col min="2" max="2" width="19.28515625" style="31" customWidth="1"/>
    <col min="3" max="3" width="1.140625" style="31" customWidth="1"/>
    <col min="4" max="4" width="17.140625" style="31" customWidth="1"/>
    <col min="5" max="5" width="17.5703125" style="31" customWidth="1"/>
    <col min="6" max="6" width="9.7109375" style="31" customWidth="1"/>
    <col min="7" max="7" width="31.42578125" style="31" customWidth="1"/>
    <col min="8" max="8" width="4.28515625" style="31" customWidth="1"/>
    <col min="9" max="9" width="15.85546875" style="31" customWidth="1"/>
    <col min="10" max="10" width="3.5703125" style="31" customWidth="1"/>
    <col min="11" max="11" width="7.5703125" style="32" customWidth="1"/>
    <col min="12" max="12" width="14.28515625" style="31" customWidth="1"/>
    <col min="13" max="13" width="12" style="31" customWidth="1"/>
    <col min="14" max="14" width="27.85546875" style="31" customWidth="1"/>
    <col min="15" max="15" width="2.5703125" style="31" customWidth="1"/>
    <col min="16" max="16384" width="9.140625" style="31"/>
  </cols>
  <sheetData>
    <row r="1" spans="1:15" ht="38.25" customHeight="1">
      <c r="A1" s="151"/>
      <c r="B1" s="151"/>
      <c r="C1" s="151"/>
      <c r="D1" s="151"/>
      <c r="E1" s="151"/>
      <c r="F1" s="151"/>
      <c r="G1" s="151"/>
      <c r="H1" s="151"/>
      <c r="I1" s="151"/>
      <c r="J1" s="151"/>
      <c r="K1" s="152"/>
      <c r="L1" s="151"/>
      <c r="M1" s="151"/>
      <c r="N1" s="151"/>
    </row>
    <row r="2" spans="1:15" customFormat="1" ht="27.75" customHeight="1">
      <c r="A2" s="3"/>
      <c r="B2" s="808" t="str">
        <f>+"Dashboard:  "&amp;"  "&amp;IF(+'Introducerea datelor'!C4="Please Select","",'Introducerea datelor'!C4&amp;" - ")&amp;IF('Introducerea datelor'!G6="Please Select","",'Introducerea datelor'!G6)</f>
        <v>Dashboard:    Moldova - HIV / AIDS</v>
      </c>
      <c r="C2" s="808"/>
      <c r="D2" s="808"/>
      <c r="E2" s="808"/>
      <c r="F2" s="808"/>
      <c r="G2" s="808"/>
      <c r="H2" s="808"/>
      <c r="I2" s="808"/>
      <c r="J2" s="808"/>
      <c r="K2" s="808"/>
      <c r="L2" s="808"/>
      <c r="M2" s="808"/>
      <c r="N2" s="808"/>
      <c r="O2" s="73"/>
    </row>
    <row r="3" spans="1:15" customFormat="1" ht="18.75">
      <c r="A3" s="3"/>
      <c r="B3" s="132" t="str">
        <f>+IF('Introducerea datelor'!G8="Please Select","",'Introducerea datelor'!G8)</f>
        <v/>
      </c>
      <c r="C3" s="775" t="str">
        <f>+IF('Introducerea datelor'!I8="Please Select","",'Introducerea datelor'!I8)</f>
        <v>Faza 2</v>
      </c>
      <c r="D3" s="775"/>
      <c r="E3" s="812"/>
      <c r="F3" s="812"/>
      <c r="G3" s="812"/>
      <c r="H3" s="812"/>
      <c r="I3" s="812"/>
      <c r="J3" s="812"/>
      <c r="K3" s="812"/>
      <c r="L3" s="132" t="str">
        <f>+'Introducerea datelor'!B16</f>
        <v>Perioada de Raportare:</v>
      </c>
      <c r="M3" s="199" t="str">
        <f>+'Introducerea datelor'!C16</f>
        <v>P9</v>
      </c>
      <c r="N3" s="199"/>
      <c r="O3" s="31"/>
    </row>
    <row r="4" spans="1:15" customFormat="1" ht="15">
      <c r="A4" s="3"/>
      <c r="B4" s="132" t="str">
        <f>+'Introducerea datelor'!B12</f>
        <v>Ultimul Rating:</v>
      </c>
      <c r="C4" s="885" t="str">
        <f>+IF('Introducerea datelor'!C12="Please Select","",'Introducerea datelor'!C12)</f>
        <v>A2</v>
      </c>
      <c r="D4" s="885"/>
      <c r="E4" s="774" t="str">
        <f>+'Introducerea datelor'!C8</f>
        <v>PI "CIMU HSRP"</v>
      </c>
      <c r="F4" s="774"/>
      <c r="G4" s="774"/>
      <c r="H4" s="774"/>
      <c r="I4" s="774"/>
      <c r="J4" s="774"/>
      <c r="K4" s="774"/>
      <c r="L4" s="132" t="str">
        <f>+'Introducerea datelor'!D16</f>
        <v>De la:</v>
      </c>
      <c r="M4" s="200">
        <f>+IF(ISBLANK('Introducerea datelor'!E16),"",'Introducerea datelor'!E16)</f>
        <v>41640</v>
      </c>
      <c r="N4" s="200"/>
      <c r="O4" s="31"/>
    </row>
    <row r="5" spans="1:15" customFormat="1" ht="18.75" customHeight="1">
      <c r="A5" s="3"/>
      <c r="B5" s="132"/>
      <c r="C5" s="132"/>
      <c r="D5" s="133"/>
      <c r="E5" s="774" t="str">
        <f>+'Introducerea datelor'!G4</f>
        <v>Scaling up Access to Prevention, Treatment and Care under the National Program for Prevention and Control of HIV/AIDS/STIs 2006-2010 and reducing morbidity, mortality and HIV-related impact on people living with HIV/AIDS, 2010-2014</v>
      </c>
      <c r="F5" s="774"/>
      <c r="G5" s="774"/>
      <c r="H5" s="774"/>
      <c r="I5" s="774"/>
      <c r="J5" s="774"/>
      <c r="K5" s="774"/>
      <c r="L5" s="132" t="str">
        <f>+'Introducerea datelor'!F16</f>
        <v>Pînă la:</v>
      </c>
      <c r="M5" s="200">
        <f>+IF(ISBLANK('Introducerea datelor'!G16),"",'Introducerea datelor'!G16)</f>
        <v>41820</v>
      </c>
      <c r="N5" s="200"/>
    </row>
    <row r="6" spans="1:15" customFormat="1" ht="22.5" customHeight="1">
      <c r="A6" s="3"/>
      <c r="B6" s="137"/>
      <c r="C6" s="138"/>
      <c r="D6" s="139"/>
      <c r="E6" s="884" t="s">
        <v>283</v>
      </c>
      <c r="F6" s="884"/>
      <c r="G6" s="884"/>
      <c r="H6" s="884"/>
      <c r="I6" s="884"/>
      <c r="J6" s="884"/>
      <c r="K6" s="884"/>
      <c r="L6" s="2"/>
      <c r="M6" s="2"/>
      <c r="N6" s="2"/>
    </row>
    <row r="7" spans="1:15" s="33" customFormat="1" ht="4.5" customHeight="1">
      <c r="A7" s="153"/>
      <c r="B7" s="154"/>
      <c r="C7" s="154"/>
      <c r="D7" s="154"/>
      <c r="E7" s="154"/>
      <c r="F7" s="154"/>
      <c r="G7" s="154"/>
      <c r="H7" s="154"/>
      <c r="I7" s="154"/>
      <c r="J7" s="154"/>
      <c r="K7" s="154"/>
      <c r="L7" s="155"/>
      <c r="M7" s="155"/>
      <c r="N7" s="156"/>
    </row>
    <row r="8" spans="1:15" s="33" customFormat="1" ht="21" customHeight="1" thickBot="1">
      <c r="A8" s="153"/>
      <c r="B8" s="848" t="s">
        <v>84</v>
      </c>
      <c r="C8" s="848"/>
      <c r="D8" s="848"/>
      <c r="E8" s="848"/>
      <c r="F8" s="848"/>
      <c r="G8" s="848"/>
      <c r="H8" s="848"/>
      <c r="I8" s="848"/>
      <c r="J8" s="848"/>
      <c r="K8" s="848"/>
      <c r="L8" s="848"/>
      <c r="M8" s="848"/>
      <c r="N8" s="848"/>
    </row>
    <row r="9" spans="1:15" s="33" customFormat="1" ht="3.75" customHeight="1" thickBot="1">
      <c r="A9" s="153"/>
      <c r="B9" s="154"/>
      <c r="C9" s="154"/>
      <c r="D9" s="154"/>
      <c r="E9" s="154"/>
      <c r="F9" s="154"/>
      <c r="G9" s="154"/>
      <c r="H9" s="154"/>
      <c r="I9" s="154"/>
      <c r="J9" s="154"/>
      <c r="K9" s="154"/>
      <c r="L9" s="155"/>
      <c r="M9" s="155"/>
      <c r="N9" s="156"/>
    </row>
    <row r="10" spans="1:15" s="34" customFormat="1" ht="25.5" customHeight="1" thickBot="1">
      <c r="A10" s="157"/>
      <c r="B10" s="869" t="s">
        <v>79</v>
      </c>
      <c r="C10" s="861"/>
      <c r="D10" s="849" t="s">
        <v>83</v>
      </c>
      <c r="E10" s="850"/>
      <c r="F10" s="850"/>
      <c r="G10" s="851"/>
      <c r="H10" s="160"/>
      <c r="I10" s="849" t="s">
        <v>283</v>
      </c>
      <c r="J10" s="850"/>
      <c r="K10" s="850"/>
      <c r="L10" s="850"/>
      <c r="M10" s="850"/>
      <c r="N10" s="851"/>
    </row>
    <row r="11" spans="1:15" s="34" customFormat="1" ht="28.5" customHeight="1">
      <c r="A11" s="157"/>
      <c r="B11" s="424" t="s">
        <v>87</v>
      </c>
      <c r="C11" s="177"/>
      <c r="D11" s="872" t="str">
        <f>IF(ISBLANK(Financiar!C9),"",(Financiar!C9))</f>
        <v xml:space="preserve">conform planului si cererii de debursare </v>
      </c>
      <c r="E11" s="872"/>
      <c r="F11" s="872"/>
      <c r="G11" s="873"/>
      <c r="H11" s="183"/>
      <c r="I11" s="875" t="s">
        <v>509</v>
      </c>
      <c r="J11" s="876"/>
      <c r="K11" s="876"/>
      <c r="L11" s="876"/>
      <c r="M11" s="876"/>
      <c r="N11" s="877"/>
    </row>
    <row r="12" spans="1:15" s="34" customFormat="1" ht="394.5" customHeight="1">
      <c r="A12" s="157"/>
      <c r="B12" s="425" t="s">
        <v>88</v>
      </c>
      <c r="C12" s="178"/>
      <c r="D12" s="872" t="str">
        <f>IF(ISBLANK(Financiar!C23),"",(Financiar!C23))</f>
        <v xml:space="preserve">Utilizarea resurselor în perioada de raportare a fost la un nivel de 103% față de bugetul planificat, variația absolută față de bugetul planificat constituind 16,660 EUR, fiind condiționată in special de:
La O I au fost înregistrate supracheltuieli în valoare de 33.781 EUR în special în legătură cu: efectuarea plaților în avans pentru implementarea activităților în perioadele următoare; creșterea bugetului prevăzut în acordul cu FSM pentru acoperirea unor activități suplimentare.
La O II au fost înregistrate cheltuieli sub nivelul planificat în valoare totală de 49.057 EUR, în special în legătură cu: (i) economii înregistrate la achiziționarea de lapte praf pentru copiii născuți de mame HIV+ si (ii) acoperirea din surse bugetare, începând cu a. 2013, a achiziționării de teste la HIV destinate testării gravidelor în primul trimestru de sarcina și înainte de naștere, pentru malul drept.
La componenta de Management au fost înregistrate cheltuieli sub nivelul planificat în valoare de 3.475 EUR, în special în legătură cu economiile înregistrate la componenta de salarizare a personalului și de menținere a oficiului.
Din dobânda acumulată în contul grantului HIV au fost acoperite cheltuieli nebugetate, în valoare totală de 2.201 EUR, în special pentru achitarea serviciilor de traducere, achitarea taxelor bancare, achitarea serviciilor de internet rapid pentru SDMC, achiziționarea, la solicitarea Centrului SIDA de la Tiraspol a unui lot de teste la sifilis pentru malul sting, achitarea serviciilor de brocheraj, acoperirea cheltuielilor aferente plasării în mass-media a anunțurilor privind achizițiile realizate de IP UCIMP RSS, deservirea tehnica a vehiculelor IP UCIMP RSS.  
Adițional, au fost suportate cheltuieli nebugetate în legătură cu deservirea angajamentelor din faza I a grantului consolidat (01.04.2010-31.12.2012), în special pentru implementarea softului pentru ținerea evidenței beneficiarilor programelor de reducere a riscurilor în rândul LSC si BSB, acoperirea cheltuielilor de depozitare a prezervativelor, achiziționarea de teste rapide la saliva.
   </v>
      </c>
      <c r="E12" s="872"/>
      <c r="F12" s="872"/>
      <c r="G12" s="873"/>
      <c r="H12" s="183"/>
      <c r="I12" s="863" t="s">
        <v>509</v>
      </c>
      <c r="J12" s="864"/>
      <c r="K12" s="864"/>
      <c r="L12" s="864"/>
      <c r="M12" s="864"/>
      <c r="N12" s="865"/>
    </row>
    <row r="13" spans="1:15" s="34" customFormat="1" ht="26.25" customHeight="1">
      <c r="A13" s="157"/>
      <c r="B13" s="425" t="s">
        <v>89</v>
      </c>
      <c r="C13" s="178"/>
      <c r="D13" s="872" t="str">
        <f>IF(ISBLANK(Financiar!I9),"",(Financiar!I9))</f>
        <v xml:space="preserve">conform cererii de debursare din partea RP </v>
      </c>
      <c r="E13" s="872"/>
      <c r="F13" s="872"/>
      <c r="G13" s="873"/>
      <c r="H13" s="183"/>
      <c r="I13" s="863" t="s">
        <v>509</v>
      </c>
      <c r="J13" s="864"/>
      <c r="K13" s="864"/>
      <c r="L13" s="864"/>
      <c r="M13" s="864"/>
      <c r="N13" s="865"/>
    </row>
    <row r="14" spans="1:15" s="34" customFormat="1" ht="45" customHeight="1" thickBot="1">
      <c r="A14" s="157"/>
      <c r="B14" s="426" t="s">
        <v>90</v>
      </c>
      <c r="C14" s="179"/>
      <c r="D14" s="870" t="str">
        <f>IF(ISBLANK(Financiar!I23),"",(Financiar!I23))</f>
        <v>Raportul de Progres final a fost remis Agentului Local al FG si către Secretariatul Fondului Global, in vederea accesarii următoarei debursari de surse.</v>
      </c>
      <c r="E14" s="870"/>
      <c r="F14" s="870"/>
      <c r="G14" s="871"/>
      <c r="H14" s="183"/>
      <c r="I14" s="866" t="s">
        <v>509</v>
      </c>
      <c r="J14" s="867"/>
      <c r="K14" s="867"/>
      <c r="L14" s="867"/>
      <c r="M14" s="867"/>
      <c r="N14" s="868"/>
    </row>
    <row r="15" spans="1:15" s="34" customFormat="1" ht="4.5" customHeight="1">
      <c r="A15" s="157"/>
      <c r="B15" s="180"/>
      <c r="C15" s="181"/>
      <c r="D15" s="182"/>
      <c r="E15" s="182"/>
      <c r="F15" s="182"/>
      <c r="G15" s="182"/>
      <c r="H15" s="183"/>
      <c r="I15" s="184"/>
      <c r="J15" s="184"/>
      <c r="K15" s="184"/>
      <c r="L15" s="184"/>
      <c r="M15" s="184"/>
      <c r="N15" s="184"/>
      <c r="O15" s="75"/>
    </row>
    <row r="16" spans="1:15" s="33" customFormat="1" ht="21" customHeight="1" thickBot="1">
      <c r="A16" s="153"/>
      <c r="B16" s="848" t="s">
        <v>86</v>
      </c>
      <c r="C16" s="848"/>
      <c r="D16" s="848"/>
      <c r="E16" s="848"/>
      <c r="F16" s="848"/>
      <c r="G16" s="848"/>
      <c r="H16" s="848"/>
      <c r="I16" s="848"/>
      <c r="J16" s="848"/>
      <c r="K16" s="848"/>
      <c r="L16" s="848"/>
      <c r="M16" s="848"/>
      <c r="N16" s="848"/>
    </row>
    <row r="17" spans="1:15" s="34" customFormat="1" ht="3.75" customHeight="1" thickBot="1">
      <c r="A17" s="157"/>
      <c r="B17" s="166"/>
      <c r="C17" s="167"/>
      <c r="D17" s="168"/>
      <c r="E17" s="169"/>
      <c r="F17" s="170"/>
      <c r="G17" s="170"/>
      <c r="H17" s="171"/>
      <c r="I17" s="172"/>
      <c r="J17" s="173"/>
      <c r="K17" s="162"/>
      <c r="L17" s="163"/>
      <c r="M17" s="164"/>
      <c r="N17" s="165"/>
    </row>
    <row r="18" spans="1:15" s="34" customFormat="1" ht="22.5" customHeight="1" thickBot="1">
      <c r="A18" s="157"/>
      <c r="B18" s="861" t="s">
        <v>80</v>
      </c>
      <c r="C18" s="862"/>
      <c r="D18" s="881" t="s">
        <v>83</v>
      </c>
      <c r="E18" s="882"/>
      <c r="F18" s="882"/>
      <c r="G18" s="883"/>
      <c r="H18" s="160"/>
      <c r="I18" s="878" t="s">
        <v>283</v>
      </c>
      <c r="J18" s="879"/>
      <c r="K18" s="879"/>
      <c r="L18" s="879"/>
      <c r="M18" s="880"/>
      <c r="N18" s="880"/>
    </row>
    <row r="19" spans="1:15" s="34" customFormat="1" ht="21.95" customHeight="1">
      <c r="A19" s="157"/>
      <c r="B19" s="427" t="s">
        <v>95</v>
      </c>
      <c r="C19" s="185"/>
      <c r="D19" s="892" t="str">
        <f>IF(ISBLANK(Management!C8),"",(Management!C8))</f>
        <v>Nu sunt condiții precedente neîndeplinite de către RP</v>
      </c>
      <c r="E19" s="892"/>
      <c r="F19" s="892"/>
      <c r="G19" s="893"/>
      <c r="H19" s="186"/>
      <c r="I19" s="852"/>
      <c r="J19" s="853"/>
      <c r="K19" s="853"/>
      <c r="L19" s="853"/>
      <c r="M19" s="853"/>
      <c r="N19" s="854"/>
    </row>
    <row r="20" spans="1:15" ht="24.75" customHeight="1">
      <c r="A20" s="151"/>
      <c r="B20" s="428" t="s">
        <v>96</v>
      </c>
      <c r="C20" s="187"/>
      <c r="D20" s="872" t="str">
        <f>IF(ISBLANK(Management!I8),"",(Management!I8))</f>
        <v/>
      </c>
      <c r="E20" s="872" t="e">
        <f>+'Introducerea datelor'!D73/'Introducerea datelor'!G73</f>
        <v>#DIV/0!</v>
      </c>
      <c r="F20" s="872" t="e">
        <f>+('Introducerea datelor'!E73+'Introducerea datelor'!F73)/'Introducerea datelor'!G73</f>
        <v>#DIV/0!</v>
      </c>
      <c r="G20" s="874"/>
      <c r="H20" s="186"/>
      <c r="I20" s="858"/>
      <c r="J20" s="859"/>
      <c r="K20" s="859"/>
      <c r="L20" s="859"/>
      <c r="M20" s="859"/>
      <c r="N20" s="860"/>
      <c r="O20" s="35"/>
    </row>
    <row r="21" spans="1:15" ht="29.25" customHeight="1">
      <c r="A21" s="151"/>
      <c r="B21" s="429" t="s">
        <v>97</v>
      </c>
      <c r="C21" s="187"/>
      <c r="D21" s="872" t="str">
        <f>IF(ISBLANK(Management!C16),"",(Management!C16))</f>
        <v>Nu sunt probleme în aranjamentele contractuale cu SR</v>
      </c>
      <c r="E21" s="872"/>
      <c r="F21" s="872"/>
      <c r="G21" s="874"/>
      <c r="H21" s="186"/>
      <c r="I21" s="858"/>
      <c r="J21" s="859"/>
      <c r="K21" s="859"/>
      <c r="L21" s="859"/>
      <c r="M21" s="859"/>
      <c r="N21" s="860"/>
      <c r="O21" s="35"/>
    </row>
    <row r="22" spans="1:15" ht="26.25" customHeight="1">
      <c r="A22" s="151"/>
      <c r="B22" s="429" t="s">
        <v>98</v>
      </c>
      <c r="C22" s="187"/>
      <c r="D22" s="872" t="str">
        <f>IF(ISBLANK(Management!I16),"",(Management!I16))</f>
        <v>SR au remis rapoartele trimestriale în timp util conform acordurilor de sub-recipient.</v>
      </c>
      <c r="E22" s="872"/>
      <c r="F22" s="872"/>
      <c r="G22" s="874"/>
      <c r="H22" s="186"/>
      <c r="I22" s="858"/>
      <c r="J22" s="859"/>
      <c r="K22" s="859"/>
      <c r="L22" s="859"/>
      <c r="M22" s="859"/>
      <c r="N22" s="860"/>
      <c r="O22" s="35"/>
    </row>
    <row r="23" spans="1:15" ht="53.25" customHeight="1">
      <c r="A23" s="151"/>
      <c r="B23" s="429" t="s">
        <v>99</v>
      </c>
      <c r="C23" s="187"/>
      <c r="D23" s="872" t="str">
        <f>IF(ISBLANK(Management!C27),"",(Management!C27))</f>
        <v>Pentru toate produsele medicale si medicamente sunt incheiate contracte si vor fi livrate catre beneficiar conform schemelor de distirbutie planificate de catre beneficiar. La moment se afla in proces de negociere achizitia de preparate ARV pentru acoperirea necesitatilor estimate pt. a. 2015.</v>
      </c>
      <c r="E23" s="872"/>
      <c r="F23" s="872"/>
      <c r="G23" s="874"/>
      <c r="H23" s="186"/>
      <c r="I23" s="858"/>
      <c r="J23" s="859"/>
      <c r="K23" s="859"/>
      <c r="L23" s="859"/>
      <c r="M23" s="859"/>
      <c r="N23" s="860"/>
      <c r="O23" s="35"/>
    </row>
    <row r="24" spans="1:15" ht="54.75" customHeight="1" thickBot="1">
      <c r="A24" s="151"/>
      <c r="B24" s="430" t="s">
        <v>101</v>
      </c>
      <c r="C24" s="188"/>
      <c r="D24" s="895" t="str">
        <f>IF(ISBLANK(Management!I27),"",(Management!I27))</f>
        <v>Nu au fost inregistrate lipsuri de medicamente ARV sau intreruperi de tratament. De mentionat ca incepind cu anul 2013 (necesitatile pentru a. 2014), achizitionarea de preparate ARV, inclusiv acoperirea necesitatilor privind tratamentului PMTCT, se efectueaza din 2 surse: grantul FG si surse bugetare.</v>
      </c>
      <c r="E24" s="895"/>
      <c r="F24" s="895"/>
      <c r="G24" s="896"/>
      <c r="H24" s="186"/>
      <c r="I24" s="855"/>
      <c r="J24" s="856"/>
      <c r="K24" s="856"/>
      <c r="L24" s="856"/>
      <c r="M24" s="856"/>
      <c r="N24" s="857"/>
      <c r="O24" s="35"/>
    </row>
    <row r="25" spans="1:15" ht="4.5" customHeight="1">
      <c r="A25" s="153"/>
      <c r="B25" s="158"/>
      <c r="C25" s="159"/>
      <c r="D25" s="174"/>
      <c r="E25" s="175"/>
      <c r="F25" s="176"/>
      <c r="G25" s="176"/>
      <c r="H25" s="160"/>
      <c r="I25" s="175"/>
      <c r="J25" s="161"/>
      <c r="K25" s="162"/>
      <c r="L25" s="163"/>
      <c r="M25" s="164"/>
      <c r="N25" s="165"/>
      <c r="O25" s="35"/>
    </row>
    <row r="26" spans="1:15" s="33" customFormat="1" ht="21" customHeight="1" thickBot="1">
      <c r="A26" s="153"/>
      <c r="B26" s="848" t="s">
        <v>85</v>
      </c>
      <c r="C26" s="848"/>
      <c r="D26" s="848"/>
      <c r="E26" s="848"/>
      <c r="F26" s="848"/>
      <c r="G26" s="848"/>
      <c r="H26" s="848"/>
      <c r="I26" s="848"/>
      <c r="J26" s="848"/>
      <c r="K26" s="848"/>
      <c r="L26" s="848"/>
      <c r="M26" s="848"/>
      <c r="N26" s="848"/>
    </row>
    <row r="27" spans="1:15" ht="3.75" customHeight="1" thickBot="1">
      <c r="A27" s="153"/>
      <c r="B27" s="158"/>
      <c r="C27" s="159"/>
      <c r="D27" s="174"/>
      <c r="E27" s="175"/>
      <c r="F27" s="176"/>
      <c r="G27" s="176"/>
      <c r="H27" s="160"/>
      <c r="I27" s="175"/>
      <c r="J27" s="161"/>
      <c r="K27" s="162"/>
      <c r="L27" s="163"/>
      <c r="M27" s="164"/>
      <c r="N27" s="165"/>
      <c r="O27" s="35"/>
    </row>
    <row r="28" spans="1:15" ht="21.75" customHeight="1" thickBot="1">
      <c r="A28" s="151"/>
      <c r="B28" s="869" t="s">
        <v>2</v>
      </c>
      <c r="C28" s="862"/>
      <c r="D28" s="900" t="s">
        <v>83</v>
      </c>
      <c r="E28" s="901"/>
      <c r="F28" s="901"/>
      <c r="G28" s="902"/>
      <c r="H28" s="160"/>
      <c r="I28" s="900" t="s">
        <v>283</v>
      </c>
      <c r="J28" s="901"/>
      <c r="K28" s="901"/>
      <c r="L28" s="901"/>
      <c r="M28" s="901"/>
      <c r="N28" s="902"/>
      <c r="O28" s="35"/>
    </row>
    <row r="29" spans="1:15" ht="74.25" customHeight="1">
      <c r="A29" s="151"/>
      <c r="B29" s="431" t="s">
        <v>284</v>
      </c>
      <c r="C29" s="189"/>
      <c r="D29" s="903" t="str">
        <f>IF(ISBLANK(Programatic!C9),"",(Programatic!C9))</f>
        <v xml:space="preserve">Indicatorul se raporteaza anual.  Rezultatul raportat este pentru a. 2013. 145 din cele 153 femei HIV+ care au nascut in perioada de raportare au primit tratament profilactic ARV, inclusiv: 135 au primit tratament profilactic complet, 8 - tratament profilactic incomplet (mai putin de 4 saptamini), 2 - au primit de tratament profilactic la nastere, iar 8 - nu au primit tratament. Copiii nascuti din mame HIV+ au beneficiat de tratament profilactic in primele 7 zile de viata.
</v>
      </c>
      <c r="E29" s="904"/>
      <c r="F29" s="904"/>
      <c r="G29" s="905"/>
      <c r="H29" s="186"/>
      <c r="I29" s="897"/>
      <c r="J29" s="898"/>
      <c r="K29" s="898"/>
      <c r="L29" s="898"/>
      <c r="M29" s="898"/>
      <c r="N29" s="899"/>
      <c r="O29" s="35"/>
    </row>
    <row r="30" spans="1:15" ht="57.75" customHeight="1">
      <c r="A30" s="151"/>
      <c r="B30" s="432" t="s">
        <v>285</v>
      </c>
      <c r="C30" s="190"/>
      <c r="D30" s="894" t="str">
        <f>IF(ISBLANK(Programatic!G9),"",(Programatic!G9))</f>
        <v>Indicatorul se raporteaza anual.  Rezultatul raportat este pentru a. 2013.</v>
      </c>
      <c r="E30" s="890"/>
      <c r="F30" s="890"/>
      <c r="G30" s="891"/>
      <c r="H30" s="186"/>
      <c r="I30" s="845"/>
      <c r="J30" s="846"/>
      <c r="K30" s="846"/>
      <c r="L30" s="846"/>
      <c r="M30" s="846"/>
      <c r="N30" s="847"/>
      <c r="O30" s="35"/>
    </row>
    <row r="31" spans="1:15" ht="72" customHeight="1">
      <c r="A31" s="151"/>
      <c r="B31" s="432" t="s">
        <v>286</v>
      </c>
      <c r="C31" s="190"/>
      <c r="D31" s="894" t="str">
        <f>IF(ISBLANK(Programatic!M9),"",(Programatic!M9))</f>
        <v>Catre finele semestrului I 2014 numarul cumulativ al persoanelor care au initiat tratament ARV de la inceputul programului a fost de 3,675. Numarul pacienților în tratament ARV la 30 iunie 2014 a fost de 2,740, inclusiv 1,854 - pe malul drept (1.791 adulti si 63 copii, dintre care 959 - barbati si 895 - femei) și 886 - pe malul stîng (861 adulti si 25 copii, din care 438 barbati si 448 - femei).</v>
      </c>
      <c r="E31" s="890"/>
      <c r="F31" s="890"/>
      <c r="G31" s="891"/>
      <c r="H31" s="186"/>
      <c r="I31" s="845"/>
      <c r="J31" s="846"/>
      <c r="K31" s="846"/>
      <c r="L31" s="846"/>
      <c r="M31" s="846"/>
      <c r="N31" s="847"/>
      <c r="O31" s="35"/>
    </row>
    <row r="32" spans="1:15" ht="81" customHeight="1">
      <c r="A32" s="151"/>
      <c r="B32" s="433" t="s">
        <v>91</v>
      </c>
      <c r="C32" s="190"/>
      <c r="D32" s="889" t="str">
        <f>IF(ISBLANK(Programatic!L21),"",(Programatic!L21))</f>
        <v>Indicatorul se raporteaza anual.  Rezultatul raportat este pentru a. 2013. 145 din cele 153 femei HIV+ care au nascut in perioada de raportare au primit tratament profilactic ARV, inclusiv: 135 au primit tratament profilactic complet, 8 - tratament profilactic incomplet (mai putin de 4 saptamini), 2 - au primit de tratament profilactic la nastere, iar 8 - nu au primit tratament. Copiii nascuti din mame HIV+ au beneficiat de tratament profilactic in primele 7 zile de viata.</v>
      </c>
      <c r="E32" s="890"/>
      <c r="F32" s="890"/>
      <c r="G32" s="891"/>
      <c r="H32" s="186"/>
      <c r="I32" s="845"/>
      <c r="J32" s="846"/>
      <c r="K32" s="846"/>
      <c r="L32" s="846"/>
      <c r="M32" s="846"/>
      <c r="N32" s="847"/>
      <c r="O32" s="35"/>
    </row>
    <row r="33" spans="1:15" ht="59.25" customHeight="1">
      <c r="A33" s="151"/>
      <c r="B33" s="433" t="s">
        <v>92</v>
      </c>
      <c r="C33" s="190"/>
      <c r="D33" s="889" t="str">
        <f>IF(ISBLANK(Programatic!L22),"",(Programatic!L22))</f>
        <v>Indicatorul se raporteaza anual.  Rezultatul raportat este pentru a. 2013. (483 din 595 pacienti HIV+ care au initiat TARV pe parcursul a. 2012 erau in viata si in tratament ARV 12 luni dupa initiere).</v>
      </c>
      <c r="E33" s="890"/>
      <c r="F33" s="890"/>
      <c r="G33" s="891"/>
      <c r="H33" s="186"/>
      <c r="I33" s="845"/>
      <c r="J33" s="846"/>
      <c r="K33" s="846"/>
      <c r="L33" s="846"/>
      <c r="M33" s="846"/>
      <c r="N33" s="847"/>
      <c r="O33" s="35"/>
    </row>
    <row r="34" spans="1:15" ht="171" hidden="1" customHeight="1">
      <c r="A34" s="151"/>
      <c r="B34" s="433" t="s">
        <v>93</v>
      </c>
      <c r="C34" s="190"/>
      <c r="D34" s="889" t="str">
        <f>IF(ISBLANK(Programatic!L23),"",(Programatic!L23))</f>
        <v>During 2012 the number of pregnant women that benefited from VCT services and who know their results amounted at 26,787 from 44987 cases. This represents 59.5% of the women who have undertaken an HIV test. during pregnancy, at least once (26.787/44,987). Activities under this indicator are partially supported by the current GF Grant.
// Numărul femeilor gravide care au beneficiat de servicii CTV pe parcursul 2012  și care-și cunoșteau rezultatul a constituit 26,787 din 44987 cazuri. Aceasta reprezintă 59.5% din femeile care s-au testat la HIV pe parcursul sarcinii (cel puțin o dată). Activitățile ce țin de acest indicator sunt parțial acoperite din sursele grantului FG.</v>
      </c>
      <c r="E34" s="890"/>
      <c r="F34" s="890"/>
      <c r="G34" s="891"/>
      <c r="H34" s="186"/>
      <c r="I34" s="845"/>
      <c r="J34" s="846"/>
      <c r="K34" s="846"/>
      <c r="L34" s="846"/>
      <c r="M34" s="846"/>
      <c r="N34" s="847"/>
      <c r="O34" s="35"/>
    </row>
    <row r="35" spans="1:15" ht="264" customHeight="1">
      <c r="A35" s="151"/>
      <c r="B35" s="433" t="s">
        <v>94</v>
      </c>
      <c r="C35" s="233"/>
      <c r="D35" s="889" t="str">
        <f>IF(ISBLANK(Programatic!L24),"",(Programatic!L24))</f>
        <v>Rezultatul (7,740) include 922 beneficiari noi incluși în programe de asistență pe parcursul semestrului raportat. În total se implementează 7 proiecte (inclusiv unl în Tiraspol) care acoperă atît civilii (5 proiecte) cît și sectorul penitenciar (2 proiecte), în cadrul cărora se implementează activități de prevenire (educație de la egal la egal, schimb de seringi, distribuire de prezervative, activități educative, distribuire de materiale informaționale, servicii de consiliere etc.) 
Proiectele din sectorul civil (5 la numar) sunt regionale, acoperind de la 2 la 6 raioane. Sectorul penitenciar acoperă 12 instituții penitenciare de pe malul drept (Pruncul, Rusca, Cricova - 2 penitenciare, Branesti, Soroca, Leova, Balti, Taraclia, Chisinau, Rezina si, incepind cu luna mai - penitenciarul nr. 12 din Bender) si 3 penitenciare de pe malul sting (Grigoriopol, s. Glinoe si Tiraspol). 
Indicatorul nu include beneficiarii din sectorul penitenciar din motivul dificultatilor intimpinate in legatura cu inregistrarea si tinerea evidentei  beneficiarilor conditionate de pastrarea confidentialitatii beneficiarilor de servicii.
N.B. În urma ajustării numitorului în baza experienței a. 2013 (proportional ponderii acoperirii absolute in semestrul I 2013 in totalul acoperirii absolute anuale raportate pentru a. 2013), și luînd în calcul noile estimări ale populației UDI în baza studiului bio-comportamental din 2012-2013 (30,000), obținem o rată de acoperire cu servicii în valoare de 29.9% și, respectiv un procent de atingere a țintei de 92.3% (detalii sunt prezentate in nota informativa anexata la dashboard).</v>
      </c>
      <c r="E35" s="890"/>
      <c r="F35" s="890"/>
      <c r="G35" s="891"/>
      <c r="H35" s="186"/>
      <c r="I35" s="845"/>
      <c r="J35" s="846"/>
      <c r="K35" s="846"/>
      <c r="L35" s="846"/>
      <c r="M35" s="846"/>
      <c r="N35" s="847"/>
      <c r="O35" s="35"/>
    </row>
    <row r="36" spans="1:15" ht="192" customHeight="1">
      <c r="A36" s="151"/>
      <c r="B36" s="433" t="s">
        <v>102</v>
      </c>
      <c r="C36" s="233"/>
      <c r="D36" s="889" t="str">
        <f>IF(ISBLANK(Programatic!L25),"",(Programatic!L25))</f>
        <v>Rezultatul (2,315) include 288 beneficiari noi incluși în programe de asistență pe parcursul semestrului raportat. În total se implementează 3 proiecte, unul în Chișinău, unul în Orhei și unul - în regiunea de nord acoperind regiunile Bălți și Ungheni. Incepind cu 2014 servicii de de reducere a riscurilor au fost extinse si in localitatea Bender.  Serviciile acordate în cadrul acestor proiecte includ educație de la egal la egal, distribuire de prezervative, activități educative și distribuire de materiale informaționale, servicii de consiliere, managementul BTS etc. 
N.B. În urma ajustării numitorului în baza experienței a. 2013 (proportional ponderii acoperirii absolute in semestrul I 2013 in totalul acoperirii absolute anuale raportate pentru a. 2013) și, luînd în calcul noile estimări ale populației LSC în baza studiului bio-comportamental din 2012-2013 (12,000), obținem o rată de acoperire cu servicii în valoare de 21.6% și, respectiv un procent de atingere a țintei de 92.9% (detalii sunt prezentate in nota informativa anexata la dashboard).</v>
      </c>
      <c r="E36" s="890"/>
      <c r="F36" s="890"/>
      <c r="G36" s="891"/>
      <c r="H36" s="186"/>
      <c r="I36" s="845"/>
      <c r="J36" s="846"/>
      <c r="K36" s="846"/>
      <c r="L36" s="846"/>
      <c r="M36" s="846"/>
      <c r="N36" s="847"/>
      <c r="O36" s="35"/>
    </row>
    <row r="37" spans="1:15" ht="152.25" customHeight="1">
      <c r="A37" s="151"/>
      <c r="B37" s="433" t="s">
        <v>103</v>
      </c>
      <c r="C37" s="233"/>
      <c r="D37" s="889" t="str">
        <f>IF(ISBLANK(Programatic!L26),"",(Programatic!L26))</f>
        <v>Rezultatul (1.073) include 416 beneficiari noi incluși în programe de asistență pe parcursul semestrului I 2014. Serviciile (educație de la egal la egal, distribuire de prezervative, activități educative și distribuire de materiale informaționale, servicii de consiliere, managementul BTS etc.) sunt prestate prin intermediul unui proiect  localizat în Chișinău, acoperind beneficiari Chisinau, Balti siTiraspol.
N.B. Aplicînd aceleași principii de ajustare a numitorului corespunzător ponderii acoperirii absolute raportate pentru semestrul I 2013 în totalul acoperirii absolute raportate pentru a. 2013, și luînd în calcul noile estimări ale populației BSB (13500), obținem o rată de acoperire de 14.8% și, respectiv un porcent de realizare a țintei în valoare de 112.2% (detalii sunt prezentate in nota informativa anexata la dashboard).</v>
      </c>
      <c r="E37" s="890"/>
      <c r="F37" s="890"/>
      <c r="G37" s="891"/>
      <c r="H37" s="186"/>
      <c r="I37" s="886"/>
      <c r="J37" s="887"/>
      <c r="K37" s="887"/>
      <c r="L37" s="887"/>
      <c r="M37" s="887"/>
      <c r="N37" s="888"/>
      <c r="O37" s="35"/>
    </row>
    <row r="38" spans="1:15" ht="112.5" customHeight="1">
      <c r="A38" s="151"/>
      <c r="B38" s="433" t="s">
        <v>104</v>
      </c>
      <c r="C38" s="233"/>
      <c r="D38" s="889" t="str">
        <f>IF(ISBLANK(Programatic!L27),"",(Programatic!L27))</f>
        <v xml:space="preserve">Terapia de substituție cu metadona se implementează prin intermediul a 3 proiecte (toate pe malul drept): 2 în sectorul civil (Dispensarul Narcologic Republican în Chișinău și Spitalul Municipal Bălți) și 1 - în sectorul penitenciar (Departamentul Instituțiilor Penitenciare în 7 instituții penitenciare: Pruncul, Cricova Rusca, Branesti, Soroca, Balti and Chisinau). 68 beneficiari noi au fost incluși în program pe parcursul semestrului raportat. Numărul beneficiarilor permanenți ai TSM la 30 iunie 2014 a fost de 337, inclusiv 62 beneficiari din sectorul penitenciar, 203 - în Dispensarul Narcologic Republican și 72 - în Spitalul Municipal Bălți. </v>
      </c>
      <c r="E38" s="890"/>
      <c r="F38" s="890"/>
      <c r="G38" s="891"/>
      <c r="H38" s="186"/>
      <c r="I38" s="886"/>
      <c r="J38" s="887"/>
      <c r="K38" s="887"/>
      <c r="L38" s="887"/>
      <c r="M38" s="887"/>
      <c r="N38" s="888"/>
      <c r="O38" s="35"/>
    </row>
    <row r="39" spans="1:15" ht="72.75" customHeight="1">
      <c r="A39" s="151"/>
      <c r="B39" s="433" t="s">
        <v>105</v>
      </c>
      <c r="C39" s="233"/>
      <c r="D39" s="889" t="str">
        <f>IF(ISBLANK(Programatic!L28),"",(Programatic!L28))</f>
        <v>Catre finele semestrului I 2014 numarul cumulativ al persoanelor care au initiat tratament ARV de la inceputul programului a fost de 3,675. Numarul pacienților în tratament ARV la 30 iunie 2014 a fost de 2,740: 1,854 - pe malul drept (1.791 adulti si 63 copii, dintre care 959 - barbati si 895 - femei) și 886 - pe malul stîng (861 adulti si 25 copii, din care 438 barbati si 448 - femei).</v>
      </c>
      <c r="E39" s="890"/>
      <c r="F39" s="890"/>
      <c r="G39" s="891"/>
      <c r="H39" s="186"/>
      <c r="I39" s="845"/>
      <c r="J39" s="846"/>
      <c r="K39" s="846"/>
      <c r="L39" s="846"/>
      <c r="M39" s="846"/>
      <c r="N39" s="847"/>
      <c r="O39" s="35"/>
    </row>
    <row r="40" spans="1:15" ht="150.75" hidden="1" customHeight="1">
      <c r="A40" s="151"/>
      <c r="B40" s="433" t="s">
        <v>106</v>
      </c>
      <c r="C40" s="233"/>
      <c r="D40" s="889" t="str">
        <f>IF(ISBLANK(Programatic!L29),"",(Programatic!L29))</f>
        <v>50.2% of PLWHA have been screened for tuberculosis during year 2012. In absolute figures this represents 2,409 PLWHA (1,725 from the right bank and 684 from the left bank) from the total of 4,800 PLWHA (3,278 on the right bank and 1,522 on the left bank) on evidence at the end of year 2012.
//50.2% din PTHS au fost testați la TB pe parcursul anului 2012. În cifre absolute aceasta constituie 2,409 PTHS (1,725 pe malul drept și 684 pe malul stîng) din totalul de 4,800 PTHS (3,278 de pe malul drept și 1,522 de pe malul stîng) aflați la evidență la finele anului 2012.</v>
      </c>
      <c r="E40" s="890"/>
      <c r="F40" s="890"/>
      <c r="G40" s="891"/>
      <c r="H40" s="186"/>
      <c r="I40" s="845"/>
      <c r="J40" s="846"/>
      <c r="K40" s="846"/>
      <c r="L40" s="846"/>
      <c r="M40" s="846"/>
      <c r="N40" s="847"/>
      <c r="O40" s="35"/>
    </row>
    <row r="41" spans="1:15" ht="409.5" hidden="1" customHeight="1" thickBot="1">
      <c r="A41" s="151"/>
      <c r="B41" s="433" t="s">
        <v>107</v>
      </c>
      <c r="C41" s="191"/>
      <c r="D41" s="889" t="str">
        <f>IF(ISBLANK(Programatic!L30),"",(Programatic!L30))</f>
        <v xml:space="preserve">During the reported period 18 medical staff have been trained on SYMETA use.      
From the beginning of grant implementation a total of 2,307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- 747 medical staff (dermatovenerealogist and infectionists from 
medical institutions, specialists from Centers of Preventive Medicine
etc.) trained in computer use and SYME HIV/STI use.
// Pe parcursul perioadei raportate au fost instruite 18 persoane jn utilizarea SYMETA.
De la demararea grantului un total de 2,307 PSM au fost instruiți, inclusiv:
-101 manageri din dom. sanitar instruiți în prevenirea transmiterii infecției HIV de la mamă la făt,
-80 PSM instruiți în CTV,
-83 lucrători medicali din centrele prietenoase tinerilor instruiți în CTV pentru consiliere HIV în rîndul tinerilor,
-92 infecționiști din spitalele raionale instruiți în testare și supraveghere de generația a doua, 
-1,204 cadre medicale și reprezentanți ai mass-media insrtuiți/informați referitor la toleranța față de PTHS,
-747 cadre medicale instruite în utilizarea SIME HIV/BTS. 
</v>
      </c>
      <c r="E41" s="890"/>
      <c r="F41" s="890"/>
      <c r="G41" s="891"/>
      <c r="H41" s="186"/>
      <c r="I41" s="906"/>
      <c r="J41" s="907"/>
      <c r="K41" s="907"/>
      <c r="L41" s="907"/>
      <c r="M41" s="907"/>
      <c r="N41" s="908"/>
      <c r="O41" s="35"/>
    </row>
    <row r="42" spans="1:15" ht="14.25">
      <c r="A42" s="151"/>
      <c r="B42" s="192"/>
      <c r="C42" s="192"/>
      <c r="D42" s="193"/>
      <c r="E42" s="151"/>
      <c r="F42" s="192"/>
      <c r="G42" s="192"/>
      <c r="H42" s="151"/>
      <c r="I42" s="194"/>
      <c r="J42" s="151"/>
      <c r="K42" s="195"/>
      <c r="L42" s="195"/>
      <c r="M42" s="195"/>
      <c r="N42" s="195"/>
      <c r="O42" s="35"/>
    </row>
  </sheetData>
  <mergeCells count="65">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B26:N26"/>
    <mergeCell ref="D23:G23"/>
    <mergeCell ref="D12:G12"/>
    <mergeCell ref="I12:N12"/>
    <mergeCell ref="I22:N22"/>
    <mergeCell ref="B2:N2"/>
    <mergeCell ref="E5:K5"/>
    <mergeCell ref="E6:K6"/>
    <mergeCell ref="E3:K3"/>
    <mergeCell ref="C4:D4"/>
    <mergeCell ref="E4:K4"/>
    <mergeCell ref="C3:D3"/>
    <mergeCell ref="I11:N11"/>
    <mergeCell ref="I18:N18"/>
    <mergeCell ref="D18:G18"/>
    <mergeCell ref="D20:G20"/>
    <mergeCell ref="I21:N21"/>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s>
  <phoneticPr fontId="30" type="noConversion"/>
  <conditionalFormatting sqref="C4:D4">
    <cfRule type="cellIs" dxfId="11" priority="1" stopIfTrue="1" operator="equal">
      <formula>"C"</formula>
    </cfRule>
    <cfRule type="cellIs" dxfId="10" priority="2" stopIfTrue="1" operator="equal">
      <formula>"B2"</formula>
    </cfRule>
    <cfRule type="cellIs" dxfId="9" priority="3" stopIfTrue="1" operator="equal">
      <formula>"B1"</formula>
    </cfRule>
  </conditionalFormatting>
  <pageMargins left="0.25" right="0.25" top="0.75" bottom="0.75" header="0.3" footer="0.3"/>
  <pageSetup paperSize="9" scale="54" orientation="portrait"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abSelected="1" topLeftCell="A7" zoomScale="110" zoomScaleNormal="110" zoomScaleSheetLayoutView="100" workbookViewId="0">
      <selection activeCell="B14" sqref="B14:E15"/>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797" t="str">
        <f>+"Dashboard:  "&amp;"  "&amp;IF(+'Introducerea datelor'!C4="Please Select","",'Introducerea datelor'!C4&amp;" - ")&amp;IF('Introducerea datelor'!G6="Please Select","",'Introducerea datelor'!G6)</f>
        <v>Dashboard:    Moldova - HIV / AIDS</v>
      </c>
      <c r="C2" s="797"/>
      <c r="D2" s="797"/>
      <c r="E2" s="797"/>
      <c r="F2" s="797"/>
      <c r="G2" s="797"/>
      <c r="H2" s="797"/>
      <c r="I2" s="797"/>
      <c r="J2" s="797"/>
      <c r="K2" s="797"/>
      <c r="L2" s="797"/>
    </row>
    <row r="3" spans="1:13">
      <c r="B3" s="24" t="str">
        <f>+IF('Introducerea datelor'!G8="Please Select","",'Introducerea datelor'!G8)</f>
        <v/>
      </c>
      <c r="C3" s="795" t="str">
        <f>+IF('Introducerea datelor'!I8="Please Select","",'Introducerea datelor'!I8)</f>
        <v>Faza 2</v>
      </c>
      <c r="D3" s="795"/>
      <c r="E3" s="796"/>
      <c r="F3" s="796"/>
      <c r="G3" s="796"/>
      <c r="H3" s="796"/>
      <c r="I3" s="796"/>
      <c r="J3" s="799" t="str">
        <f>+'Introducerea datelor'!B16</f>
        <v>Perioada de Raportare:</v>
      </c>
      <c r="K3" s="799"/>
      <c r="L3" s="199" t="str">
        <f>+'Introducerea datelor'!C16</f>
        <v>P9</v>
      </c>
      <c r="M3" s="85"/>
    </row>
    <row r="4" spans="1:13">
      <c r="B4" s="24" t="str">
        <f>+'Introducerea datelor'!B12</f>
        <v>Ultimul Rating:</v>
      </c>
      <c r="C4" s="962" t="str">
        <f>+IF('Introducerea datelor'!C12="Please Select","",'Introducerea datelor'!C12)</f>
        <v>A2</v>
      </c>
      <c r="D4" s="962"/>
      <c r="E4" s="796" t="str">
        <f>+'Introducerea datelor'!C8</f>
        <v>PI "CIMU HSRP"</v>
      </c>
      <c r="F4" s="796"/>
      <c r="G4" s="796"/>
      <c r="H4" s="796"/>
      <c r="I4" s="796"/>
      <c r="J4" s="799" t="str">
        <f>+'Introducerea datelor'!D16</f>
        <v>De la:</v>
      </c>
      <c r="K4" s="803"/>
      <c r="L4" s="200">
        <f>+IF(ISBLANK('Introducerea datelor'!E16),"",'Introducerea datelor'!E16)</f>
        <v>41640</v>
      </c>
    </row>
    <row r="5" spans="1:13" ht="18.75" customHeight="1">
      <c r="B5" s="24"/>
      <c r="C5" s="24"/>
      <c r="D5" s="796" t="str">
        <f>+'Introducerea datelor'!G4</f>
        <v>Scaling up Access to Prevention, Treatment and Care under the National Program for Prevention and Control of HIV/AIDS/STIs 2006-2010 and reducing morbidity, mortality and HIV-related impact on people living with HIV/AIDS, 2010-2014</v>
      </c>
      <c r="E5" s="796"/>
      <c r="F5" s="796"/>
      <c r="G5" s="796"/>
      <c r="H5" s="796"/>
      <c r="I5" s="796"/>
      <c r="J5" s="796"/>
      <c r="K5" s="24" t="str">
        <f>+'Introducerea datelor'!F16</f>
        <v>Pînă la:</v>
      </c>
      <c r="L5" s="200">
        <f>+IF(ISBLANK('Introducerea datelor'!G16),"",'Introducerea datelor'!G16)</f>
        <v>41820</v>
      </c>
    </row>
    <row r="6" spans="1:13" ht="18.75">
      <c r="B6" s="23"/>
      <c r="C6" s="24"/>
      <c r="D6" s="25"/>
      <c r="E6" s="798" t="s">
        <v>320</v>
      </c>
      <c r="F6" s="798"/>
      <c r="G6" s="798"/>
      <c r="H6" s="798"/>
      <c r="I6" s="798"/>
    </row>
    <row r="7" spans="1:13" ht="18.75">
      <c r="E7" s="72"/>
      <c r="F7" s="72"/>
      <c r="G7" s="72"/>
      <c r="H7" s="72"/>
      <c r="I7" s="72"/>
    </row>
    <row r="8" spans="1:13" s="33" customFormat="1" ht="21" customHeight="1" thickBot="1">
      <c r="B8" s="76" t="s">
        <v>81</v>
      </c>
      <c r="C8" s="76"/>
      <c r="D8" s="76"/>
      <c r="E8" s="76"/>
      <c r="F8" s="76"/>
      <c r="G8" s="76"/>
      <c r="H8" s="76"/>
      <c r="I8" s="76"/>
      <c r="J8" s="76"/>
      <c r="K8" s="76"/>
      <c r="L8" s="76"/>
    </row>
    <row r="9" spans="1:13" ht="6" customHeight="1">
      <c r="B9" s="74"/>
    </row>
    <row r="10" spans="1:13">
      <c r="B10" s="947" t="s">
        <v>527</v>
      </c>
      <c r="C10" s="948"/>
      <c r="D10" s="948"/>
      <c r="E10" s="948"/>
      <c r="F10" s="948"/>
      <c r="G10" s="948"/>
      <c r="H10" s="948"/>
      <c r="I10" s="948"/>
      <c r="J10" s="948"/>
      <c r="K10" s="948"/>
      <c r="L10" s="949"/>
    </row>
    <row r="11" spans="1:13">
      <c r="B11" s="950"/>
      <c r="C11" s="951"/>
      <c r="D11" s="951"/>
      <c r="E11" s="951"/>
      <c r="F11" s="951"/>
      <c r="G11" s="951"/>
      <c r="H11" s="951"/>
      <c r="I11" s="951"/>
      <c r="J11" s="951"/>
      <c r="K11" s="951"/>
      <c r="L11" s="952"/>
    </row>
    <row r="12" spans="1:13" ht="15.75" thickBot="1"/>
    <row r="13" spans="1:13" ht="26.25" customHeight="1" thickBot="1">
      <c r="B13" s="920" t="s">
        <v>276</v>
      </c>
      <c r="C13" s="921"/>
      <c r="D13" s="921"/>
      <c r="E13" s="922"/>
      <c r="F13" s="77"/>
      <c r="G13" s="916" t="s">
        <v>110</v>
      </c>
      <c r="H13" s="917"/>
      <c r="I13" s="917"/>
      <c r="J13" s="78" t="s">
        <v>82</v>
      </c>
      <c r="K13" s="917" t="s">
        <v>267</v>
      </c>
      <c r="L13" s="953"/>
    </row>
    <row r="14" spans="1:13" ht="23.25" customHeight="1">
      <c r="A14" s="913" t="s">
        <v>277</v>
      </c>
      <c r="B14" s="991" t="s">
        <v>543</v>
      </c>
      <c r="C14" s="945"/>
      <c r="D14" s="945"/>
      <c r="E14" s="946"/>
      <c r="F14" s="46"/>
      <c r="G14" s="959"/>
      <c r="H14" s="958"/>
      <c r="I14" s="958"/>
      <c r="J14" s="958"/>
      <c r="K14" s="958"/>
      <c r="L14" s="963"/>
    </row>
    <row r="15" spans="1:13" ht="108" customHeight="1">
      <c r="A15" s="914"/>
      <c r="B15" s="945"/>
      <c r="C15" s="945"/>
      <c r="D15" s="945"/>
      <c r="E15" s="946"/>
      <c r="F15" s="46"/>
      <c r="G15" s="918"/>
      <c r="H15" s="909"/>
      <c r="I15" s="909"/>
      <c r="J15" s="909"/>
      <c r="K15" s="909"/>
      <c r="L15" s="910"/>
    </row>
    <row r="16" spans="1:13">
      <c r="A16" s="914"/>
      <c r="B16" s="940"/>
      <c r="C16" s="940"/>
      <c r="D16" s="940"/>
      <c r="E16" s="941"/>
      <c r="F16" s="46"/>
      <c r="G16" s="918"/>
      <c r="H16" s="909"/>
      <c r="I16" s="909"/>
      <c r="J16" s="909"/>
      <c r="K16" s="909"/>
      <c r="L16" s="910"/>
    </row>
    <row r="17" spans="1:12">
      <c r="A17" s="914"/>
      <c r="B17" s="940"/>
      <c r="C17" s="940"/>
      <c r="D17" s="940"/>
      <c r="E17" s="941"/>
      <c r="F17" s="46"/>
      <c r="G17" s="918"/>
      <c r="H17" s="909"/>
      <c r="I17" s="909"/>
      <c r="J17" s="909"/>
      <c r="K17" s="909"/>
      <c r="L17" s="910"/>
    </row>
    <row r="18" spans="1:12">
      <c r="A18" s="914"/>
      <c r="B18" s="940"/>
      <c r="C18" s="940"/>
      <c r="D18" s="940"/>
      <c r="E18" s="941"/>
      <c r="F18" s="46"/>
      <c r="G18" s="954"/>
      <c r="H18" s="955"/>
      <c r="I18" s="956"/>
      <c r="J18" s="909"/>
      <c r="K18" s="909"/>
      <c r="L18" s="910"/>
    </row>
    <row r="19" spans="1:12" ht="30.75" customHeight="1">
      <c r="A19" s="914"/>
      <c r="B19" s="940"/>
      <c r="C19" s="940"/>
      <c r="D19" s="940"/>
      <c r="E19" s="941"/>
      <c r="F19" s="46"/>
      <c r="G19" s="929"/>
      <c r="H19" s="930"/>
      <c r="I19" s="957"/>
      <c r="J19" s="909"/>
      <c r="K19" s="909"/>
      <c r="L19" s="910"/>
    </row>
    <row r="20" spans="1:12">
      <c r="A20" s="914"/>
      <c r="B20" s="940"/>
      <c r="C20" s="940"/>
      <c r="D20" s="940"/>
      <c r="E20" s="941"/>
      <c r="F20" s="46"/>
      <c r="G20" s="918"/>
      <c r="H20" s="909"/>
      <c r="I20" s="909"/>
      <c r="J20" s="909"/>
      <c r="K20" s="909"/>
      <c r="L20" s="910"/>
    </row>
    <row r="21" spans="1:12">
      <c r="A21" s="914"/>
      <c r="B21" s="940"/>
      <c r="C21" s="940"/>
      <c r="D21" s="940"/>
      <c r="E21" s="941"/>
      <c r="F21" s="46"/>
      <c r="G21" s="918"/>
      <c r="H21" s="909"/>
      <c r="I21" s="909"/>
      <c r="J21" s="909"/>
      <c r="K21" s="909"/>
      <c r="L21" s="910"/>
    </row>
    <row r="22" spans="1:12">
      <c r="A22" s="914"/>
      <c r="B22" s="940"/>
      <c r="C22" s="940"/>
      <c r="D22" s="940"/>
      <c r="E22" s="941"/>
      <c r="F22" s="46"/>
      <c r="G22" s="918"/>
      <c r="H22" s="909"/>
      <c r="I22" s="909"/>
      <c r="J22" s="909"/>
      <c r="K22" s="909"/>
      <c r="L22" s="910"/>
    </row>
    <row r="23" spans="1:12">
      <c r="A23" s="914"/>
      <c r="B23" s="940"/>
      <c r="C23" s="940"/>
      <c r="D23" s="940"/>
      <c r="E23" s="941"/>
      <c r="F23" s="46"/>
      <c r="G23" s="918"/>
      <c r="H23" s="909"/>
      <c r="I23" s="909"/>
      <c r="J23" s="909"/>
      <c r="K23" s="909"/>
      <c r="L23" s="910"/>
    </row>
    <row r="24" spans="1:12">
      <c r="A24" s="914"/>
      <c r="B24" s="940"/>
      <c r="C24" s="940"/>
      <c r="D24" s="940"/>
      <c r="E24" s="941"/>
      <c r="F24" s="46"/>
      <c r="G24" s="918"/>
      <c r="H24" s="909"/>
      <c r="I24" s="909"/>
      <c r="J24" s="909"/>
      <c r="K24" s="909"/>
      <c r="L24" s="910"/>
    </row>
    <row r="25" spans="1:12" ht="15.75" thickBot="1">
      <c r="A25" s="915"/>
      <c r="B25" s="942"/>
      <c r="C25" s="942"/>
      <c r="D25" s="942"/>
      <c r="E25" s="943"/>
      <c r="F25" s="46"/>
      <c r="G25" s="923"/>
      <c r="H25" s="924"/>
      <c r="I25" s="924"/>
      <c r="J25" s="924"/>
      <c r="K25" s="924"/>
      <c r="L25" s="960"/>
    </row>
    <row r="27" spans="1:12" ht="18.75">
      <c r="E27" s="919" t="s">
        <v>299</v>
      </c>
      <c r="F27" s="919"/>
      <c r="G27" s="919"/>
      <c r="H27" s="919"/>
      <c r="I27" s="919"/>
    </row>
    <row r="28" spans="1:12" ht="6" customHeight="1">
      <c r="E28" s="72"/>
      <c r="F28" s="72"/>
      <c r="G28" s="72"/>
      <c r="H28" s="72"/>
      <c r="I28" s="72"/>
    </row>
    <row r="29" spans="1:12" s="33" customFormat="1" ht="21" customHeight="1" thickBot="1">
      <c r="B29" s="76" t="s">
        <v>81</v>
      </c>
      <c r="C29" s="76"/>
      <c r="D29" s="76"/>
      <c r="E29" s="76"/>
      <c r="F29" s="76"/>
      <c r="G29" s="76"/>
      <c r="H29" s="76"/>
      <c r="I29" s="76"/>
      <c r="J29" s="76"/>
      <c r="K29" s="76"/>
      <c r="L29" s="76"/>
    </row>
    <row r="30" spans="1:12" ht="6" customHeight="1" thickBot="1">
      <c r="B30" s="74"/>
    </row>
    <row r="31" spans="1:12" ht="21.75" customHeight="1" thickBot="1">
      <c r="B31" s="920" t="s">
        <v>110</v>
      </c>
      <c r="C31" s="921"/>
      <c r="D31" s="921"/>
      <c r="E31" s="922"/>
      <c r="F31" s="77"/>
      <c r="G31" s="916" t="s">
        <v>288</v>
      </c>
      <c r="H31" s="917"/>
      <c r="I31" s="917"/>
      <c r="J31" s="78" t="s">
        <v>269</v>
      </c>
      <c r="K31" s="917" t="s">
        <v>267</v>
      </c>
      <c r="L31" s="953"/>
    </row>
    <row r="32" spans="1:12" ht="14.25" customHeight="1">
      <c r="A32" s="913" t="s">
        <v>278</v>
      </c>
      <c r="B32" s="926"/>
      <c r="C32" s="927"/>
      <c r="D32" s="927"/>
      <c r="E32" s="928"/>
      <c r="F32" s="46"/>
      <c r="G32" s="944"/>
      <c r="H32" s="911"/>
      <c r="I32" s="911"/>
      <c r="J32" s="911"/>
      <c r="K32" s="911"/>
      <c r="L32" s="965"/>
    </row>
    <row r="33" spans="1:12" ht="16.5" customHeight="1">
      <c r="A33" s="914"/>
      <c r="B33" s="929"/>
      <c r="C33" s="930"/>
      <c r="D33" s="930"/>
      <c r="E33" s="931"/>
      <c r="F33" s="46"/>
      <c r="G33" s="925"/>
      <c r="H33" s="912"/>
      <c r="I33" s="912"/>
      <c r="J33" s="912"/>
      <c r="K33" s="912"/>
      <c r="L33" s="961"/>
    </row>
    <row r="34" spans="1:12">
      <c r="A34" s="914"/>
      <c r="B34" s="932" t="str">
        <f>IF(Recomandari!I43="","",Recomandari!I43)</f>
        <v/>
      </c>
      <c r="C34" s="933"/>
      <c r="D34" s="933"/>
      <c r="E34" s="934"/>
      <c r="F34" s="46"/>
      <c r="G34" s="925"/>
      <c r="H34" s="912"/>
      <c r="I34" s="912"/>
      <c r="J34" s="912"/>
      <c r="K34" s="912"/>
      <c r="L34" s="961"/>
    </row>
    <row r="35" spans="1:12">
      <c r="A35" s="914"/>
      <c r="B35" s="932"/>
      <c r="C35" s="933"/>
      <c r="D35" s="933"/>
      <c r="E35" s="934"/>
      <c r="F35" s="46"/>
      <c r="G35" s="925"/>
      <c r="H35" s="912"/>
      <c r="I35" s="912"/>
      <c r="J35" s="912"/>
      <c r="K35" s="912"/>
      <c r="L35" s="961"/>
    </row>
    <row r="36" spans="1:12">
      <c r="A36" s="914"/>
      <c r="B36" s="932" t="str">
        <f>+IF(Recomandari!I53="","",Recomandari!I53)</f>
        <v/>
      </c>
      <c r="C36" s="933"/>
      <c r="D36" s="933"/>
      <c r="E36" s="934"/>
      <c r="F36" s="46"/>
      <c r="G36" s="925"/>
      <c r="H36" s="912"/>
      <c r="I36" s="912"/>
      <c r="J36" s="912"/>
      <c r="K36" s="912"/>
      <c r="L36" s="961"/>
    </row>
    <row r="37" spans="1:12">
      <c r="A37" s="914"/>
      <c r="B37" s="932"/>
      <c r="C37" s="933"/>
      <c r="D37" s="933"/>
      <c r="E37" s="934"/>
      <c r="F37" s="46"/>
      <c r="G37" s="925"/>
      <c r="H37" s="912"/>
      <c r="I37" s="912"/>
      <c r="J37" s="912"/>
      <c r="K37" s="912"/>
      <c r="L37" s="961"/>
    </row>
    <row r="38" spans="1:12">
      <c r="A38" s="914"/>
      <c r="B38" s="932"/>
      <c r="C38" s="933"/>
      <c r="D38" s="933"/>
      <c r="E38" s="934"/>
      <c r="F38" s="46"/>
      <c r="G38" s="925"/>
      <c r="H38" s="912"/>
      <c r="I38" s="912"/>
      <c r="J38" s="912"/>
      <c r="K38" s="912"/>
      <c r="L38" s="961"/>
    </row>
    <row r="39" spans="1:12">
      <c r="A39" s="914"/>
      <c r="B39" s="932"/>
      <c r="C39" s="933"/>
      <c r="D39" s="933"/>
      <c r="E39" s="934"/>
      <c r="F39" s="46"/>
      <c r="G39" s="925"/>
      <c r="H39" s="912"/>
      <c r="I39" s="912"/>
      <c r="J39" s="912"/>
      <c r="K39" s="912"/>
      <c r="L39" s="961"/>
    </row>
    <row r="40" spans="1:12">
      <c r="A40" s="914"/>
      <c r="B40" s="932"/>
      <c r="C40" s="933"/>
      <c r="D40" s="933"/>
      <c r="E40" s="934"/>
      <c r="F40" s="46"/>
      <c r="G40" s="925"/>
      <c r="H40" s="912"/>
      <c r="I40" s="912"/>
      <c r="J40" s="912"/>
      <c r="K40" s="912"/>
      <c r="L40" s="961"/>
    </row>
    <row r="41" spans="1:12">
      <c r="A41" s="914"/>
      <c r="B41" s="932"/>
      <c r="C41" s="933"/>
      <c r="D41" s="933"/>
      <c r="E41" s="934"/>
      <c r="F41" s="46"/>
      <c r="G41" s="925"/>
      <c r="H41" s="912"/>
      <c r="I41" s="912"/>
      <c r="J41" s="912"/>
      <c r="K41" s="912"/>
      <c r="L41" s="961"/>
    </row>
    <row r="42" spans="1:12">
      <c r="A42" s="914"/>
      <c r="B42" s="932"/>
      <c r="C42" s="933"/>
      <c r="D42" s="933"/>
      <c r="E42" s="934"/>
      <c r="F42" s="46"/>
      <c r="G42" s="925"/>
      <c r="H42" s="912"/>
      <c r="I42" s="912"/>
      <c r="J42" s="912"/>
      <c r="K42" s="912"/>
      <c r="L42" s="961"/>
    </row>
    <row r="43" spans="1:12" ht="15.75" thickBot="1">
      <c r="A43" s="915"/>
      <c r="B43" s="935"/>
      <c r="C43" s="936"/>
      <c r="D43" s="936"/>
      <c r="E43" s="937"/>
      <c r="F43" s="46"/>
      <c r="G43" s="938"/>
      <c r="H43" s="939"/>
      <c r="I43" s="939"/>
      <c r="J43" s="939"/>
      <c r="K43" s="939"/>
      <c r="L43" s="964"/>
    </row>
  </sheetData>
  <mergeCells count="67">
    <mergeCell ref="K42:L43"/>
    <mergeCell ref="K36:L37"/>
    <mergeCell ref="K38:L39"/>
    <mergeCell ref="K32:L33"/>
    <mergeCell ref="J36:J37"/>
    <mergeCell ref="J40:J41"/>
    <mergeCell ref="J42:J43"/>
    <mergeCell ref="J38:J39"/>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A14:A25"/>
    <mergeCell ref="J18:J19"/>
    <mergeCell ref="J16:J17"/>
    <mergeCell ref="J14:J15"/>
    <mergeCell ref="B16:E17"/>
    <mergeCell ref="G14:I15"/>
    <mergeCell ref="B34:E35"/>
    <mergeCell ref="G34:I35"/>
    <mergeCell ref="J34:J35"/>
    <mergeCell ref="B36:E37"/>
    <mergeCell ref="G36:I37"/>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s>
  <phoneticPr fontId="30" type="noConversion"/>
  <conditionalFormatting sqref="C4:D4">
    <cfRule type="cellIs" dxfId="8" priority="1" stopIfTrue="1" operator="equal">
      <formula>"C"</formula>
    </cfRule>
    <cfRule type="cellIs" dxfId="7" priority="2" stopIfTrue="1" operator="equal">
      <formula>"B2"</formula>
    </cfRule>
    <cfRule type="cellIs" dxfId="6"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r:id="rId1"/>
  <headerFooter alignWithMargins="0">
    <oddFooter>&amp;L&amp;F&amp;C&amp;A&amp;RV1.0          &amp;D</oddFooter>
  </headerFooter>
  <ignoredErrors>
    <ignoredError sqref="C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3.xml><?xml version="1.0" encoding="utf-8"?>
<ds:datastoreItem xmlns:ds="http://schemas.openxmlformats.org/officeDocument/2006/customXml" ds:itemID="{EBF073CC-B72F-4A6E-89A6-C2004FB1AA75}">
  <ds:schemaRefs>
    <ds:schemaRef ds:uri="http://schemas.microsoft.com/office/2006/metadata/properties"/>
    <ds:schemaRef ds:uri="f127e3a1-6a43-4b35-8211-dfdf2a8cacea"/>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Meniu</vt:lpstr>
      <vt:lpstr>Lista Indicatorilor</vt:lpstr>
      <vt:lpstr>Introducerea datelor</vt:lpstr>
      <vt:lpstr>Detalii despre Grant</vt:lpstr>
      <vt:lpstr>Financiar</vt:lpstr>
      <vt:lpstr>Management</vt:lpstr>
      <vt:lpstr>Programatic</vt:lpstr>
      <vt:lpstr>Recomandari</vt:lpstr>
      <vt:lpstr>Actions</vt:lpstr>
      <vt:lpstr>Setup</vt:lpstr>
      <vt:lpstr>Component</vt:lpstr>
      <vt:lpstr>Countries</vt:lpstr>
      <vt:lpstr>Currency</vt:lpstr>
      <vt:lpstr>LFA</vt:lpstr>
      <vt:lpstr>Medicaments</vt:lpstr>
      <vt:lpstr>PERIOD</vt:lpstr>
      <vt:lpstr>Phase</vt:lpstr>
      <vt:lpstr>Actions!Print_Area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F station</cp:lastModifiedBy>
  <cp:lastPrinted>2013-12-04T11:52:31Z</cp:lastPrinted>
  <dcterms:created xsi:type="dcterms:W3CDTF">2008-11-20T16:06:13Z</dcterms:created>
  <dcterms:modified xsi:type="dcterms:W3CDTF">2014-10-23T10:12:59Z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