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ocs\desktop\Dashboard PCU TB Sem I.2014\TB octombrie 2014\"/>
    </mc:Choice>
  </mc:AlternateContent>
  <bookViews>
    <workbookView xWindow="0" yWindow="0" windowWidth="25200" windowHeight="11085" tabRatio="721" activeTab="8"/>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Sheet1" sheetId="46"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5">Financiar!$A$2:$K$33</definedName>
    <definedName name="_xlnm.Print_Area" localSheetId="2">'Introducerea datelor'!$A$1:$O$149</definedName>
    <definedName name="_xlnm.Print_Area" localSheetId="4">Management!$A$2:$L$34</definedName>
    <definedName name="_xlnm.Print_Area" localSheetId="6">Programatic!$A$1:$Q$29</definedName>
    <definedName name="PrintA">Actiuni!$A$2:$L$34</definedName>
    <definedName name="PrintDataF">'Introducerea datelor'!$B$25:$J$65</definedName>
    <definedName name="PrintDataM">'Introducerea datelor'!$B$67:$H$111</definedName>
    <definedName name="PrintF">Financiar!$A$2:$K$31</definedName>
    <definedName name="PrintGD">'Detail despre Grant'!$A$2:$J$13</definedName>
    <definedName name="PrintM" localSheetId="8">Actiuni!$A$2:$L$6</definedName>
    <definedName name="PrintM">Management!$A$2:$L$36</definedName>
    <definedName name="PrintP">Programatic!$A$2:$P$30</definedName>
    <definedName name="PrintR">Recomandari!$A$2:$N$41</definedName>
    <definedName name="Rating">Setup!$G$9:$G$14</definedName>
    <definedName name="Round">Setup!$D$9:$D$21</definedName>
  </definedNames>
  <calcPr calcId="152511"/>
</workbook>
</file>

<file path=xl/calcChain.xml><?xml version="1.0" encoding="utf-8"?>
<calcChain xmlns="http://schemas.openxmlformats.org/spreadsheetml/2006/main">
  <c r="E96" i="29" l="1"/>
  <c r="D39" i="29"/>
  <c r="C43" i="29" l="1"/>
  <c r="C40" i="29"/>
  <c r="C39" i="29"/>
  <c r="D40" i="29"/>
  <c r="D44" i="29"/>
  <c r="D43" i="29"/>
  <c r="D37" i="42" l="1"/>
  <c r="D96" i="29" l="1"/>
  <c r="D98" i="29" l="1"/>
  <c r="E98" i="29" s="1"/>
  <c r="F98" i="29" s="1"/>
  <c r="G98" i="29" s="1"/>
  <c r="H98" i="29" s="1"/>
  <c r="I98" i="29" s="1"/>
  <c r="J98" i="29" s="1"/>
  <c r="K98" i="29" s="1"/>
  <c r="L98" i="29" s="1"/>
  <c r="M98" i="29" s="1"/>
  <c r="N98" i="29" s="1"/>
  <c r="D99" i="29"/>
  <c r="E99" i="29" s="1"/>
  <c r="F99" i="29" s="1"/>
  <c r="G99" i="29" s="1"/>
  <c r="H99" i="29" s="1"/>
  <c r="I99" i="29" s="1"/>
  <c r="J99" i="29" s="1"/>
  <c r="K99" i="29" s="1"/>
  <c r="L99" i="29" s="1"/>
  <c r="M99" i="29" s="1"/>
  <c r="N99" i="29" s="1"/>
  <c r="D100" i="29"/>
  <c r="E100" i="29" s="1"/>
  <c r="F100" i="29" s="1"/>
  <c r="G100" i="29" s="1"/>
  <c r="H100" i="29" s="1"/>
  <c r="I100" i="29" s="1"/>
  <c r="J100" i="29" s="1"/>
  <c r="K100" i="29" s="1"/>
  <c r="L100" i="29" s="1"/>
  <c r="M100" i="29" s="1"/>
  <c r="N100" i="29" s="1"/>
  <c r="D33" i="29"/>
  <c r="R30" i="29" s="1"/>
  <c r="C47" i="29"/>
  <c r="D47" i="29"/>
  <c r="D41" i="42"/>
  <c r="B28" i="37"/>
  <c r="B27" i="37"/>
  <c r="B26" i="37"/>
  <c r="B24" i="37"/>
  <c r="B23" i="37"/>
  <c r="Q145" i="29"/>
  <c r="R145" i="29"/>
  <c r="Q146" i="29"/>
  <c r="R146" i="29"/>
  <c r="I145" i="29"/>
  <c r="J145" i="29"/>
  <c r="K145" i="29"/>
  <c r="L145" i="29"/>
  <c r="M145" i="29"/>
  <c r="N145" i="29"/>
  <c r="O145" i="29"/>
  <c r="P145" i="29"/>
  <c r="I146" i="29"/>
  <c r="J146" i="29"/>
  <c r="K146" i="29"/>
  <c r="L146" i="29"/>
  <c r="M146" i="29"/>
  <c r="N146" i="29"/>
  <c r="O146" i="29"/>
  <c r="P146" i="29"/>
  <c r="H146" i="29"/>
  <c r="H145" i="29"/>
  <c r="F26" i="37"/>
  <c r="F24" i="37"/>
  <c r="E26" i="37"/>
  <c r="E24" i="37"/>
  <c r="E25" i="37"/>
  <c r="L8" i="37"/>
  <c r="K148" i="29"/>
  <c r="K147" i="29"/>
  <c r="K144" i="29"/>
  <c r="K143" i="29"/>
  <c r="B2" i="39"/>
  <c r="B2" i="42"/>
  <c r="B20" i="37"/>
  <c r="E20" i="37"/>
  <c r="B2" i="37"/>
  <c r="B2" i="35"/>
  <c r="B2" i="30"/>
  <c r="B2" i="45"/>
  <c r="B3" i="27"/>
  <c r="B2" i="1" s="1"/>
  <c r="I9" i="27"/>
  <c r="E51" i="29"/>
  <c r="C38" i="29"/>
  <c r="D38" i="29"/>
  <c r="B32" i="29"/>
  <c r="B31" i="29"/>
  <c r="D29" i="42"/>
  <c r="E53" i="29"/>
  <c r="E52" i="29"/>
  <c r="E55" i="29"/>
  <c r="E54" i="29"/>
  <c r="D34" i="29"/>
  <c r="E34" i="29"/>
  <c r="F34" i="29"/>
  <c r="G34" i="29"/>
  <c r="H34" i="29"/>
  <c r="I34" i="29"/>
  <c r="J34" i="29"/>
  <c r="K34" i="29"/>
  <c r="L34" i="29"/>
  <c r="M34" i="29"/>
  <c r="F20" i="37"/>
  <c r="B22" i="45"/>
  <c r="F29" i="37"/>
  <c r="F28" i="37"/>
  <c r="E28" i="37"/>
  <c r="F27" i="37"/>
  <c r="F25" i="37"/>
  <c r="E29" i="37"/>
  <c r="E27" i="37"/>
  <c r="F23" i="37"/>
  <c r="E23" i="37"/>
  <c r="F22" i="37"/>
  <c r="E22" i="37"/>
  <c r="F21" i="37"/>
  <c r="E21" i="37"/>
  <c r="K5" i="30"/>
  <c r="K4" i="30"/>
  <c r="L5" i="35"/>
  <c r="L4" i="35"/>
  <c r="Q5" i="37"/>
  <c r="Q4" i="37"/>
  <c r="M5" i="42"/>
  <c r="M4" i="42"/>
  <c r="L5" i="39"/>
  <c r="L4" i="39"/>
  <c r="C4" i="39"/>
  <c r="C3" i="39"/>
  <c r="B3" i="39"/>
  <c r="C4" i="42"/>
  <c r="C3" i="42"/>
  <c r="B3" i="42"/>
  <c r="C4" i="37"/>
  <c r="C3" i="37"/>
  <c r="B3" i="37"/>
  <c r="C4" i="35"/>
  <c r="C3" i="35"/>
  <c r="B3" i="35"/>
  <c r="C4" i="30"/>
  <c r="C3" i="30"/>
  <c r="B3" i="30"/>
  <c r="G9" i="27"/>
  <c r="G13" i="27"/>
  <c r="G11" i="27"/>
  <c r="D11" i="27"/>
  <c r="B12" i="27"/>
  <c r="I11" i="27"/>
  <c r="D10" i="27"/>
  <c r="B10" i="27"/>
  <c r="B9" i="27"/>
  <c r="B6" i="27"/>
  <c r="B4" i="1"/>
  <c r="E90" i="29"/>
  <c r="E89" i="29"/>
  <c r="D11" i="42"/>
  <c r="J3" i="35"/>
  <c r="L3" i="35"/>
  <c r="H15" i="35" s="1"/>
  <c r="I3" i="30"/>
  <c r="K3" i="30"/>
  <c r="H22" i="30" s="1"/>
  <c r="D33" i="42"/>
  <c r="D34" i="42"/>
  <c r="D35" i="42"/>
  <c r="D36" i="42"/>
  <c r="D38" i="42"/>
  <c r="D39" i="42"/>
  <c r="D40" i="42"/>
  <c r="D32" i="42"/>
  <c r="D31" i="42"/>
  <c r="D30" i="42"/>
  <c r="E109" i="29"/>
  <c r="G109" i="29" s="1"/>
  <c r="I109" i="29" s="1"/>
  <c r="E108" i="29"/>
  <c r="G108" i="29" s="1"/>
  <c r="I108" i="29" s="1"/>
  <c r="E110" i="29"/>
  <c r="G110" i="29"/>
  <c r="I110" i="29" s="1"/>
  <c r="E111" i="29"/>
  <c r="G111" i="29"/>
  <c r="I111" i="29"/>
  <c r="K30" i="35"/>
  <c r="K31" i="35"/>
  <c r="K32" i="35"/>
  <c r="K33" i="35"/>
  <c r="L144" i="29"/>
  <c r="M144" i="29"/>
  <c r="N144" i="29"/>
  <c r="O144" i="29"/>
  <c r="P144" i="29"/>
  <c r="Q144" i="29"/>
  <c r="R144" i="29"/>
  <c r="S144" i="29"/>
  <c r="S145"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N33" i="29"/>
  <c r="N35" i="29" s="1"/>
  <c r="N34" i="29"/>
  <c r="H29" i="30"/>
  <c r="H28" i="30"/>
  <c r="H27" i="30"/>
  <c r="D24" i="42"/>
  <c r="D23" i="42"/>
  <c r="D22" i="42"/>
  <c r="D21" i="42"/>
  <c r="D20" i="42"/>
  <c r="D19" i="42"/>
  <c r="D14" i="42"/>
  <c r="D13" i="42"/>
  <c r="D12" i="42"/>
  <c r="B25" i="45"/>
  <c r="B23" i="45"/>
  <c r="B21" i="45"/>
  <c r="B20" i="45"/>
  <c r="B19" i="45"/>
  <c r="B11" i="45"/>
  <c r="B10" i="45"/>
  <c r="B9" i="45"/>
  <c r="B8" i="45"/>
  <c r="B4" i="37"/>
  <c r="B4" i="35"/>
  <c r="B4" i="30"/>
  <c r="G73" i="29"/>
  <c r="F20" i="42" s="1"/>
  <c r="G12" i="27"/>
  <c r="H4" i="1"/>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E79" i="29"/>
  <c r="D5" i="35"/>
  <c r="E4" i="35"/>
  <c r="K5" i="35"/>
  <c r="J4" i="35"/>
  <c r="D5" i="37"/>
  <c r="P5" i="37"/>
  <c r="P4" i="37"/>
  <c r="N3" i="37"/>
  <c r="J5" i="30"/>
  <c r="D5" i="30"/>
  <c r="I4" i="30"/>
  <c r="E4" i="30"/>
  <c r="F8" i="37"/>
  <c r="B8" i="37"/>
  <c r="L143" i="29"/>
  <c r="J148" i="29"/>
  <c r="J147" i="29"/>
  <c r="J144" i="29"/>
  <c r="J143" i="29"/>
  <c r="I148" i="29"/>
  <c r="I147" i="29"/>
  <c r="I144" i="29"/>
  <c r="I143" i="29"/>
  <c r="H148" i="29"/>
  <c r="H147" i="29"/>
  <c r="H144" i="29"/>
  <c r="H143" i="29"/>
  <c r="B25" i="37"/>
  <c r="S142" i="29"/>
  <c r="R142" i="29"/>
  <c r="Q142" i="29"/>
  <c r="P142" i="29"/>
  <c r="O142" i="29"/>
  <c r="B22" i="37"/>
  <c r="B21" i="37"/>
  <c r="N142" i="29"/>
  <c r="M142" i="29"/>
  <c r="L142" i="29"/>
  <c r="K142" i="29"/>
  <c r="J142" i="29"/>
  <c r="I142" i="29"/>
  <c r="H142" i="29"/>
  <c r="B36" i="39"/>
  <c r="B34" i="39"/>
  <c r="B34" i="35"/>
  <c r="Z24" i="37"/>
  <c r="AA24" i="37" s="1"/>
  <c r="Z23" i="37"/>
  <c r="AA23" i="37"/>
  <c r="AD23" i="37" s="1"/>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9" i="37"/>
  <c r="T27" i="37"/>
  <c r="U27" i="37"/>
  <c r="V27" i="37"/>
  <c r="W27" i="37"/>
  <c r="X27" i="37"/>
  <c r="T28" i="37"/>
  <c r="U28" i="37"/>
  <c r="V28" i="37"/>
  <c r="W28" i="37"/>
  <c r="X28" i="37"/>
  <c r="T29" i="37"/>
  <c r="V29" i="37"/>
  <c r="X29" i="37"/>
  <c r="T31" i="37"/>
  <c r="T30" i="37"/>
  <c r="U30" i="37"/>
  <c r="V30" i="37"/>
  <c r="W30" i="37"/>
  <c r="X30" i="37"/>
  <c r="U31" i="37"/>
  <c r="W31" i="37"/>
  <c r="T32" i="37"/>
  <c r="U32" i="37"/>
  <c r="V32" i="37"/>
  <c r="W32" i="37"/>
  <c r="X32" i="37"/>
  <c r="T33" i="37"/>
  <c r="U33" i="37"/>
  <c r="V33" i="37"/>
  <c r="W33" i="37"/>
  <c r="X33" i="37"/>
  <c r="X31" i="37"/>
  <c r="V31" i="37"/>
  <c r="W29" i="37"/>
  <c r="C35" i="29"/>
  <c r="B3" i="32"/>
  <c r="E20" i="42"/>
  <c r="AE23" i="37"/>
  <c r="R29" i="29"/>
  <c r="H7" i="35"/>
  <c r="AC22" i="37"/>
  <c r="AF22" i="37"/>
  <c r="AE22" i="37"/>
  <c r="AD22" i="37"/>
  <c r="AB22" i="37"/>
  <c r="K111" i="29"/>
  <c r="L33" i="35" s="1"/>
  <c r="J33" i="35"/>
  <c r="AB23" i="37"/>
  <c r="AF23" i="37"/>
  <c r="AC23" i="37"/>
  <c r="E33" i="29"/>
  <c r="E35" i="29" s="1"/>
  <c r="D35" i="29"/>
  <c r="F33" i="29"/>
  <c r="R32" i="29" s="1"/>
  <c r="G33" i="29"/>
  <c r="R33" i="29" s="1"/>
  <c r="H33" i="29"/>
  <c r="H35" i="29" s="1"/>
  <c r="I33" i="29"/>
  <c r="R35" i="29" s="1"/>
  <c r="J33" i="29"/>
  <c r="J35" i="29" s="1"/>
  <c r="K33" i="29"/>
  <c r="R50" i="29" s="1"/>
  <c r="L33" i="29"/>
  <c r="L35" i="29" s="1"/>
  <c r="M33" i="29"/>
  <c r="M35" i="29" s="1"/>
  <c r="G23" i="37" l="1"/>
  <c r="B22" i="30"/>
  <c r="AB24" i="37"/>
  <c r="AF24" i="37"/>
  <c r="AC24" i="37"/>
  <c r="AD24" i="37"/>
  <c r="AE24" i="37"/>
  <c r="J30" i="35"/>
  <c r="K108" i="29"/>
  <c r="L30" i="35" s="1"/>
  <c r="K109" i="29"/>
  <c r="L31" i="35" s="1"/>
  <c r="J31" i="35"/>
  <c r="J32" i="35"/>
  <c r="K110" i="29"/>
  <c r="L32" i="35" s="1"/>
  <c r="H8" i="30"/>
  <c r="H26" i="35"/>
  <c r="B8" i="30"/>
  <c r="F47" i="29"/>
  <c r="G22" i="37"/>
  <c r="B7" i="35"/>
  <c r="B15" i="35"/>
  <c r="K35" i="29"/>
  <c r="I35" i="29"/>
  <c r="G35" i="29"/>
  <c r="R31" i="29"/>
  <c r="R34" i="29"/>
  <c r="F35" i="29"/>
  <c r="R49" i="29"/>
  <c r="Q51" i="29"/>
  <c r="G28" i="37"/>
  <c r="G24" i="37"/>
  <c r="G25" i="37"/>
  <c r="G27" i="37"/>
  <c r="G20" i="37"/>
  <c r="G21" i="37"/>
  <c r="G29" i="37"/>
  <c r="G26" i="37"/>
  <c r="O31" i="29" l="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<sst xmlns="http://schemas.openxmlformats.org/spreadsheetml/2006/main" count="648" uniqueCount="494">
  <si>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</si>
  <si>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</si>
  <si>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</si>
  <si>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</si>
  <si>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</si>
  <si>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</si>
  <si>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</si>
  <si>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</si>
  <si>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</si>
  <si>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</si>
  <si>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</si>
  <si>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</si>
  <si>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</si>
  <si>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</si>
  <si>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</si>
  <si>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</si>
  <si>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</si>
  <si>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</si>
  <si>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</si>
  <si>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</si>
  <si>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</si>
  <si>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</si>
  <si>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</si>
  <si>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</si>
  <si>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</si>
  <si>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</si>
  <si>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</si>
  <si>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</si>
  <si>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</si>
  <si>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</si>
  <si>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</si>
  <si>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</si>
  <si>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</si>
  <si>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</si>
  <si>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</si>
  <si>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</si>
  <si>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</si>
  <si>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</si>
  <si>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</si>
  <si>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</si>
  <si>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</si>
  <si>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</si>
  <si>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</si>
  <si>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</si>
  <si>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</si>
  <si>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</si>
  <si>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</si>
  <si>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</si>
  <si>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</si>
  <si>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</si>
  <si>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</si>
  <si>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</si>
  <si>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Target</t>
  </si>
  <si>
    <t xml:space="preserve">Achieved </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</si>
  <si>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</si>
  <si>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</si>
  <si>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</si>
  <si>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</si>
  <si>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</si>
  <si>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</si>
  <si>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</si>
  <si>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</si>
  <si>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</si>
  <si>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</si>
  <si>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</si>
  <si>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</si>
  <si>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</si>
  <si>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</si>
  <si>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</si>
  <si>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</si>
  <si>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</si>
  <si>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</si>
  <si>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</si>
  <si>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</si>
  <si>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</si>
  <si>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</si>
  <si>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</si>
  <si>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</si>
  <si>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</si>
  <si>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</si>
  <si>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</si>
  <si>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</si>
  <si>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</si>
  <si>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</si>
  <si>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</si>
  <si>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</si>
  <si>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</si>
  <si>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</si>
  <si>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</si>
  <si>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</si>
  <si>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</si>
  <si>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</si>
  <si>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</si>
  <si>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</si>
  <si>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</si>
  <si>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</si>
  <si>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</si>
  <si>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</si>
  <si>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</si>
  <si>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</si>
  <si>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</si>
  <si>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</si>
  <si>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</si>
  <si>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</si>
  <si>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</si>
  <si>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</si>
  <si>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</si>
  <si>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</si>
  <si>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</si>
  <si>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</si>
  <si>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</si>
  <si>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</si>
  <si>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</si>
  <si>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</si>
  <si>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</si>
  <si>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</si>
  <si>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</si>
  <si>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</si>
  <si>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</si>
  <si>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</si>
  <si>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</si>
  <si>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</si>
  <si>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</si>
  <si>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</si>
  <si>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</si>
  <si>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</si>
  <si>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</si>
  <si>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</si>
  <si>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</si>
  <si>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</si>
  <si>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</si>
  <si>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</si>
  <si>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</si>
  <si>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</si>
  <si>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</si>
  <si>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</si>
  <si>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</si>
  <si>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</si>
  <si>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</si>
  <si>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</si>
  <si>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</si>
  <si>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</si>
  <si>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</si>
  <si>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</si>
  <si>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</si>
  <si>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</si>
  <si>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</si>
  <si>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</si>
  <si>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</si>
  <si>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</si>
  <si>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</si>
  <si>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</si>
  <si>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</si>
  <si>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</si>
  <si>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</si>
  <si>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</si>
  <si>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</si>
  <si>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</si>
  <si>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</si>
  <si>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</si>
  <si>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</si>
  <si>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</si>
  <si>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</si>
  <si>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</si>
  <si>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</si>
  <si>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</si>
  <si>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</si>
  <si>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</si>
  <si>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</si>
  <si>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</si>
  <si>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</si>
  <si>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</si>
  <si>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</si>
  <si>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</si>
  <si>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</si>
  <si>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</si>
  <si>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</si>
  <si>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</si>
  <si>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</si>
  <si>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</si>
  <si>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</si>
  <si>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</si>
  <si>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</si>
  <si>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</si>
  <si>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</si>
  <si>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</si>
  <si>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</si>
  <si>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</si>
  <si>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</si>
  <si>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</si>
  <si>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</si>
  <si>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</si>
  <si>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</si>
  <si>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</si>
  <si>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</si>
  <si>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</si>
  <si>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</si>
  <si>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</si>
  <si>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</si>
  <si>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</si>
  <si>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</si>
  <si>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</si>
  <si>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</si>
  <si>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</si>
  <si>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</si>
  <si>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</si>
  <si>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</si>
  <si>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</si>
  <si>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</si>
  <si>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</si>
  <si>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</si>
  <si>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</si>
  <si>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</si>
  <si>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</si>
  <si>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</si>
  <si>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</si>
  <si>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</si>
  <si>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</si>
  <si>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</si>
  <si>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</si>
  <si>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</si>
  <si>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</si>
  <si>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</si>
  <si>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</si>
  <si>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</si>
  <si>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</si>
  <si>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</si>
  <si>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</si>
  <si>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</si>
  <si>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</si>
  <si>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</si>
  <si>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</si>
  <si>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</si>
  <si>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</si>
  <si>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</si>
  <si>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</si>
  <si>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</si>
  <si>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</si>
  <si>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</si>
  <si>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</si>
  <si>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</si>
  <si>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</si>
  <si>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</si>
  <si>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</si>
  <si>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</si>
  <si>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</si>
  <si>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</si>
  <si>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</si>
  <si>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</si>
  <si>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</si>
  <si>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</si>
  <si>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</si>
  <si>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</si>
  <si>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</si>
  <si>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</si>
  <si>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</si>
  <si>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</si>
  <si>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</si>
  <si>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</si>
  <si>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</si>
  <si>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</si>
  <si>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</si>
  <si>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</si>
  <si>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</si>
  <si>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</si>
  <si>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</si>
  <si>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</si>
  <si>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</si>
  <si>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</si>
  <si>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</si>
  <si>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</si>
  <si>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t>TOP 3</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</si>
  <si>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</si>
  <si>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</si>
  <si>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</si>
  <si>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</si>
  <si>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</si>
  <si>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</si>
  <si>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</si>
  <si>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</si>
  <si>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impact 1</t>
  </si>
  <si>
    <t xml:space="preserve">P3 </t>
  </si>
  <si>
    <t>IP UCIMP RSS</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</si>
  <si>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</si>
  <si>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</si>
  <si>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</si>
  <si>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</si>
  <si>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</si>
  <si>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</si>
  <si>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</si>
  <si>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</si>
  <si>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</si>
  <si>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</si>
  <si>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</si>
  <si>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</si>
  <si>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</si>
  <si>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</si>
  <si>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</si>
  <si>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</si>
  <si>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</si>
  <si>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</si>
  <si>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</si>
  <si>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</si>
  <si>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</si>
  <si>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</si>
  <si>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</si>
  <si>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</si>
  <si>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</si>
  <si>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</si>
  <si>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</si>
  <si>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Consolidarea controlului Tuberculozei în Republica Moldova</t>
  </si>
  <si>
    <t>Fortificarea realizării DOTS în scopul ameliorării detecţiei tuberculozei şi a managementului cazului de TB</t>
  </si>
  <si>
    <t>Asigurarea accesului universal la diagnosticul şi tratamentul cazurilor de TB drog-rezistentă</t>
  </si>
  <si>
    <t xml:space="preserve">Fortificarea sistemului de monitorizare şi evaluare, a managementului şi coordonării sistemului de sănătate pentru pacienţii cu TB </t>
  </si>
  <si>
    <t xml:space="preserve">Creşterea informării publice despre TB şi reducerea stigmatizării </t>
  </si>
  <si>
    <t>Fortificarea managementului Proiectului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</si>
  <si>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</si>
  <si>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</si>
  <si>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</si>
  <si>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</si>
  <si>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</si>
  <si>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</si>
  <si>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</si>
  <si>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</si>
  <si>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</si>
  <si>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</si>
  <si>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</si>
  <si>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</si>
  <si>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</si>
  <si>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</si>
  <si>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</si>
  <si>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 xml:space="preserve">                               Întroduceți datele pentru management în celulele albastre</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</si>
  <si>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</si>
  <si>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</si>
  <si>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</si>
  <si>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</si>
  <si>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</si>
  <si>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</si>
  <si>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</si>
  <si>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</si>
  <si>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</si>
  <si>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</si>
  <si>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</si>
  <si>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</si>
  <si>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</si>
  <si>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</si>
  <si>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</si>
  <si>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</si>
  <si>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</si>
  <si>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</si>
  <si>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</si>
  <si>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</si>
  <si>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</si>
  <si>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</si>
  <si>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</si>
  <si>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</si>
  <si>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</si>
  <si>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</si>
  <si>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</si>
  <si>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</si>
  <si>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</si>
  <si>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</si>
  <si>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</si>
  <si>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</si>
  <si>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</si>
  <si>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</si>
  <si>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</si>
  <si>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</si>
  <si>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</si>
  <si>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</si>
  <si>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</si>
  <si>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</si>
  <si>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</si>
  <si>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Da</t>
  </si>
  <si>
    <t>Ținta</t>
  </si>
  <si>
    <t>Rezultat</t>
  </si>
  <si>
    <t>Rezultat 4</t>
  </si>
  <si>
    <t>Nu</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</si>
  <si>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</si>
  <si>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</si>
  <si>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</si>
  <si>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</si>
  <si>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</si>
  <si>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</si>
  <si>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</si>
  <si>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</si>
  <si>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</si>
  <si>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</si>
  <si>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</si>
  <si>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</si>
  <si>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 xml:space="preserve">MOL-T-PCIMU </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</si>
  <si>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</si>
  <si>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</si>
  <si>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</si>
  <si>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</si>
  <si>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</si>
  <si>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</si>
  <si>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 Include numai EFR categoriile 4 și 5  (Produse medicale și Echipamente medicale &amp; Medicamente și Produse farmaceutice)</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</si>
  <si>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</si>
  <si>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</si>
  <si>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</si>
  <si>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</si>
  <si>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</si>
  <si>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</si>
  <si>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</si>
  <si>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</si>
  <si>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</si>
  <si>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</si>
  <si>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</si>
  <si>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</si>
  <si>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</si>
  <si>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</si>
  <si>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</si>
  <si>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Recomandările cheie a Cmisiei de Supraveghere</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</si>
  <si>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</si>
  <si>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</si>
  <si>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</si>
  <si>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</si>
  <si>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</si>
  <si>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</si>
  <si>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</si>
  <si>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</si>
  <si>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</si>
  <si>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</si>
  <si>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</si>
  <si>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</si>
  <si>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Sistemul R&amp;R TB, rapoarte trimestriale. SYME TB, modulul DOTS Plus.</t>
  </si>
  <si>
    <t>Formular de notificare a cazurilor TB (089); Registrul cazurilor TB (03);
Fișa de tratament a pacienților TB (01).</t>
  </si>
  <si>
    <t xml:space="preserve">Y - cumulativ anual </t>
  </si>
  <si>
    <t>Numărător: Numărul de decese cauzate de TB (toate formele) înregistrate într-o anumită perioadă per 100,000 persoane; Numitor: Numărul total al populației în țară</t>
  </si>
  <si>
    <t>Numărător: Numărul pacienţilor cu tuberculoză multirezistentă (confirmată în baza testului de laborator) care beneficiază de tratamentul DOTS Plus; Numitor: Nu este</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</si>
  <si>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</si>
  <si>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</si>
  <si>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</si>
  <si>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</si>
  <si>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Impact 1</t>
  </si>
  <si>
    <t>Utilizarea dobînzii</t>
  </si>
  <si>
    <t>Prevalența TB MDR printre cazurile noi TB, %</t>
  </si>
  <si>
    <t xml:space="preserve">Ultima debursare: Zile calendaristice </t>
  </si>
  <si>
    <t>Rata mortalităţii  - Numărul de decese cauzate de TB (toate formele) pe an, la 100,000 persoane</t>
  </si>
  <si>
    <t>Tatiana Vinichenko</t>
  </si>
  <si>
    <t>Indicator de impact 1. Rata mortalităţii  - Numărul de decese cauzate de TB (toate formele) pe an, la 100,000 persoane</t>
  </si>
  <si>
    <t>Indicatori de Program (din Performance Framework)</t>
  </si>
  <si>
    <t xml:space="preserve">Formular de notificare a cazurilor MDR TB (090); Registrul cazurilor MDR TB (03MDR = registru categoria IV); Fișa de tratament a pacienților MDR TB (01)
</t>
  </si>
  <si>
    <t xml:space="preserve">    Introduceți datele de performanță în celulele în galben.</t>
  </si>
  <si>
    <t>N/A</t>
  </si>
  <si>
    <t>Activitățile aferente acestui indicator au fost finalizate la data de 30 Septembrie, 2012.</t>
  </si>
  <si>
    <t>Numărător: Numărul cazurilor confirmate de TB-MDR, tratate cu succes (vindecate și tratamente încheiate); Numitor: Numărul total de cazuri înregistrate pentru tratament DOTS Plus într-o anumită perioadă</t>
  </si>
  <si>
    <t xml:space="preserve">Indicator de rezultat 1. Rata succesului tratamentului pacienților cu TB-MDR </t>
  </si>
  <si>
    <t xml:space="preserve">Colectat trimestrial și anual </t>
  </si>
  <si>
    <t>Indicator de rezultat 2. Prevalența TB-MDR printre cazurile noi TB</t>
  </si>
  <si>
    <t xml:space="preserve">Indicator de rezultat 3. Prevalența TB-MDR printre cazurile TB anterior tratate </t>
  </si>
  <si>
    <t xml:space="preserve">Numărător: Numărul cazurilor noi TB cu cultura pozitivă, testate la DST pentru preparatele de linia I, diagnosticate cu MDR; Numitor: Numărul total de cazuri noi TB cu cultura pozitivă, testate la DST pentru preparatele de linia I, într-un an </t>
  </si>
  <si>
    <t>Numărător: Numărul cazurilor TB cu cultura pozitivă, anterior tratate, testate la DST pentru preparatele de linia I, diagnosticate cu MDR; Numitor: Numărul total de cazuri TB cu cultura pozitivă, anterior tratate, testate la DST pentru preparatele de linia I, într-un an</t>
  </si>
  <si>
    <t xml:space="preserve">1.1 Numărul pacienţilor cu tuberculoză multirezistentă (confirmată în baza testului de laborator) care beneficiază de tratamentul DOTS Plus             </t>
  </si>
  <si>
    <t xml:space="preserve">1.2 Rezultatul interimar al tratamentului cazurilor MDR-TB, rata interimară a succesului  </t>
  </si>
  <si>
    <t>Numărător: Numărul pacienţilor cu test de cultură negativ, după 6 luni de tratament DOTS-Plus; Numitor: Numărul total al pacienţilor cu tuberculoză multirezistentă (confirmată în baza testului de laborator), incluși în tratamentul DOTS Plus într-o perioadă anumită</t>
  </si>
  <si>
    <t>1.3 Rezultatul interimar de abandon al tratamentului cazurilor MDR-TB</t>
  </si>
  <si>
    <t>Numărător: Numărul pacienţilor cu TB-MDR care au întrerupt tratamentul după 6 luni de tratament DOTS-Plus; Numitor: Numărul total al pacienţilor cu tuberculoză multirezistentă (confirmată în baza testului de laborator), incluși în tratamentul DOTS Plus într-o perioadă anumită</t>
  </si>
  <si>
    <t>2.1 Procentul deținuților testați pentru TB, la echipamentul radiologic digital mobil MRP</t>
  </si>
  <si>
    <t>Y - nu este cumulativ</t>
  </si>
  <si>
    <t>Ministerul Justiției, Departamentul  Instituțiilor Penitenciare, rapoarte semestriale</t>
  </si>
  <si>
    <t xml:space="preserve">Numărător: Numărul deținuților testați pentru TB, la echipamentul radiologic digital mobil MRP într-o perioadă anumită; Numitor: Numărul total al deținuților eligibili pentru screening în sistemul penitenciar în perioada raportată </t>
  </si>
  <si>
    <t>Rezultat 2</t>
  </si>
  <si>
    <t xml:space="preserve">Numărul și procentul pacienţilor cu tuberculoză multirezistentă (confirmată în baza testului de laborator) tratați cu succes (care au urmat și terminat tratamentul), incluşi în tratamentul DOTS-Plus     </t>
  </si>
  <si>
    <t>Rezultat 1</t>
  </si>
  <si>
    <t>Rezultat 3</t>
  </si>
  <si>
    <t xml:space="preserve">Prevalența TB-MDR printre cazurile TB anterior tratate, % </t>
  </si>
  <si>
    <t xml:space="preserve">Numărul pacienţilor cu tuberculoză multirezistentă (confirmată în baza testului de laborator) care beneficiază de tratamentul DOTS Plus             </t>
  </si>
  <si>
    <t xml:space="preserve">Rezultatul interimar al tratamentului cazurilor MDR-TB, rata interimară a succesului  </t>
  </si>
  <si>
    <t>Rezultatul interimar de abandon al tratamentului cazurilor MDR-TB</t>
  </si>
  <si>
    <t>Definiție  (din M&amp;E Plan, Decembrie 2012)</t>
  </si>
  <si>
    <t xml:space="preserve">Formular de notificare a cazurilor MDR TB (090); Registrul cazurilor MDR TB (03MDR = registru categoria IV); Fișa de tratament a pacienților MDR TB (01); Registrul de laborator (04)
</t>
  </si>
  <si>
    <t>Procentul deținuților testați pentru TB, la echipamentul radiologic digital mobil MRP</t>
  </si>
  <si>
    <t>Faza 2</t>
  </si>
  <si>
    <t>Totae cele patru condiții precedente stipulate în Acordul de Grant au fost îndeplinite de către RP</t>
  </si>
  <si>
    <t>Nu sunt posturi libere în cadrul echipei ce gestionează Grantul Consolidat TB</t>
  </si>
  <si>
    <t>În perioada doi de implementare a Grantului Consolidat IP UCIMP RSS nu are aranjamentele contractuale cu SR pentru realizarea activităților în perioada raportată</t>
  </si>
  <si>
    <t xml:space="preserve">Fondul Global a debursat în avans intreaga sumă a grantului </t>
  </si>
  <si>
    <t>RP are angajamente financiare semnate în volum de aprx. 7,5 mii EUR pentru achitarea costurilor de mentinere a echipamentelor HAIN din Laboratoarele de Referinţă.</t>
  </si>
  <si>
    <t>Analiza stocului (la data de 30 iunie 2014) a medicamentelor de linia a II, a numărului de pacienți în tratament la aceeași dată, precum si a livrarilor planificate arata prezența unui stock buffer între 5 și 20 de luni ce previne riscul lipsei de preparate.</t>
  </si>
  <si>
    <t>RP are angajamente financiare în volum de aprx. 9,4 mii EUR pentru achitarea costurilor de mentinere a echipamentului HAIN din Laboratoarele de Referinţă; și salariile restante pentru o lună a personalului de la Depozitul IFP şi şoferilor pentru transportarea sputei.</t>
  </si>
  <si>
    <t>În perioada raportată activităţile implementate în cadrul celor două obiective -  1: Fortificarea implicării comunității și a parteneriatelor pentru un control eficient al TB prin ameliorarea diagnosticului de TB prin identificare și screening activ (ameliorarea diagnosticului TB în sectorul penitenciar prin suportul efectuării screening-ului deținuților la TB) și 2: Asigurarea accesului universal la diagnosticul şi tratamentul cazurilor de TB drogrezistentă, au facut posibile obţinerea unor economii în suma totala de 350,88 mii EUR (244,55 mii EUR economii din bugetul perioadei 2 de implementare si 106,33 mii EUR dobînda bancara şi rambursări de la SR).  Utilizarea economiilor a fost discutată la sedinţa CNC şi aprobată de către acesta şi de către Secretaritul FG pentru procurarea cantităţilor adiţionale de medicamente antituberculoase de linia a doua pentru un număr suplimentar de 90 pacienţi cu TB-MDR (pentru semestrul I.2015).</t>
  </si>
  <si>
    <t xml:space="preserve">Date finale pentru anul 2013:  456 persoane au decedat din cauza TB, toate formele.                                                                                                                                  Notă: Se constată descreșterea ratei de decese cauzate de TB pe parcursul ultimilor ani.  Astfel, rata mortalității în 2013 s-a micșorat cu 30,4% față de anul 2010 (16,10 la 100 mii) și cu 22,2% față de anul 2012 (14,4 la 100 mii). Rezultatul actual este mai bun decît ţinta prestabilită în acordul de Grant pentru perioada raportată (11,6 la 100 mii) şi faţă de estimarea  OMS pentru acest indicator (18,0 la 100 mii).          </t>
  </si>
  <si>
    <t xml:space="preserve">Date finale pentru anul 2013:  456 persoane au decedat din cauza TB, toate formele.                                                                                                                                                      Notă: Se constată descreșterea ratei de decese cauzate de TB pe parcursul ultimilor ani.  Astfel, rata mortalității în 2013 s-a micșorat cu 30,4% față de anul 2010 (16,10 la 100 mii) și cu 22,2% față de anul 2012 (14,4 la 100 mii). Rezultatul actual este mai bun decît ţinta prestabilită în acordul de Grant pentru perioada raportată (11,6 la 100 mii) şi faţă de estimarea  OMS pentru acest indicator (18,0 la 100 mii).                                                                                                                                                                Notă 2: Ținta a fost atinsă.                                                                                                                                                                    </t>
  </si>
  <si>
    <t xml:space="preserve">Date finale pentru cohorta MDR-TB a anului 2010: 391 cazuri confirmate de TB MDR au fost tratate cu succes (vindecate și tratamente încheiate), din 793 înregistrate sub DOTS Plus în 2010.                                                                                               Notă 1: Rata de succes terapeutic în rândul pacienţilor TB-MDR incluşi în tratamentul DOTS-Plus în 2010,  a constituit 49,3%, fiind ceva mai joasă decât rata succesului a cohortei anului 2009 (51,5%), precum şi comparativ cu ținta prestabilită în  Acordul de grant de 60,0% pentru perioada raportată. Nivelul jos al ratei succesului a fost influenţat de către 10,3% eşecuri, 27,4 % abandonuri şi 12,7% decese.                                                                                                  Notă 2: Totodată, se constată că suportul social al pacienţilor cu TB MDR aflaţi în tratament ambulator realizat de către CNAM şi Grantul FG (RP - Centrul PAS), implicarea ONG în activităţi de control al TB, dar şi dezvoltarea reţelei de Centre Comunitare au asigurat tendinţe pozitive în evoluţia ratei succesului tratamentului pacienţilor, atît cu TB sensibilă, cît şi cu cea rezistentă. Astfel, datele preliminare pentru cohorta MDR-TB 2011, constată o creștere ușoară a ratei succesului în 2011 comparativ cu 2010 - 54,3%, reducerea ratei de abandon (23,1%) şi a eşecurilor (9,5%). Datele tratamentului interimar (rata de succes şi de abandon) sunt mult mai sugestive pentru cohorta anului 2012 şi cea din I semestru 2013, prezentate în cadrul indicatorilor de proces, mai jos.     </t>
  </si>
  <si>
    <t xml:space="preserve">Date finale pentru cohorta MDR-TB a anului 2010: 391 cazuri confirmate de TB MDR au fost tratate cu succes (vindecate și tratamente încheiate), din 793 înregistrate sub DOTS Plus în 2010.                                                                                               Notă 1: Rata de succes terapeutic în rândul pacienţilor TB-MDR incluşi în tratamentul DOTS-Plus în 2010,  a constituit 49,3%, fiind ceva mai joasă decât rata succesului a cohortei anului 2009 (51,5%), precum şi comparativ cu ținta prestabilită în  Acordul de grant de 60,0% pentru perioada raportată. Nivelul jos al ratei succesului a fost influenţat de către 10,3% eşecuri, 27,4 % abandonuri şi 12,7% decese.                                                                                                  Notă 2: Totodată, se constată că suportul social al pacienţilor cu TB MDR aflaţi în tratament ambulator realizat de către CNAM şi Grantul FG (RP - Centrul PAS), implicarea ONG în activităţi de control al TB, dar şi dezvoltarea reţelei de Centre Comunitare au asigurat tendinţe pozitive în evoluţia ratei succesului tratamentului pacienţilor, atît cu TB sensibilă, cît şi cu cea rezistentă. Astfel, datele preliminare pentru cohorta MDR-TB 2011, constată o creștere ușoară a ratei succesului în 2011 comparativ cu 2010 - 54,3%, reducerea ratei de abandon (23,1%) şi a eşecurilor (9,5%). Datele tratamentului interimar (rata de succes şi de abandon) sunt mult mai sugestive pentru cohorta anului 2012 şi cea din I semestru 2013, prezentate în cadrul indicatorilor de proces, mai jos.                                                                                                             </t>
  </si>
  <si>
    <t xml:space="preserve">Date finale pentru anul 2013: 411 cazuri noi TB cu cultura pozitivă, testate la DST pentru preparatele de linia I, din 1,610 investigate în 2013, au fost diagnosticate cu MDR (25,5%).                                                                                                                                        Notă. Comparativ cu datele pentru anul 2012 de 23,7% de TB-MDR printre cazurile noi, se constată o creştere a datelor indicatorului cu 7,6%. Totodată, nu a fost atinsă şi ţinta indicatorului de 22,0% stipulată în Acordul de Grant. Nivelul înalt al rezistenţei diagnosticate poate fi explicat prin răspîndirea rezistenţei la medicamentele antituberculoase în populaţie pe parcursul ultimilor 10 ani şi de ameliorarea diagnosticării acesteia prin întroducerea metodelor moderne rapide de diagnostic. </t>
  </si>
  <si>
    <t xml:space="preserve">Date finale pentru anul 2013: 630 cazuri TB cu cultura pozitivă, anterior tratate, testate la DST pentru preparatele de linia I, din 1,010 investigate în 2013, au fost diagnosticate cu MDR (62,4%).                                                                                                                                                                       Notă. Comparativ cu datele pentru anul 2012 de 62,76% de TB-MDR printre cazurile anterior tratate de TB, se constată că nivelul indicatorului rămîne constant. Nivelul înalt al rezistenţei diagnosticate poate fi explicat prin răspîndirea rezistenţei la medicamentele antituberculoase în populaţie pe parcursul ultimilor 10 ani şi de ameliorarea diagnosticării acesteia prin întroducerea metodelor moderne rapide de diagnostic.      </t>
  </si>
  <si>
    <t xml:space="preserve">Pe parcursul Q1.2014 - 251 și Q2.2014 - 213 pacienți TB-MDR au fost incluși în tratamentul DOTS Plus comparativ cu 330 preconizați pentru semestrul I, 2014.                                                                                                                                                                   Nota: În perioada raportată, a fost implementată practica anterioară de includere în tratamentul DOTS-Plus a unui număr mai mare de pacienți, astfel, înlocuindu-se cazurile de eșec, deces sau abandon înregistrate imediat după inițierea administrării medicamentelor, atunci cînd medicamentele în cauză rămîn a fi încă disponibile.       </t>
  </si>
  <si>
    <t>În perioada raportată, 3,880 deținuți au fost testați  pentru TB la echipamentul radiologic digital mobil MRP, din 3,916 deținuti care necesitau această examinare. Ţinta indicatorului a fost depăţită cu 4,3%.</t>
  </si>
  <si>
    <t xml:space="preserve">Conform aranjamentelor de raportare pentru anul 2014, nu va fi prezentat un raport de progres standard către Secretariatul FG pentru semestrul I.2014. Actualizarea atingerii ţintelor pentru indicatorii de impact, rezultat şi pentru trei indicatori de proces; dar şi prezentarea informaţiei despre sursele financiare disponibile la data de 30 iunie 2014 a fost efectuată la 20 august 2014. </t>
  </si>
  <si>
    <t>170 pacienți din 227 incluși în tratamentul DOTS Plus în trimestrul I, 2013 și 182 pacienți din 226 incluși în tratamentul DOTS Plus în trimestrul II, 2013, au obținut un test de cultură negativ, după 6 luni de tratament DOTS Plus.                                                                                                                        Notă: Rezultatul acestui indicator depăşeşte ținta preconizată pentru această perioadă cu 14,1%. Deasemenea comparativ cu datele pentru cohorta anului 2012, se constată o creştere a ratei interimare de succes a tratamentului cu 12,7% (68,96%)</t>
  </si>
  <si>
    <t>16 pacienți din 227 incluși în tratamentul DOTS Plus în trimestrul I, 2013 și 15 pacienți din 226 incluși în tratamentul DOTS Plus în trimestrul II, 2013, au abandonat tratamentul după 6 luni de tratament DOTS Plus.                                                                                                                          Notă: Rezultatul interimar de abandon al tratamentului cazurilor MDR-TB este mai bun  în comparație cu ținta stabilită pentru această perioadă - cu 9,3%.  Totodată se constată şi reducerea ratei de abandon a tratamentului DOTS Plus cu 9,3% faţă de  rata cohortei anului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</si>
</sst>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s>
  <fonts count="133">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7"/>
      <color indexed="23"/>
      <name val="Verdana"/>
      <family val="2"/>
    </font>
    <font>
      <sz val="10"/>
      <name val="Micro Bar Charts 1.1"/>
    </font>
    <font>
      <sz val="9"/>
      <name val="Tahoma"/>
      <family val="2"/>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9"/>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0"/>
      <name val="Arial"/>
      <family val="2"/>
    </font>
    <font>
      <b/>
      <sz val="12"/>
      <color indexed="56"/>
      <name val="Tahoma"/>
      <family val="2"/>
    </font>
    <font>
      <b/>
      <sz val="10"/>
      <name val="Verdana"/>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0"/>
      <color theme="1"/>
      <name val="Calibri"/>
      <family val="2"/>
      <charset val="204"/>
      <scheme val="minor"/>
    </font>
    <font>
      <sz val="11"/>
      <color rgb="FF7030A0"/>
      <name val="Calibri"/>
      <family val="2"/>
    </font>
    <font>
      <sz val="11"/>
      <color theme="1"/>
      <name val="Calibri"/>
      <family val="2"/>
    </font>
    <font>
      <sz val="22"/>
      <color theme="0"/>
      <name val="Calibri"/>
      <family val="2"/>
      <charset val="204"/>
    </font>
    <font>
      <sz val="14"/>
      <color theme="0"/>
      <name val="Calibri"/>
      <family val="2"/>
    </font>
    <font>
      <i/>
      <sz val="11"/>
      <name val="Calibri"/>
      <family val="2"/>
    </font>
    <font>
      <b/>
      <sz val="10"/>
      <name val="Arial"/>
      <family val="2"/>
      <charset val="204"/>
    </font>
    <font>
      <sz val="7.7"/>
      <name val="Calibri"/>
      <family val="2"/>
    </font>
    <font>
      <sz val="7.7"/>
      <name val="Calibri"/>
      <family val="2"/>
      <scheme val="minor"/>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65"/>
        <bgColor indexed="52"/>
      </patternFill>
    </fill>
    <fill>
      <patternFill patternType="solid">
        <fgColor indexed="65"/>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s>
  <borders count="239">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51"/>
      </left>
      <right style="medium">
        <color indexed="51"/>
      </right>
      <top style="medium">
        <color indexed="51"/>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style="thin">
        <color indexed="64"/>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right style="medium">
        <color indexed="51"/>
      </right>
      <top/>
      <bottom/>
      <diagonal/>
    </border>
    <border>
      <left style="medium">
        <color indexed="51"/>
      </left>
      <right style="thin">
        <color indexed="64"/>
      </right>
      <top style="thin">
        <color indexed="64"/>
      </top>
      <bottom style="medium">
        <color indexed="51"/>
      </bottom>
      <diagonal/>
    </border>
    <border>
      <left style="thin">
        <color indexed="64"/>
      </left>
      <right/>
      <top style="thin">
        <color indexed="64"/>
      </top>
      <bottom style="medium">
        <color indexed="5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9"/>
      </left>
      <right/>
      <top/>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style="medium">
        <color indexed="51"/>
      </left>
      <right/>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bottom style="dotted">
        <color indexed="51"/>
      </bottom>
      <diagonal/>
    </border>
    <border>
      <left/>
      <right/>
      <top/>
      <bottom style="dotted">
        <color indexed="51"/>
      </bottom>
      <diagonal/>
    </border>
    <border>
      <left/>
      <right style="medium">
        <color indexed="51"/>
      </right>
      <top/>
      <bottom style="dotted">
        <color indexed="51"/>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11"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11" fillId="0" borderId="0"/>
    <xf numFmtId="164" fontId="111" fillId="0" borderId="0"/>
    <xf numFmtId="164" fontId="111" fillId="0" borderId="0"/>
    <xf numFmtId="164" fontId="111" fillId="0" borderId="0"/>
    <xf numFmtId="170" fontId="49" fillId="0" borderId="0"/>
    <xf numFmtId="9" fontId="3" fillId="0" borderId="0" applyFont="0" applyFill="0" applyBorder="0" applyAlignment="0" applyProtection="0"/>
    <xf numFmtId="164" fontId="111"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11" fillId="0" borderId="1" applyNumberFormat="0" applyFill="0" applyAlignment="0" applyProtection="0"/>
  </cellStyleXfs>
  <cellXfs count="1026">
    <xf numFmtId="170" fontId="0" fillId="0" borderId="0" xfId="0"/>
    <xf numFmtId="164" fontId="9" fillId="0" borderId="0" xfId="4" applyFont="1" applyFill="1" applyAlignment="1">
      <alignment vertical="center"/>
    </xf>
    <xf numFmtId="170" fontId="0" fillId="0" borderId="0" xfId="0" applyBorder="1" applyProtection="1"/>
    <xf numFmtId="170" fontId="0" fillId="0" borderId="0" xfId="0" applyProtection="1"/>
    <xf numFmtId="164" fontId="15" fillId="0" borderId="0" xfId="4" applyFont="1" applyFill="1" applyAlignment="1" applyProtection="1">
      <alignment vertical="center"/>
    </xf>
    <xf numFmtId="170" fontId="14" fillId="0" borderId="0" xfId="0" applyFont="1" applyProtection="1"/>
    <xf numFmtId="164" fontId="12" fillId="0" borderId="0" xfId="15" applyFont="1" applyFill="1" applyAlignment="1" applyProtection="1"/>
    <xf numFmtId="164" fontId="12" fillId="0" borderId="0" xfId="15" applyFont="1" applyFill="1" applyAlignment="1" applyProtection="1">
      <alignment horizontal="center"/>
    </xf>
    <xf numFmtId="164" fontId="12" fillId="0" borderId="0" xfId="15" applyFont="1" applyFill="1" applyAlignment="1" applyProtection="1">
      <alignment horizontal="right"/>
    </xf>
    <xf numFmtId="164" fontId="12" fillId="0" borderId="0" xfId="15" applyFont="1" applyFill="1" applyBorder="1" applyAlignment="1" applyProtection="1">
      <alignment horizontal="center"/>
    </xf>
    <xf numFmtId="164" fontId="111" fillId="0" borderId="0" xfId="14" applyProtection="1"/>
    <xf numFmtId="164" fontId="8" fillId="0" borderId="0" xfId="14" applyFont="1" applyProtection="1"/>
    <xf numFmtId="170" fontId="11" fillId="0" borderId="0" xfId="14" applyNumberFormat="1" applyFont="1" applyBorder="1" applyProtection="1"/>
    <xf numFmtId="164" fontId="111" fillId="0" borderId="0" xfId="16" applyProtection="1"/>
    <xf numFmtId="164" fontId="111" fillId="0" borderId="0" xfId="16" applyFill="1" applyBorder="1" applyAlignment="1" applyProtection="1">
      <alignment horizontal="left"/>
    </xf>
    <xf numFmtId="170" fontId="0" fillId="0" borderId="0" xfId="0" applyFill="1" applyBorder="1" applyProtection="1"/>
    <xf numFmtId="164" fontId="111" fillId="0" borderId="0" xfId="16" applyFill="1" applyBorder="1" applyProtection="1"/>
    <xf numFmtId="170" fontId="8" fillId="0" borderId="0" xfId="0" applyFont="1" applyProtection="1"/>
    <xf numFmtId="164" fontId="8" fillId="0" borderId="0" xfId="16" applyFont="1" applyProtection="1"/>
    <xf numFmtId="170" fontId="0" fillId="0" borderId="0" xfId="0" applyBorder="1"/>
    <xf numFmtId="170" fontId="0" fillId="0" borderId="0" xfId="0" applyFill="1" applyBorder="1"/>
    <xf numFmtId="15" fontId="22" fillId="0" borderId="0" xfId="0" applyNumberFormat="1" applyFont="1" applyFill="1" applyBorder="1" applyAlignment="1" applyProtection="1">
      <alignment horizontal="center" vertical="center" wrapText="1"/>
      <protection locked="0"/>
    </xf>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64" fontId="9" fillId="0" borderId="0" xfId="13" applyFont="1" applyFill="1" applyAlignment="1">
      <alignment vertical="center"/>
    </xf>
    <xf numFmtId="170" fontId="0" fillId="0" borderId="2" xfId="0" applyBorder="1" applyAlignment="1">
      <alignment horizontal="center"/>
    </xf>
    <xf numFmtId="170" fontId="7" fillId="0" borderId="0" xfId="0" applyFont="1" applyBorder="1" applyAlignment="1">
      <alignment horizontal="center"/>
    </xf>
    <xf numFmtId="170" fontId="1" fillId="0" borderId="0" xfId="0" applyFont="1" applyBorder="1" applyAlignment="1"/>
    <xf numFmtId="170" fontId="1" fillId="0" borderId="0" xfId="0" applyFont="1" applyFill="1" applyBorder="1" applyAlignment="1"/>
    <xf numFmtId="170" fontId="34" fillId="0" borderId="0" xfId="0" applyFont="1"/>
    <xf numFmtId="170" fontId="34" fillId="0" borderId="0" xfId="0" applyFont="1" applyAlignment="1">
      <alignment horizontal="right"/>
    </xf>
    <xf numFmtId="170" fontId="34" fillId="0" borderId="0" xfId="0" applyFont="1" applyBorder="1"/>
    <xf numFmtId="170" fontId="37" fillId="0" borderId="0" xfId="0" applyFont="1"/>
    <xf numFmtId="170" fontId="34" fillId="0" borderId="0" xfId="0" applyNumberFormat="1" applyFont="1" applyBorder="1"/>
    <xf numFmtId="170" fontId="0" fillId="0" borderId="0" xfId="0" applyFill="1"/>
    <xf numFmtId="10" fontId="4" fillId="0" borderId="0" xfId="19" applyNumberFormat="1" applyFont="1" applyFill="1" applyBorder="1" applyAlignment="1">
      <alignment horizontal="center"/>
    </xf>
    <xf numFmtId="10" fontId="4" fillId="0" borderId="0" xfId="19" applyNumberFormat="1" applyFont="1" applyFill="1" applyBorder="1" applyAlignment="1" applyProtection="1">
      <alignment horizontal="center"/>
      <protection locked="0"/>
    </xf>
    <xf numFmtId="164" fontId="21" fillId="0" borderId="0" xfId="0" applyNumberFormat="1" applyFont="1" applyFill="1" applyBorder="1" applyAlignment="1"/>
    <xf numFmtId="164" fontId="111" fillId="0" borderId="0" xfId="23" applyFill="1" applyBorder="1" applyAlignment="1" applyProtection="1">
      <alignment vertical="center"/>
      <protection locked="0"/>
    </xf>
    <xf numFmtId="165" fontId="25" fillId="0" borderId="0" xfId="0" applyNumberFormat="1" applyFont="1" applyFill="1" applyBorder="1" applyAlignment="1">
      <alignment horizontal="center"/>
    </xf>
    <xf numFmtId="170" fontId="19" fillId="0" borderId="0" xfId="0" applyFont="1" applyFill="1" applyBorder="1" applyAlignment="1">
      <alignment horizontal="centerContinuous"/>
    </xf>
    <xf numFmtId="170" fontId="0" fillId="0" borderId="0" xfId="0" applyFill="1" applyBorder="1" applyAlignment="1">
      <alignment horizontal="centerContinuous"/>
    </xf>
    <xf numFmtId="164" fontId="32" fillId="0" borderId="0" xfId="23" applyFont="1" applyFill="1" applyBorder="1" applyAlignment="1" applyProtection="1">
      <alignment vertical="center"/>
      <protection locked="0"/>
    </xf>
    <xf numFmtId="170" fontId="0" fillId="0" borderId="2" xfId="0" applyBorder="1"/>
    <xf numFmtId="170" fontId="0" fillId="0" borderId="0" xfId="0" applyFill="1" applyBorder="1" applyAlignment="1">
      <alignment horizontal="center"/>
    </xf>
    <xf numFmtId="22" fontId="0" fillId="0" borderId="0" xfId="0" applyNumberFormat="1"/>
    <xf numFmtId="2" fontId="0" fillId="0" borderId="0" xfId="0" applyNumberFormat="1" applyFill="1"/>
    <xf numFmtId="2" fontId="111" fillId="0" borderId="0" xfId="20" applyNumberFormat="1" applyFill="1" applyBorder="1" applyAlignment="1" applyProtection="1">
      <alignment horizontal="center"/>
      <protection locked="0"/>
    </xf>
    <xf numFmtId="170" fontId="8" fillId="0" borderId="0" xfId="0" applyFont="1" applyFill="1" applyBorder="1" applyAlignment="1" applyProtection="1">
      <alignment horizontal="center"/>
    </xf>
    <xf numFmtId="170" fontId="16" fillId="0" borderId="0" xfId="0" applyFont="1" applyFill="1" applyAlignment="1" applyProtection="1"/>
    <xf numFmtId="170" fontId="8" fillId="0" borderId="0" xfId="0" applyFont="1" applyAlignment="1" applyProtection="1">
      <alignment horizontal="left" indent="1"/>
    </xf>
    <xf numFmtId="170" fontId="11" fillId="0" borderId="0" xfId="0" applyFont="1" applyAlignment="1" applyProtection="1">
      <alignment horizontal="left" indent="1"/>
    </xf>
    <xf numFmtId="170" fontId="8" fillId="0" borderId="0" xfId="0" applyFont="1" applyFill="1" applyBorder="1" applyProtection="1"/>
    <xf numFmtId="164" fontId="51" fillId="0" borderId="0" xfId="14" applyFont="1" applyProtection="1"/>
    <xf numFmtId="164" fontId="51" fillId="0" borderId="0" xfId="16" applyFont="1" applyProtection="1"/>
    <xf numFmtId="170" fontId="51" fillId="0" borderId="2" xfId="0" applyFont="1" applyFill="1" applyBorder="1" applyAlignment="1" applyProtection="1">
      <alignment horizontal="center"/>
    </xf>
    <xf numFmtId="170" fontId="51" fillId="0" borderId="2" xfId="0" applyFont="1" applyFill="1" applyBorder="1" applyProtection="1"/>
    <xf numFmtId="164" fontId="51" fillId="0" borderId="2" xfId="16" applyFont="1" applyBorder="1" applyProtection="1"/>
    <xf numFmtId="170" fontId="52" fillId="0" borderId="2" xfId="0" applyFont="1" applyBorder="1" applyAlignment="1" applyProtection="1">
      <alignment horizontal="left" indent="1"/>
    </xf>
    <xf numFmtId="170" fontId="53" fillId="0" borderId="2" xfId="0" applyFont="1" applyBorder="1"/>
    <xf numFmtId="170" fontId="54" fillId="2" borderId="2" xfId="0" applyFont="1" applyFill="1" applyBorder="1" applyAlignment="1" applyProtection="1">
      <alignment horizontal="center"/>
    </xf>
    <xf numFmtId="170" fontId="54" fillId="2" borderId="2" xfId="0" applyFont="1" applyFill="1" applyBorder="1" applyAlignment="1">
      <alignment horizontal="center"/>
    </xf>
    <xf numFmtId="170" fontId="14" fillId="0" borderId="0" xfId="0" applyFont="1"/>
    <xf numFmtId="3" fontId="8" fillId="3" borderId="3" xfId="0" applyNumberFormat="1" applyFont="1" applyFill="1" applyBorder="1" applyAlignment="1">
      <alignment horizontal="right"/>
    </xf>
    <xf numFmtId="3" fontId="8" fillId="3" borderId="3" xfId="1" applyNumberFormat="1" applyFont="1" applyFill="1" applyBorder="1"/>
    <xf numFmtId="9" fontId="8" fillId="3" borderId="3" xfId="19" applyFont="1" applyFill="1" applyBorder="1"/>
    <xf numFmtId="9" fontId="8" fillId="3" borderId="3" xfId="19" applyNumberFormat="1" applyFont="1" applyFill="1" applyBorder="1"/>
    <xf numFmtId="170" fontId="8" fillId="3" borderId="3" xfId="0" applyFont="1" applyFill="1" applyBorder="1"/>
    <xf numFmtId="9" fontId="8" fillId="3" borderId="3" xfId="19" applyFont="1" applyFill="1" applyBorder="1" applyAlignment="1">
      <alignment horizontal="center"/>
    </xf>
    <xf numFmtId="170" fontId="8" fillId="0" borderId="0" xfId="0" applyFont="1"/>
    <xf numFmtId="170" fontId="26" fillId="0" borderId="0" xfId="0" applyFont="1" applyAlignment="1">
      <alignment horizontal="center"/>
    </xf>
    <xf numFmtId="164" fontId="45" fillId="0" borderId="0" xfId="13" applyFont="1" applyFill="1" applyAlignment="1">
      <alignment vertical="center"/>
    </xf>
    <xf numFmtId="170" fontId="7" fillId="0" borderId="0" xfId="0" applyFont="1"/>
    <xf numFmtId="170" fontId="37" fillId="0" borderId="0" xfId="0" applyFont="1" applyFill="1"/>
    <xf numFmtId="170" fontId="58" fillId="2" borderId="4" xfId="0" applyFont="1" applyFill="1" applyBorder="1" applyAlignment="1">
      <alignment vertical="center"/>
    </xf>
    <xf numFmtId="170" fontId="56" fillId="0" borderId="0" xfId="18" applyNumberFormat="1" applyFont="1" applyFill="1" applyBorder="1" applyAlignment="1">
      <alignment horizontal="center" vertical="center" wrapText="1"/>
    </xf>
    <xf numFmtId="170" fontId="56" fillId="4" borderId="5" xfId="18"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 fontId="60" fillId="3" borderId="0" xfId="0" applyNumberFormat="1" applyFont="1" applyFill="1" applyBorder="1" applyAlignment="1">
      <alignment horizontal="center"/>
    </xf>
    <xf numFmtId="170" fontId="60" fillId="0" borderId="0" xfId="0" applyFont="1" applyFill="1" applyBorder="1" applyAlignment="1" applyProtection="1">
      <alignment horizontal="left"/>
    </xf>
    <xf numFmtId="170" fontId="61" fillId="0" borderId="0" xfId="0" applyFont="1"/>
    <xf numFmtId="164" fontId="32" fillId="0" borderId="0" xfId="23" applyFont="1" applyFill="1" applyBorder="1" applyAlignment="1" applyProtection="1">
      <alignment horizontal="center" vertical="center"/>
      <protection locked="0"/>
    </xf>
    <xf numFmtId="15" fontId="0" fillId="0" borderId="0" xfId="0" applyNumberFormat="1"/>
    <xf numFmtId="170" fontId="0" fillId="0" borderId="2" xfId="0" quotePrefix="1" applyNumberFormat="1" applyBorder="1"/>
    <xf numFmtId="164" fontId="24" fillId="0" borderId="6" xfId="23" applyFont="1" applyBorder="1" applyAlignment="1" applyProtection="1"/>
    <xf numFmtId="164" fontId="111"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11"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70" fontId="25" fillId="0" borderId="9" xfId="0" applyFont="1" applyBorder="1" applyAlignment="1" applyProtection="1">
      <alignment horizontal="center"/>
    </xf>
    <xf numFmtId="166"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70" fontId="4" fillId="0" borderId="0" xfId="0" applyFont="1" applyFill="1" applyBorder="1" applyAlignment="1" applyProtection="1"/>
    <xf numFmtId="170" fontId="19" fillId="0" borderId="0" xfId="0" applyFont="1" applyFill="1" applyBorder="1" applyAlignment="1" applyProtection="1">
      <alignment horizontal="centerContinuous" wrapText="1"/>
    </xf>
    <xf numFmtId="170" fontId="19" fillId="0" borderId="0" xfId="0" applyFont="1" applyFill="1" applyBorder="1" applyAlignment="1" applyProtection="1">
      <alignment horizontal="centerContinuous"/>
    </xf>
    <xf numFmtId="170" fontId="0" fillId="0" borderId="0" xfId="0" applyFill="1" applyBorder="1" applyAlignment="1" applyProtection="1">
      <alignment horizontal="centerContinuous"/>
    </xf>
    <xf numFmtId="15" fontId="19" fillId="0" borderId="10" xfId="0" applyNumberFormat="1" applyFont="1" applyFill="1" applyBorder="1" applyAlignment="1" applyProtection="1"/>
    <xf numFmtId="170" fontId="19" fillId="0" borderId="10" xfId="0" applyFont="1" applyFill="1" applyBorder="1" applyProtection="1"/>
    <xf numFmtId="170" fontId="19" fillId="0" borderId="11" xfId="0" applyFont="1" applyFill="1" applyBorder="1" applyProtection="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Border="1" applyAlignment="1" applyProtection="1">
      <alignment horizontal="center"/>
    </xf>
    <xf numFmtId="170" fontId="7" fillId="0" borderId="13" xfId="0" applyFont="1" applyBorder="1" applyAlignment="1" applyProtection="1">
      <alignment horizontal="center"/>
    </xf>
    <xf numFmtId="170" fontId="7" fillId="0" borderId="13" xfId="0" applyFont="1" applyBorder="1" applyAlignment="1" applyProtection="1">
      <alignment horizontal="center" wrapText="1"/>
    </xf>
    <xf numFmtId="170" fontId="7" fillId="0" borderId="14" xfId="0" applyFont="1" applyBorder="1" applyAlignment="1" applyProtection="1">
      <alignment horizontal="center"/>
    </xf>
    <xf numFmtId="170" fontId="7" fillId="0" borderId="15" xfId="0" applyFont="1" applyBorder="1" applyAlignment="1" applyProtection="1">
      <alignment horizontal="center"/>
    </xf>
    <xf numFmtId="170"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70" fontId="0" fillId="0" borderId="18" xfId="0" applyBorder="1" applyProtection="1"/>
    <xf numFmtId="170" fontId="0" fillId="0" borderId="14" xfId="0" applyBorder="1" applyAlignment="1" applyProtection="1">
      <alignment horizontal="center"/>
    </xf>
    <xf numFmtId="170" fontId="0" fillId="0" borderId="16" xfId="0" applyBorder="1" applyAlignment="1" applyProtection="1">
      <alignment horizontal="center"/>
    </xf>
    <xf numFmtId="170" fontId="25" fillId="0" borderId="13" xfId="0" applyFont="1" applyBorder="1" applyAlignment="1" applyProtection="1">
      <alignment horizontal="center"/>
    </xf>
    <xf numFmtId="170" fontId="25" fillId="0" borderId="14" xfId="0" applyFont="1" applyBorder="1" applyAlignment="1" applyProtection="1">
      <alignment horizontal="center"/>
    </xf>
    <xf numFmtId="170" fontId="0" fillId="0" borderId="0" xfId="0" applyFill="1" applyBorder="1" applyAlignment="1" applyProtection="1">
      <alignment horizontal="center" wrapText="1"/>
    </xf>
    <xf numFmtId="164" fontId="78" fillId="0" borderId="0" xfId="1" applyFont="1" applyFill="1" applyBorder="1" applyProtection="1"/>
    <xf numFmtId="164" fontId="0" fillId="0" borderId="0" xfId="0" applyNumberFormat="1" applyFill="1" applyBorder="1" applyProtection="1"/>
    <xf numFmtId="164" fontId="50" fillId="0" borderId="19" xfId="23" applyFont="1" applyFill="1" applyBorder="1" applyAlignment="1" applyProtection="1"/>
    <xf numFmtId="164" fontId="32" fillId="0" borderId="19" xfId="23" applyFont="1" applyFill="1" applyBorder="1" applyAlignment="1" applyProtection="1">
      <alignment vertical="center"/>
    </xf>
    <xf numFmtId="3" fontId="49" fillId="5" borderId="20" xfId="0" applyNumberFormat="1" applyFont="1" applyFill="1" applyBorder="1" applyAlignment="1" applyProtection="1">
      <alignment vertical="center"/>
      <protection locked="0"/>
    </xf>
    <xf numFmtId="164" fontId="21" fillId="0" borderId="0" xfId="0" applyNumberFormat="1" applyFont="1" applyAlignment="1" applyProtection="1">
      <alignment horizontal="right"/>
    </xf>
    <xf numFmtId="166" fontId="21" fillId="0" borderId="0" xfId="1" applyNumberFormat="1" applyFont="1" applyAlignment="1" applyProtection="1">
      <alignment horizontal="left"/>
    </xf>
    <xf numFmtId="15" fontId="21" fillId="0" borderId="0" xfId="0" applyNumberFormat="1" applyFont="1" applyAlignment="1" applyProtection="1">
      <alignment horizontal="left"/>
    </xf>
    <xf numFmtId="15" fontId="21" fillId="0" borderId="0" xfId="0" applyNumberFormat="1" applyFont="1" applyAlignment="1" applyProtection="1">
      <alignment horizontal="right"/>
    </xf>
    <xf numFmtId="164" fontId="21" fillId="0" borderId="0" xfId="0" applyNumberFormat="1" applyFont="1" applyProtection="1"/>
    <xf numFmtId="164" fontId="21" fillId="0" borderId="0" xfId="0" applyNumberFormat="1" applyFont="1" applyBorder="1" applyProtection="1"/>
    <xf numFmtId="164" fontId="21" fillId="0" borderId="0" xfId="0" applyNumberFormat="1" applyFont="1" applyBorder="1" applyAlignment="1" applyProtection="1">
      <alignment horizontal="right"/>
    </xf>
    <xf numFmtId="166" fontId="21" fillId="0" borderId="0" xfId="1" applyNumberFormat="1" applyFont="1" applyBorder="1" applyAlignment="1" applyProtection="1">
      <alignment horizontal="left"/>
    </xf>
    <xf numFmtId="170" fontId="12" fillId="0" borderId="0" xfId="0" applyFont="1" applyBorder="1" applyAlignment="1" applyProtection="1">
      <alignment horizontal="center"/>
    </xf>
    <xf numFmtId="170" fontId="12" fillId="0" borderId="0" xfId="0" applyFont="1" applyAlignment="1" applyProtection="1">
      <alignment horizontal="center"/>
    </xf>
    <xf numFmtId="170" fontId="27" fillId="0" borderId="2" xfId="0" applyFont="1" applyBorder="1" applyAlignment="1" applyProtection="1">
      <alignment horizontal="center" vertical="center" wrapText="1"/>
    </xf>
    <xf numFmtId="15" fontId="19" fillId="0" borderId="0" xfId="0" applyNumberFormat="1" applyFont="1" applyFill="1" applyBorder="1" applyAlignment="1" applyProtection="1"/>
    <xf numFmtId="15" fontId="19" fillId="0" borderId="0" xfId="0" applyNumberFormat="1" applyFont="1" applyFill="1" applyBorder="1" applyAlignment="1" applyProtection="1">
      <alignment horizontal="center" wrapText="1"/>
    </xf>
    <xf numFmtId="170" fontId="19" fillId="0" borderId="0" xfId="0" applyFont="1" applyFill="1" applyBorder="1" applyProtection="1"/>
    <xf numFmtId="170" fontId="0" fillId="0" borderId="0" xfId="0" applyFill="1" applyBorder="1" applyAlignment="1" applyProtection="1">
      <alignment horizontal="center"/>
    </xf>
    <xf numFmtId="170" fontId="19" fillId="0" borderId="0" xfId="0" applyFont="1" applyFill="1" applyBorder="1" applyAlignment="1" applyProtection="1"/>
    <xf numFmtId="170" fontId="0" fillId="0" borderId="14" xfId="0" applyBorder="1" applyAlignment="1" applyProtection="1">
      <alignment horizontal="center" wrapText="1"/>
    </xf>
    <xf numFmtId="170" fontId="34" fillId="0" borderId="0" xfId="0" applyFont="1" applyProtection="1"/>
    <xf numFmtId="170" fontId="34" fillId="0" borderId="0" xfId="0" applyFont="1" applyAlignment="1" applyProtection="1">
      <alignment horizontal="right"/>
    </xf>
    <xf numFmtId="170" fontId="34" fillId="0" borderId="0" xfId="0" applyFont="1" applyBorder="1" applyProtection="1"/>
    <xf numFmtId="170" fontId="36" fillId="0" borderId="0" xfId="0" applyFont="1" applyBorder="1" applyAlignment="1" applyProtection="1">
      <alignment horizontal="left" vertical="center"/>
    </xf>
    <xf numFmtId="170" fontId="36" fillId="0" borderId="0" xfId="0" applyFont="1" applyBorder="1" applyAlignment="1" applyProtection="1">
      <alignment horizontal="left"/>
    </xf>
    <xf numFmtId="167" fontId="36" fillId="0" borderId="0" xfId="0" applyNumberFormat="1" applyFont="1" applyBorder="1" applyAlignment="1" applyProtection="1">
      <alignment horizontal="left"/>
    </xf>
    <xf numFmtId="170" fontId="37" fillId="0" borderId="0" xfId="0" applyFont="1" applyProtection="1"/>
    <xf numFmtId="170" fontId="38" fillId="0" borderId="0" xfId="0" applyFont="1" applyFill="1" applyBorder="1" applyAlignment="1" applyProtection="1">
      <alignment horizontal="right"/>
    </xf>
    <xf numFmtId="3" fontId="42" fillId="0" borderId="0" xfId="0" applyNumberFormat="1" applyFont="1" applyFill="1" applyBorder="1" applyAlignment="1" applyProtection="1">
      <alignment horizontal="right" vertical="center"/>
    </xf>
    <xf numFmtId="170" fontId="39" fillId="3" borderId="0" xfId="0" applyNumberFormat="1" applyFont="1" applyFill="1" applyBorder="1" applyAlignment="1" applyProtection="1">
      <alignment horizontal="right"/>
    </xf>
    <xf numFmtId="170" fontId="41" fillId="3" borderId="0" xfId="0" applyFont="1" applyFill="1" applyBorder="1" applyAlignment="1" applyProtection="1">
      <alignment horizontal="center" vertical="center"/>
    </xf>
    <xf numFmtId="170" fontId="46" fillId="0" borderId="0" xfId="0" applyFont="1" applyFill="1" applyBorder="1" applyAlignment="1" applyProtection="1">
      <alignment horizontal="center"/>
    </xf>
    <xf numFmtId="170" fontId="39" fillId="0" borderId="0" xfId="0" applyNumberFormat="1" applyFont="1" applyFill="1" applyBorder="1" applyAlignment="1" applyProtection="1">
      <alignment horizontal="right"/>
    </xf>
    <xf numFmtId="9" fontId="40" fillId="0" borderId="0" xfId="0" applyNumberFormat="1" applyFont="1" applyFill="1" applyBorder="1" applyProtection="1"/>
    <xf numFmtId="170" fontId="27" fillId="0" borderId="23" xfId="0" applyNumberFormat="1" applyFont="1" applyFill="1" applyBorder="1" applyAlignment="1" applyProtection="1">
      <alignment vertical="center"/>
    </xf>
    <xf numFmtId="170" fontId="35" fillId="0" borderId="0" xfId="0" applyFont="1" applyProtection="1"/>
    <xf numFmtId="170" fontId="48" fillId="0" borderId="0" xfId="0" applyFont="1" applyProtection="1"/>
    <xf numFmtId="170" fontId="43" fillId="0" borderId="0" xfId="0" applyFont="1" applyProtection="1"/>
    <xf numFmtId="170" fontId="55" fillId="0" borderId="0" xfId="0" applyFont="1" applyBorder="1" applyAlignment="1" applyProtection="1">
      <alignment wrapText="1"/>
    </xf>
    <xf numFmtId="170" fontId="51" fillId="0" borderId="0" xfId="0" applyFont="1" applyFill="1" applyBorder="1" applyAlignment="1" applyProtection="1"/>
    <xf numFmtId="164" fontId="8" fillId="0" borderId="0" xfId="0" applyNumberFormat="1" applyFont="1"/>
    <xf numFmtId="170" fontId="21" fillId="0" borderId="0" xfId="0" applyNumberFormat="1" applyFont="1" applyAlignment="1" applyProtection="1">
      <alignment horizontal="center"/>
    </xf>
    <xf numFmtId="170" fontId="21" fillId="0" borderId="0" xfId="0" applyFont="1" applyAlignment="1" applyProtection="1">
      <alignment horizontal="center"/>
    </xf>
    <xf numFmtId="15" fontId="21"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0" fillId="0" borderId="0" xfId="0" applyNumberFormat="1" applyFont="1" applyBorder="1" applyProtection="1"/>
    <xf numFmtId="166" fontId="4" fillId="0" borderId="0" xfId="1" applyNumberFormat="1" applyFont="1" applyFill="1" applyBorder="1" applyAlignment="1" applyProtection="1">
      <protection locked="0"/>
    </xf>
    <xf numFmtId="166" fontId="4" fillId="0" borderId="0" xfId="1" applyNumberFormat="1" applyFont="1" applyFill="1" applyBorder="1" applyProtection="1">
      <protection locked="0"/>
    </xf>
    <xf numFmtId="170" fontId="0" fillId="0" borderId="0" xfId="0" applyBorder="1" applyAlignment="1">
      <alignment horizontal="center"/>
    </xf>
    <xf numFmtId="170" fontId="8" fillId="3" borderId="0" xfId="0" applyFont="1" applyFill="1"/>
    <xf numFmtId="165" fontId="8" fillId="3" borderId="0" xfId="0" applyNumberFormat="1" applyFont="1" applyFill="1"/>
    <xf numFmtId="166" fontId="8" fillId="3" borderId="0" xfId="0" applyNumberFormat="1" applyFont="1" applyFill="1"/>
    <xf numFmtId="3" fontId="8" fillId="3" borderId="0" xfId="0" applyNumberFormat="1" applyFont="1" applyFill="1" applyProtection="1"/>
    <xf numFmtId="165" fontId="8" fillId="3" borderId="0" xfId="0" applyNumberFormat="1" applyFont="1" applyFill="1" applyProtection="1"/>
    <xf numFmtId="170" fontId="27" fillId="0" borderId="0" xfId="0" applyFont="1" applyFill="1" applyAlignment="1" applyProtection="1">
      <alignment horizontal="left"/>
      <protection locked="0"/>
    </xf>
    <xf numFmtId="170" fontId="27" fillId="0" borderId="0" xfId="0" applyFont="1" applyFill="1" applyBorder="1" applyAlignment="1" applyProtection="1">
      <alignment horizontal="left"/>
      <protection locked="0"/>
    </xf>
    <xf numFmtId="170" fontId="21" fillId="0" borderId="0" xfId="0" applyFont="1" applyFill="1" applyBorder="1" applyAlignment="1">
      <alignment vertical="center" wrapText="1"/>
    </xf>
    <xf numFmtId="170" fontId="21" fillId="0" borderId="0" xfId="0" applyFont="1" applyFill="1" applyBorder="1" applyAlignment="1">
      <alignment horizontal="center"/>
    </xf>
    <xf numFmtId="170" fontId="0" fillId="3" borderId="0" xfId="0" applyFill="1" applyBorder="1" applyAlignment="1">
      <alignment horizontal="center"/>
    </xf>
    <xf numFmtId="170" fontId="21" fillId="0" borderId="24" xfId="0" applyFont="1" applyFill="1" applyBorder="1" applyAlignment="1" applyProtection="1">
      <alignment horizontal="center" wrapText="1"/>
    </xf>
    <xf numFmtId="170" fontId="0" fillId="0" borderId="25" xfId="0" applyBorder="1" applyProtection="1"/>
    <xf numFmtId="164" fontId="10" fillId="0" borderId="0" xfId="12" applyFont="1" applyFill="1" applyAlignment="1" applyProtection="1">
      <alignment horizontal="center" vertical="center"/>
    </xf>
    <xf numFmtId="164" fontId="9" fillId="0" borderId="0" xfId="12" applyFont="1" applyFill="1" applyAlignment="1" applyProtection="1">
      <alignment vertical="center"/>
    </xf>
    <xf numFmtId="170" fontId="62" fillId="0" borderId="0" xfId="0" applyFont="1"/>
    <xf numFmtId="164" fontId="7" fillId="0" borderId="0" xfId="0" applyNumberFormat="1" applyFont="1" applyAlignment="1" applyProtection="1">
      <alignment horizontal="center"/>
    </xf>
    <xf numFmtId="164" fontId="13" fillId="0" borderId="26" xfId="20" applyFont="1" applyBorder="1" applyAlignment="1" applyProtection="1">
      <alignment horizontal="right"/>
    </xf>
    <xf numFmtId="170" fontId="6" fillId="0" borderId="0" xfId="0" applyFont="1"/>
    <xf numFmtId="170" fontId="0" fillId="3" borderId="0" xfId="0" applyFill="1" applyProtection="1"/>
    <xf numFmtId="170" fontId="0" fillId="3" borderId="27" xfId="0" applyFill="1" applyBorder="1" applyProtection="1"/>
    <xf numFmtId="164" fontId="68" fillId="0" borderId="0" xfId="0" applyNumberFormat="1" applyFont="1"/>
    <xf numFmtId="170" fontId="68" fillId="0" borderId="0" xfId="0" applyFont="1"/>
    <xf numFmtId="164" fontId="0" fillId="0" borderId="0" xfId="0" quotePrefix="1" applyNumberFormat="1"/>
    <xf numFmtId="164" fontId="0" fillId="0" borderId="0" xfId="0" applyNumberFormat="1"/>
    <xf numFmtId="170" fontId="27" fillId="0" borderId="28" xfId="0" applyNumberFormat="1" applyFont="1" applyFill="1" applyBorder="1" applyAlignment="1" applyProtection="1">
      <alignment vertical="center"/>
    </xf>
    <xf numFmtId="164" fontId="111" fillId="0" borderId="0" xfId="17" applyFill="1" applyBorder="1" applyAlignment="1" applyProtection="1">
      <alignment horizontal="center"/>
    </xf>
    <xf numFmtId="170" fontId="27" fillId="0" borderId="0" xfId="0" quotePrefix="1" applyFont="1" applyProtection="1"/>
    <xf numFmtId="170" fontId="47" fillId="0" borderId="29" xfId="0" applyFont="1" applyBorder="1" applyAlignment="1">
      <alignment horizontal="justify" vertical="center" wrapText="1"/>
    </xf>
    <xf numFmtId="170" fontId="47" fillId="0" borderId="30" xfId="0" applyFont="1" applyBorder="1" applyAlignment="1">
      <alignment horizontal="justify" vertical="center" wrapText="1"/>
    </xf>
    <xf numFmtId="170" fontId="47" fillId="0" borderId="31" xfId="0" applyFont="1" applyBorder="1" applyAlignment="1">
      <alignment horizontal="justify" vertical="center" wrapText="1"/>
    </xf>
    <xf numFmtId="170" fontId="67" fillId="0" borderId="30" xfId="0" applyFont="1" applyBorder="1" applyAlignment="1">
      <alignment horizontal="justify" vertical="center" wrapText="1"/>
    </xf>
    <xf numFmtId="164" fontId="70" fillId="0" borderId="19" xfId="23" applyFont="1" applyFill="1" applyBorder="1" applyAlignment="1" applyProtection="1"/>
    <xf numFmtId="164" fontId="5" fillId="0" borderId="19" xfId="23" applyFont="1" applyFill="1" applyBorder="1" applyAlignment="1" applyProtection="1">
      <alignment vertical="center"/>
    </xf>
    <xf numFmtId="170" fontId="66" fillId="0" borderId="29" xfId="0" applyFont="1" applyBorder="1" applyAlignment="1">
      <alignment vertical="center" wrapText="1"/>
    </xf>
    <xf numFmtId="170" fontId="66" fillId="0" borderId="30" xfId="0" applyFont="1" applyBorder="1" applyAlignment="1">
      <alignment vertical="center" wrapText="1"/>
    </xf>
    <xf numFmtId="170" fontId="2" fillId="0" borderId="32" xfId="0" applyFont="1" applyFill="1" applyBorder="1" applyAlignment="1" applyProtection="1">
      <alignment horizontal="center"/>
    </xf>
    <xf numFmtId="170" fontId="1" fillId="0" borderId="0" xfId="0" applyFont="1"/>
    <xf numFmtId="170" fontId="73" fillId="0" borderId="0" xfId="0" applyFont="1"/>
    <xf numFmtId="170" fontId="47" fillId="0" borderId="29" xfId="0" applyFont="1" applyBorder="1" applyAlignment="1" applyProtection="1">
      <alignment horizontal="justify" vertical="center" wrapText="1"/>
      <protection locked="0"/>
    </xf>
    <xf numFmtId="170" fontId="67" fillId="0" borderId="30" xfId="0" applyFont="1" applyBorder="1" applyAlignment="1" applyProtection="1">
      <alignment horizontal="justify" vertical="center" wrapText="1"/>
      <protection locked="0"/>
    </xf>
    <xf numFmtId="170" fontId="67" fillId="0" borderId="31" xfId="0" applyFont="1" applyBorder="1" applyAlignment="1" applyProtection="1">
      <alignment horizontal="justify" vertical="center" wrapText="1"/>
      <protection locked="0"/>
    </xf>
    <xf numFmtId="164" fontId="75" fillId="0" borderId="19" xfId="23" applyFont="1" applyFill="1" applyBorder="1" applyAlignment="1" applyProtection="1">
      <alignment vertical="center"/>
    </xf>
    <xf numFmtId="170" fontId="74" fillId="0" borderId="0" xfId="0" applyFont="1" applyFill="1"/>
    <xf numFmtId="15" fontId="29" fillId="0" borderId="0" xfId="0" applyNumberFormat="1" applyFont="1" applyAlignment="1" applyProtection="1">
      <alignment horizontal="center"/>
    </xf>
    <xf numFmtId="1" fontId="14" fillId="6" borderId="2" xfId="0" applyNumberFormat="1" applyFont="1" applyFill="1" applyBorder="1" applyAlignment="1" applyProtection="1">
      <alignment horizontal="center"/>
      <protection locked="0"/>
    </xf>
    <xf numFmtId="1" fontId="14" fillId="6" borderId="33" xfId="0" applyNumberFormat="1" applyFont="1" applyFill="1" applyBorder="1" applyAlignment="1" applyProtection="1">
      <alignment horizontal="center"/>
      <protection locked="0"/>
    </xf>
    <xf numFmtId="166" fontId="0" fillId="0" borderId="0" xfId="0" applyNumberFormat="1" applyProtection="1"/>
    <xf numFmtId="170" fontId="47" fillId="0" borderId="29" xfId="0" applyFont="1" applyBorder="1" applyAlignment="1" applyProtection="1">
      <alignment horizontal="left" vertical="center" wrapText="1"/>
      <protection locked="0"/>
    </xf>
    <xf numFmtId="170" fontId="47" fillId="0" borderId="30" xfId="0" applyFont="1" applyBorder="1" applyAlignment="1" applyProtection="1">
      <alignment horizontal="left" vertical="center" wrapText="1"/>
      <protection locked="0"/>
    </xf>
    <xf numFmtId="170" fontId="47" fillId="0" borderId="31" xfId="0" applyFont="1" applyBorder="1" applyAlignment="1" applyProtection="1">
      <alignment horizontal="left" vertical="center" wrapText="1"/>
      <protection locked="0"/>
    </xf>
    <xf numFmtId="164" fontId="13" fillId="0" borderId="0" xfId="15" applyFont="1" applyFill="1" applyAlignment="1" applyProtection="1">
      <alignment horizontal="right" vertical="center"/>
    </xf>
    <xf numFmtId="170" fontId="80" fillId="0" borderId="0" xfId="0" applyFont="1" applyFill="1" applyBorder="1" applyAlignment="1" applyProtection="1">
      <alignment horizontal="right"/>
    </xf>
    <xf numFmtId="164" fontId="81" fillId="0" borderId="6" xfId="23" applyFont="1" applyFill="1" applyBorder="1" applyAlignment="1" applyProtection="1">
      <alignment horizontal="left" vertical="center"/>
    </xf>
    <xf numFmtId="170" fontId="82" fillId="0" borderId="0" xfId="0" applyFont="1" applyFill="1" applyBorder="1" applyProtection="1"/>
    <xf numFmtId="170" fontId="80" fillId="0" borderId="0" xfId="0" applyFont="1" applyBorder="1" applyProtection="1"/>
    <xf numFmtId="3" fontId="4" fillId="0" borderId="0" xfId="0" applyNumberFormat="1" applyFont="1" applyAlignment="1" applyProtection="1">
      <alignment horizontal="right"/>
    </xf>
    <xf numFmtId="15" fontId="79" fillId="0" borderId="0" xfId="0" applyNumberFormat="1" applyFont="1" applyFill="1" applyBorder="1" applyAlignment="1" applyProtection="1">
      <alignment horizontal="left"/>
    </xf>
    <xf numFmtId="170" fontId="85" fillId="0" borderId="0" xfId="0" applyFont="1" applyFill="1" applyBorder="1" applyAlignment="1" applyProtection="1">
      <alignment horizontal="center" wrapText="1"/>
    </xf>
    <xf numFmtId="170" fontId="80" fillId="0" borderId="0" xfId="0" applyFont="1" applyFill="1" applyBorder="1" applyAlignment="1" applyProtection="1">
      <alignment horizontal="center"/>
    </xf>
    <xf numFmtId="170" fontId="0" fillId="0" borderId="0" xfId="0" quotePrefix="1" applyProtection="1"/>
    <xf numFmtId="15" fontId="25" fillId="0" borderId="34"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70" fontId="91" fillId="0" borderId="0" xfId="0" applyFont="1" applyBorder="1" applyAlignment="1" applyProtection="1">
      <alignment horizontal="right"/>
    </xf>
    <xf numFmtId="170" fontId="91" fillId="0" borderId="0" xfId="0" applyFont="1" applyAlignment="1" applyProtection="1">
      <alignment horizontal="right"/>
    </xf>
    <xf numFmtId="164" fontId="90" fillId="0" borderId="0" xfId="4" applyFont="1" applyFill="1" applyAlignment="1" applyProtection="1">
      <alignment vertical="center"/>
    </xf>
    <xf numFmtId="170" fontId="91" fillId="0" borderId="0" xfId="0" applyFont="1" applyProtection="1"/>
    <xf numFmtId="170" fontId="91" fillId="0" borderId="0" xfId="0" applyFont="1" applyBorder="1" applyProtection="1"/>
    <xf numFmtId="170" fontId="0" fillId="0" borderId="0" xfId="0" applyBorder="1" applyAlignment="1" applyProtection="1"/>
    <xf numFmtId="170" fontId="0" fillId="0" borderId="0" xfId="0" applyAlignment="1" applyProtection="1"/>
    <xf numFmtId="3" fontId="0" fillId="0" borderId="0" xfId="0" applyNumberFormat="1" applyFill="1" applyProtection="1"/>
    <xf numFmtId="170" fontId="0" fillId="0" borderId="0" xfId="0" applyFill="1" applyBorder="1" applyProtection="1">
      <protection locked="0"/>
    </xf>
    <xf numFmtId="170" fontId="77" fillId="0" borderId="0" xfId="0" applyFont="1" applyFill="1" applyBorder="1" applyAlignment="1" applyProtection="1">
      <alignment horizontal="center" vertical="center"/>
    </xf>
    <xf numFmtId="170" fontId="4" fillId="0" borderId="35" xfId="0" applyFont="1" applyBorder="1" applyAlignment="1" applyProtection="1"/>
    <xf numFmtId="170" fontId="4" fillId="0" borderId="36" xfId="0" applyFont="1" applyBorder="1" applyAlignment="1" applyProtection="1"/>
    <xf numFmtId="170" fontId="18" fillId="0" borderId="37" xfId="0" applyFont="1" applyBorder="1" applyAlignment="1" applyProtection="1">
      <alignment vertical="distributed"/>
    </xf>
    <xf numFmtId="15" fontId="20" fillId="0" borderId="38" xfId="0" applyNumberFormat="1" applyFont="1" applyFill="1" applyBorder="1" applyAlignment="1" applyProtection="1">
      <alignment horizontal="center" vertical="center" wrapText="1"/>
    </xf>
    <xf numFmtId="170" fontId="4" fillId="0" borderId="0" xfId="0" applyFont="1" applyFill="1" applyBorder="1" applyAlignment="1" applyProtection="1">
      <protection locked="0"/>
    </xf>
    <xf numFmtId="170" fontId="86" fillId="0" borderId="0" xfId="0" applyFont="1" applyFill="1" applyBorder="1" applyAlignment="1" applyProtection="1">
      <alignment horizontal="left"/>
      <protection locked="0"/>
    </xf>
    <xf numFmtId="170" fontId="19" fillId="0" borderId="39" xfId="0" applyFont="1" applyFill="1" applyBorder="1" applyAlignment="1" applyProtection="1"/>
    <xf numFmtId="15" fontId="19" fillId="0" borderId="2" xfId="0" applyNumberFormat="1" applyFont="1" applyFill="1" applyBorder="1" applyAlignment="1" applyProtection="1">
      <alignment horizontal="center"/>
    </xf>
    <xf numFmtId="15" fontId="19" fillId="0" borderId="40" xfId="0" applyNumberFormat="1" applyFont="1" applyFill="1" applyBorder="1" applyAlignment="1" applyProtection="1">
      <alignment horizontal="center"/>
    </xf>
    <xf numFmtId="15" fontId="87" fillId="0" borderId="25" xfId="0" applyNumberFormat="1" applyFont="1" applyFill="1" applyBorder="1" applyAlignment="1" applyProtection="1">
      <alignment horizontal="center" wrapText="1"/>
    </xf>
    <xf numFmtId="15" fontId="87" fillId="0" borderId="41" xfId="0" applyNumberFormat="1" applyFont="1" applyFill="1" applyBorder="1" applyAlignment="1" applyProtection="1">
      <alignment horizontal="center" wrapText="1"/>
    </xf>
    <xf numFmtId="170" fontId="0" fillId="0" borderId="0" xfId="0" applyFill="1" applyBorder="1" applyAlignment="1" applyProtection="1">
      <alignment horizontal="left" vertical="top"/>
      <protection locked="0"/>
    </xf>
    <xf numFmtId="170" fontId="79" fillId="0" borderId="0" xfId="0" applyFont="1" applyFill="1" applyBorder="1" applyAlignment="1" applyProtection="1">
      <alignment horizontal="center"/>
    </xf>
    <xf numFmtId="170" fontId="84"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4" fontId="0" fillId="0" borderId="2" xfId="0" applyNumberFormat="1" applyBorder="1" applyAlignment="1" applyProtection="1">
      <alignment horizontal="center"/>
      <protection locked="0"/>
    </xf>
    <xf numFmtId="170" fontId="0" fillId="0" borderId="42" xfId="0" applyBorder="1" applyAlignment="1" applyProtection="1">
      <alignment horizontal="center"/>
    </xf>
    <xf numFmtId="170" fontId="0" fillId="0" borderId="25" xfId="0" applyFill="1" applyBorder="1" applyAlignment="1" applyProtection="1">
      <alignment horizontal="center"/>
    </xf>
    <xf numFmtId="170" fontId="1" fillId="0" borderId="24" xfId="0" applyFont="1" applyFill="1" applyBorder="1" applyAlignment="1" applyProtection="1">
      <alignment horizontal="center" wrapText="1"/>
    </xf>
    <xf numFmtId="170" fontId="0" fillId="0" borderId="24" xfId="0" applyBorder="1" applyAlignment="1">
      <alignment horizontal="center" wrapText="1"/>
    </xf>
    <xf numFmtId="170" fontId="21" fillId="0" borderId="24" xfId="0" applyFont="1" applyBorder="1" applyAlignment="1">
      <alignment horizontal="center" wrapText="1"/>
    </xf>
    <xf numFmtId="170" fontId="1" fillId="0" borderId="41" xfId="0" applyFont="1" applyFill="1" applyBorder="1" applyAlignment="1" applyProtection="1">
      <alignment horizontal="center" wrapText="1"/>
    </xf>
    <xf numFmtId="3" fontId="49" fillId="7" borderId="20" xfId="0" applyNumberFormat="1" applyFont="1" applyFill="1" applyBorder="1" applyAlignment="1" applyProtection="1">
      <alignment vertical="center"/>
      <protection locked="0"/>
    </xf>
    <xf numFmtId="3" fontId="49" fillId="7" borderId="2" xfId="0" applyNumberFormat="1" applyFont="1" applyFill="1" applyBorder="1" applyAlignment="1" applyProtection="1">
      <alignment horizontal="right" vertical="center"/>
      <protection locked="0"/>
    </xf>
    <xf numFmtId="170" fontId="56" fillId="0" borderId="43" xfId="0" applyFont="1" applyFill="1" applyBorder="1" applyAlignment="1" applyProtection="1">
      <alignment horizontal="center" vertical="center"/>
    </xf>
    <xf numFmtId="170" fontId="17" fillId="0" borderId="0" xfId="0" applyFont="1" applyProtection="1"/>
    <xf numFmtId="164" fontId="87" fillId="0" borderId="0" xfId="0" applyNumberFormat="1" applyFont="1" applyBorder="1" applyAlignment="1" applyProtection="1">
      <alignment vertical="center" wrapText="1"/>
    </xf>
    <xf numFmtId="170" fontId="87" fillId="0" borderId="0" xfId="0" applyFont="1" applyFill="1" applyBorder="1" applyAlignment="1" applyProtection="1">
      <alignment wrapText="1"/>
    </xf>
    <xf numFmtId="164" fontId="13" fillId="0" borderId="26" xfId="20" applyFont="1" applyFill="1" applyBorder="1" applyAlignment="1" applyProtection="1">
      <alignment horizontal="right"/>
    </xf>
    <xf numFmtId="170" fontId="27" fillId="0" borderId="44" xfId="0" applyFont="1" applyFill="1" applyBorder="1" applyAlignment="1" applyProtection="1">
      <alignment horizontal="center" wrapText="1"/>
    </xf>
    <xf numFmtId="170" fontId="14" fillId="3" borderId="29" xfId="0" applyFont="1" applyFill="1" applyBorder="1" applyAlignment="1" applyProtection="1"/>
    <xf numFmtId="170" fontId="14" fillId="3" borderId="45" xfId="0" applyFont="1" applyFill="1" applyBorder="1" applyAlignment="1" applyProtection="1"/>
    <xf numFmtId="170" fontId="21" fillId="0" borderId="0" xfId="0" applyFont="1" applyFill="1" applyBorder="1" applyAlignment="1" applyProtection="1">
      <alignment wrapText="1"/>
    </xf>
    <xf numFmtId="9" fontId="89" fillId="8" borderId="2" xfId="19" applyFont="1" applyFill="1" applyBorder="1" applyAlignment="1" applyProtection="1">
      <alignment horizontal="center" vertical="center" wrapText="1"/>
    </xf>
    <xf numFmtId="164" fontId="21" fillId="0" borderId="0" xfId="0" applyNumberFormat="1" applyFont="1" applyAlignment="1" applyProtection="1"/>
    <xf numFmtId="170" fontId="0" fillId="0" borderId="19" xfId="0" applyFill="1" applyBorder="1" applyProtection="1"/>
    <xf numFmtId="164" fontId="92" fillId="0" borderId="19" xfId="23" applyFont="1" applyFill="1" applyBorder="1" applyAlignment="1" applyProtection="1">
      <alignment vertical="center"/>
    </xf>
    <xf numFmtId="170" fontId="0" fillId="0" borderId="19" xfId="0" applyBorder="1" applyProtection="1"/>
    <xf numFmtId="170" fontId="0" fillId="0" borderId="19" xfId="0" applyBorder="1"/>
    <xf numFmtId="9" fontId="8" fillId="0" borderId="0" xfId="19" applyFont="1" applyProtection="1"/>
    <xf numFmtId="14" fontId="17" fillId="6" borderId="26" xfId="20" applyNumberFormat="1" applyFont="1" applyFill="1" applyBorder="1" applyAlignment="1" applyProtection="1">
      <alignment horizontal="center" vertical="center"/>
    </xf>
    <xf numFmtId="164" fontId="17" fillId="6" borderId="26" xfId="20" applyFont="1" applyFill="1" applyBorder="1" applyAlignment="1" applyProtection="1">
      <alignment horizontal="center" vertical="center"/>
    </xf>
    <xf numFmtId="170" fontId="17" fillId="6" borderId="26" xfId="20" applyNumberFormat="1" applyFont="1" applyFill="1" applyBorder="1" applyAlignment="1" applyProtection="1">
      <alignment horizontal="center"/>
    </xf>
    <xf numFmtId="3" fontId="17" fillId="6" borderId="26" xfId="20" applyNumberFormat="1" applyFont="1" applyFill="1" applyBorder="1" applyAlignment="1" applyProtection="1">
      <alignment horizontal="center"/>
    </xf>
    <xf numFmtId="164" fontId="17" fillId="6" borderId="26" xfId="20" applyFont="1" applyFill="1" applyBorder="1" applyAlignment="1" applyProtection="1">
      <alignment horizontal="center"/>
    </xf>
    <xf numFmtId="164" fontId="68" fillId="0" borderId="0" xfId="0" applyNumberFormat="1" applyFont="1" applyAlignment="1"/>
    <xf numFmtId="170" fontId="27" fillId="0" borderId="24" xfId="0" applyFont="1" applyFill="1" applyBorder="1" applyAlignment="1" applyProtection="1">
      <alignment horizontal="center" wrapText="1"/>
    </xf>
    <xf numFmtId="170" fontId="23" fillId="5" borderId="0" xfId="0" applyFont="1" applyFill="1" applyBorder="1" applyAlignment="1" applyProtection="1">
      <alignment horizontal="left"/>
      <protection locked="0"/>
    </xf>
    <xf numFmtId="49" fontId="0" fillId="0" borderId="0" xfId="0" applyNumberFormat="1" applyProtection="1"/>
    <xf numFmtId="3" fontId="0" fillId="6" borderId="2" xfId="0" applyNumberFormat="1" applyFill="1" applyBorder="1" applyAlignment="1" applyProtection="1">
      <alignment horizontal="right" wrapText="1"/>
      <protection locked="0"/>
    </xf>
    <xf numFmtId="3" fontId="0" fillId="0" borderId="2" xfId="0" applyNumberFormat="1" applyBorder="1" applyAlignment="1" applyProtection="1">
      <alignment horizontal="right" wrapText="1"/>
    </xf>
    <xf numFmtId="3" fontId="0" fillId="6" borderId="2" xfId="0" applyNumberFormat="1" applyFill="1" applyBorder="1" applyProtection="1">
      <protection locked="0"/>
    </xf>
    <xf numFmtId="3" fontId="0" fillId="0" borderId="2" xfId="0" applyNumberFormat="1" applyFill="1" applyBorder="1" applyProtection="1"/>
    <xf numFmtId="3" fontId="0" fillId="6" borderId="46" xfId="0" applyNumberFormat="1" applyFill="1" applyBorder="1" applyProtection="1">
      <protection locked="0"/>
    </xf>
    <xf numFmtId="170" fontId="14" fillId="3"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170" fontId="0" fillId="0" borderId="0" xfId="0" applyNumberFormat="1" applyFill="1" applyBorder="1" applyProtection="1">
      <protection locked="0"/>
    </xf>
    <xf numFmtId="165" fontId="25" fillId="2" borderId="47" xfId="0" applyNumberFormat="1" applyFont="1" applyFill="1" applyBorder="1" applyAlignment="1" applyProtection="1">
      <alignment horizontal="center"/>
      <protection locked="0"/>
    </xf>
    <xf numFmtId="165" fontId="25" fillId="2" borderId="48" xfId="0" applyNumberFormat="1" applyFont="1" applyFill="1" applyBorder="1" applyAlignment="1" applyProtection="1">
      <alignment horizontal="center"/>
      <protection locked="0"/>
    </xf>
    <xf numFmtId="165" fontId="25" fillId="2" borderId="49" xfId="0" applyNumberFormat="1" applyFont="1" applyFill="1" applyBorder="1" applyAlignment="1" applyProtection="1">
      <alignment horizontal="center"/>
      <protection locked="0"/>
    </xf>
    <xf numFmtId="165" fontId="25" fillId="2" borderId="50" xfId="0" applyNumberFormat="1" applyFont="1" applyFill="1" applyBorder="1" applyAlignment="1" applyProtection="1">
      <alignment horizontal="center"/>
      <protection locked="0"/>
    </xf>
    <xf numFmtId="165" fontId="25" fillId="2" borderId="51" xfId="0" applyNumberFormat="1" applyFont="1" applyFill="1" applyBorder="1" applyAlignment="1" applyProtection="1">
      <alignment horizontal="center"/>
      <protection locked="0"/>
    </xf>
    <xf numFmtId="170" fontId="0" fillId="0" borderId="52" xfId="0" applyFill="1" applyBorder="1" applyAlignment="1" applyProtection="1">
      <alignment horizontal="center"/>
    </xf>
    <xf numFmtId="164" fontId="1" fillId="0" borderId="26" xfId="20" applyFont="1" applyBorder="1" applyAlignment="1" applyProtection="1">
      <alignment horizontal="right"/>
    </xf>
    <xf numFmtId="164" fontId="100" fillId="0" borderId="0" xfId="16" applyFont="1" applyFill="1" applyBorder="1" applyProtection="1"/>
    <xf numFmtId="3" fontId="21" fillId="9" borderId="47" xfId="0" applyNumberFormat="1" applyFont="1" applyFill="1" applyBorder="1" applyAlignment="1" applyProtection="1">
      <protection locked="0"/>
    </xf>
    <xf numFmtId="3" fontId="21" fillId="9" borderId="53"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4" xfId="0" applyNumberFormat="1" applyFont="1" applyFill="1" applyBorder="1" applyAlignment="1" applyProtection="1"/>
    <xf numFmtId="3" fontId="4" fillId="0" borderId="55" xfId="1" applyNumberFormat="1" applyFont="1" applyFill="1" applyBorder="1" applyAlignment="1" applyProtection="1"/>
    <xf numFmtId="3" fontId="4" fillId="0" borderId="56" xfId="1" applyNumberFormat="1" applyFont="1" applyFill="1" applyBorder="1" applyAlignment="1" applyProtection="1"/>
    <xf numFmtId="165" fontId="7" fillId="2" borderId="57" xfId="0" applyNumberFormat="1" applyFont="1" applyFill="1" applyBorder="1" applyAlignment="1" applyProtection="1">
      <alignment horizontal="center"/>
      <protection locked="0"/>
    </xf>
    <xf numFmtId="165" fontId="7" fillId="2" borderId="58" xfId="0" applyNumberFormat="1" applyFont="1" applyFill="1" applyBorder="1" applyAlignment="1" applyProtection="1">
      <alignment horizontal="center"/>
      <protection locked="0"/>
    </xf>
    <xf numFmtId="170" fontId="0" fillId="9" borderId="2" xfId="0" applyFill="1" applyBorder="1" applyProtection="1"/>
    <xf numFmtId="170" fontId="0" fillId="6" borderId="2" xfId="0" applyFill="1" applyBorder="1" applyProtection="1"/>
    <xf numFmtId="49" fontId="18" fillId="0" borderId="59" xfId="0" applyNumberFormat="1" applyFont="1" applyFill="1" applyBorder="1" applyAlignment="1" applyProtection="1">
      <alignment vertical="center" wrapText="1"/>
    </xf>
    <xf numFmtId="170" fontId="69" fillId="0" borderId="60" xfId="0" applyNumberFormat="1" applyFont="1" applyFill="1" applyBorder="1" applyAlignment="1" applyProtection="1">
      <alignment horizontal="center" vertical="center" wrapText="1"/>
    </xf>
    <xf numFmtId="170" fontId="69" fillId="0" borderId="61" xfId="0" applyNumberFormat="1" applyFont="1" applyFill="1" applyBorder="1" applyAlignment="1" applyProtection="1">
      <alignment horizontal="center" vertical="center" wrapText="1"/>
    </xf>
    <xf numFmtId="49" fontId="19" fillId="0" borderId="62" xfId="0" applyNumberFormat="1" applyFont="1" applyFill="1" applyBorder="1" applyAlignment="1" applyProtection="1">
      <protection locked="0"/>
    </xf>
    <xf numFmtId="170" fontId="19" fillId="0" borderId="62" xfId="0" applyFont="1" applyFill="1" applyBorder="1" applyAlignment="1" applyProtection="1">
      <alignment wrapText="1"/>
      <protection locked="0"/>
    </xf>
    <xf numFmtId="170" fontId="0" fillId="0" borderId="63" xfId="0" applyBorder="1" applyAlignment="1" applyProtection="1"/>
    <xf numFmtId="49" fontId="0" fillId="0" borderId="2" xfId="0" applyNumberFormat="1" applyBorder="1" applyAlignment="1" applyProtection="1">
      <alignment horizontal="center"/>
      <protection locked="0"/>
    </xf>
    <xf numFmtId="49" fontId="0" fillId="6" borderId="2" xfId="0" applyNumberFormat="1" applyFill="1" applyBorder="1" applyProtection="1">
      <protection locked="0"/>
    </xf>
    <xf numFmtId="170" fontId="0" fillId="6" borderId="2" xfId="0" applyNumberFormat="1" applyFill="1" applyBorder="1" applyProtection="1">
      <protection locked="0"/>
    </xf>
    <xf numFmtId="170" fontId="0" fillId="0" borderId="2" xfId="0" applyNumberFormat="1" applyFill="1" applyBorder="1" applyProtection="1"/>
    <xf numFmtId="170" fontId="0" fillId="6" borderId="2" xfId="0" applyNumberFormat="1" applyFill="1" applyBorder="1" applyAlignment="1" applyProtection="1">
      <alignment horizontal="center"/>
      <protection locked="0"/>
    </xf>
    <xf numFmtId="49" fontId="0" fillId="6" borderId="46" xfId="0" applyNumberFormat="1" applyFill="1" applyBorder="1" applyAlignment="1" applyProtection="1">
      <alignment horizontal="left"/>
      <protection locked="0"/>
    </xf>
    <xf numFmtId="170" fontId="0" fillId="6" borderId="46" xfId="0" applyNumberFormat="1" applyFill="1" applyBorder="1" applyProtection="1">
      <protection locked="0"/>
    </xf>
    <xf numFmtId="170" fontId="0" fillId="6" borderId="46" xfId="0" applyNumberFormat="1" applyFill="1" applyBorder="1" applyAlignment="1" applyProtection="1">
      <alignment horizontal="center"/>
      <protection locked="0"/>
    </xf>
    <xf numFmtId="164" fontId="111" fillId="9" borderId="64" xfId="23" applyFill="1" applyBorder="1" applyAlignment="1" applyProtection="1">
      <alignment vertical="center"/>
    </xf>
    <xf numFmtId="170" fontId="0" fillId="5" borderId="65" xfId="0" applyFill="1" applyBorder="1"/>
    <xf numFmtId="170" fontId="0" fillId="0" borderId="12" xfId="0" applyBorder="1" applyProtection="1"/>
    <xf numFmtId="164" fontId="32" fillId="6" borderId="66" xfId="23" applyFont="1" applyFill="1" applyBorder="1" applyAlignment="1" applyProtection="1">
      <alignment horizontal="center" vertical="center"/>
    </xf>
    <xf numFmtId="164" fontId="32" fillId="0" borderId="67" xfId="23" applyFont="1" applyFill="1" applyBorder="1" applyAlignment="1" applyProtection="1">
      <alignment vertical="center"/>
    </xf>
    <xf numFmtId="170" fontId="0" fillId="0" borderId="68" xfId="0" applyNumberFormat="1" applyFill="1" applyBorder="1"/>
    <xf numFmtId="15" fontId="20" fillId="0" borderId="69" xfId="0" applyNumberFormat="1" applyFont="1" applyFill="1" applyBorder="1" applyAlignment="1" applyProtection="1">
      <alignment horizontal="center" vertical="center" wrapText="1"/>
    </xf>
    <xf numFmtId="170" fontId="0" fillId="0" borderId="2" xfId="0" quotePrefix="1" applyNumberFormat="1" applyBorder="1" applyAlignment="1">
      <alignment horizontal="center"/>
    </xf>
    <xf numFmtId="3" fontId="0" fillId="0" borderId="0" xfId="0" applyNumberFormat="1" applyFill="1" applyBorder="1" applyProtection="1">
      <protection locked="0"/>
    </xf>
    <xf numFmtId="168" fontId="0" fillId="0" borderId="2" xfId="0" applyNumberFormat="1" applyFill="1" applyBorder="1" applyAlignment="1" applyProtection="1">
      <alignment horizontal="center"/>
    </xf>
    <xf numFmtId="168" fontId="8" fillId="10" borderId="70" xfId="0" applyNumberFormat="1" applyFont="1" applyFill="1" applyBorder="1" applyAlignment="1" applyProtection="1">
      <alignment horizontal="center"/>
    </xf>
    <xf numFmtId="168" fontId="14" fillId="10" borderId="70" xfId="0" applyNumberFormat="1" applyFont="1" applyFill="1" applyBorder="1" applyAlignment="1" applyProtection="1">
      <alignment horizontal="center"/>
    </xf>
    <xf numFmtId="164" fontId="51" fillId="0" borderId="2" xfId="16" applyFont="1" applyBorder="1" applyAlignment="1" applyProtection="1">
      <alignment horizontal="center"/>
    </xf>
    <xf numFmtId="170" fontId="51" fillId="0" borderId="2" xfId="0" applyFont="1" applyBorder="1" applyAlignment="1" applyProtection="1">
      <alignment horizontal="center"/>
    </xf>
    <xf numFmtId="170" fontId="59" fillId="0" borderId="73" xfId="0" applyNumberFormat="1" applyFont="1" applyFill="1" applyBorder="1" applyAlignment="1" applyProtection="1">
      <alignment horizontal="center" vertical="center"/>
    </xf>
    <xf numFmtId="170" fontId="56" fillId="0" borderId="74" xfId="0" applyFont="1" applyFill="1" applyBorder="1" applyAlignment="1" applyProtection="1">
      <alignment horizontal="center" vertical="center"/>
    </xf>
    <xf numFmtId="170" fontId="56" fillId="0" borderId="75" xfId="0" applyFont="1" applyFill="1" applyBorder="1" applyAlignment="1" applyProtection="1">
      <alignment horizontal="center" vertical="center"/>
    </xf>
    <xf numFmtId="170" fontId="56" fillId="0" borderId="76" xfId="0" applyFont="1" applyFill="1" applyBorder="1" applyAlignment="1" applyProtection="1">
      <alignment horizontal="center" vertical="center"/>
    </xf>
    <xf numFmtId="170" fontId="56" fillId="0" borderId="77" xfId="0" applyFont="1" applyFill="1" applyBorder="1" applyAlignment="1" applyProtection="1">
      <alignment horizontal="center" vertical="center"/>
    </xf>
    <xf numFmtId="170" fontId="2" fillId="0" borderId="78" xfId="0" applyFont="1" applyFill="1" applyBorder="1" applyAlignment="1" applyProtection="1">
      <alignment horizontal="center"/>
    </xf>
    <xf numFmtId="165" fontId="7" fillId="2" borderId="75" xfId="0" applyNumberFormat="1" applyFont="1" applyFill="1" applyBorder="1" applyAlignment="1" applyProtection="1">
      <alignment horizontal="center"/>
      <protection locked="0"/>
    </xf>
    <xf numFmtId="165" fontId="7" fillId="2" borderId="79" xfId="0" applyNumberFormat="1" applyFont="1" applyFill="1" applyBorder="1" applyAlignment="1" applyProtection="1">
      <alignment horizontal="center"/>
      <protection locked="0"/>
    </xf>
    <xf numFmtId="168" fontId="0" fillId="3" borderId="2" xfId="0" applyNumberFormat="1" applyFill="1" applyBorder="1" applyAlignment="1" applyProtection="1">
      <alignment horizontal="center"/>
    </xf>
    <xf numFmtId="168" fontId="0" fillId="0" borderId="2" xfId="0" applyNumberFormat="1" applyBorder="1" applyAlignment="1" applyProtection="1">
      <alignment horizontal="center"/>
    </xf>
    <xf numFmtId="168" fontId="0" fillId="3" borderId="46" xfId="0" applyNumberFormat="1" applyFill="1" applyBorder="1" applyAlignment="1" applyProtection="1">
      <alignment horizontal="center"/>
    </xf>
    <xf numFmtId="168" fontId="0" fillId="0" borderId="46" xfId="0" applyNumberFormat="1" applyBorder="1" applyAlignment="1" applyProtection="1">
      <alignment horizontal="center"/>
    </xf>
    <xf numFmtId="170" fontId="49" fillId="11" borderId="2" xfId="0" applyFont="1" applyFill="1" applyBorder="1" applyAlignment="1" applyProtection="1">
      <alignment horizontal="center"/>
    </xf>
    <xf numFmtId="170" fontId="49" fillId="12" borderId="2" xfId="0" applyFont="1" applyFill="1" applyBorder="1" applyAlignment="1" applyProtection="1">
      <alignment horizontal="center"/>
    </xf>
    <xf numFmtId="3" fontId="49" fillId="13" borderId="2" xfId="0" applyNumberFormat="1" applyFont="1" applyFill="1" applyBorder="1" applyAlignment="1" applyProtection="1">
      <alignment vertical="center"/>
      <protection locked="0"/>
    </xf>
    <xf numFmtId="3" fontId="49" fillId="13" borderId="20" xfId="0" applyNumberFormat="1" applyFont="1" applyFill="1" applyBorder="1" applyAlignment="1" applyProtection="1">
      <alignment vertical="center"/>
      <protection locked="0"/>
    </xf>
    <xf numFmtId="3" fontId="49" fillId="7" borderId="20" xfId="0" applyNumberFormat="1" applyFont="1" applyFill="1" applyBorder="1" applyAlignment="1" applyProtection="1">
      <alignment horizontal="right" vertical="center"/>
      <protection locked="0"/>
    </xf>
    <xf numFmtId="170" fontId="49" fillId="11" borderId="80" xfId="0" applyFont="1" applyFill="1" applyBorder="1" applyAlignment="1" applyProtection="1">
      <alignment horizontal="center"/>
    </xf>
    <xf numFmtId="3" fontId="49" fillId="7" borderId="80" xfId="0" applyNumberFormat="1" applyFont="1" applyFill="1" applyBorder="1" applyAlignment="1" applyProtection="1">
      <alignment horizontal="right" vertical="center"/>
      <protection locked="0"/>
    </xf>
    <xf numFmtId="3" fontId="49" fillId="7" borderId="81" xfId="0" applyNumberFormat="1" applyFont="1" applyFill="1" applyBorder="1" applyAlignment="1" applyProtection="1">
      <alignment horizontal="right" vertical="center"/>
      <protection locked="0"/>
    </xf>
    <xf numFmtId="170" fontId="0" fillId="0" borderId="82" xfId="0" applyBorder="1"/>
    <xf numFmtId="170" fontId="0" fillId="0" borderId="46" xfId="0" applyNumberFormat="1" applyFill="1" applyBorder="1" applyProtection="1"/>
    <xf numFmtId="3" fontId="0" fillId="0" borderId="46" xfId="0" applyNumberFormat="1" applyFill="1" applyBorder="1" applyProtection="1"/>
    <xf numFmtId="168" fontId="0" fillId="0" borderId="46" xfId="0" applyNumberFormat="1" applyFill="1" applyBorder="1" applyAlignment="1" applyProtection="1">
      <alignment horizontal="center"/>
    </xf>
    <xf numFmtId="170" fontId="0" fillId="0" borderId="83" xfId="0" applyBorder="1" applyAlignment="1" applyProtection="1">
      <alignment horizontal="center" wrapText="1"/>
    </xf>
    <xf numFmtId="3" fontId="0" fillId="0" borderId="46" xfId="0" applyNumberFormat="1" applyBorder="1" applyAlignment="1" applyProtection="1">
      <alignment horizontal="right" wrapText="1"/>
    </xf>
    <xf numFmtId="3" fontId="0" fillId="6" borderId="84" xfId="0" applyNumberFormat="1" applyFill="1" applyBorder="1" applyAlignment="1" applyProtection="1">
      <alignment horizontal="right" wrapText="1"/>
      <protection locked="0"/>
    </xf>
    <xf numFmtId="168" fontId="0" fillId="0" borderId="84" xfId="0" applyNumberFormat="1" applyFill="1" applyBorder="1" applyProtection="1"/>
    <xf numFmtId="168" fontId="0" fillId="0" borderId="85" xfId="0" applyNumberFormat="1" applyFill="1" applyBorder="1" applyProtection="1"/>
    <xf numFmtId="3" fontId="49" fillId="0" borderId="20" xfId="0" applyNumberFormat="1" applyFont="1" applyFill="1" applyBorder="1" applyAlignment="1" applyProtection="1">
      <alignment vertical="center"/>
    </xf>
    <xf numFmtId="3" fontId="49" fillId="11" borderId="20" xfId="0" applyNumberFormat="1" applyFont="1" applyFill="1" applyBorder="1" applyAlignment="1" applyProtection="1">
      <alignment vertical="center"/>
    </xf>
    <xf numFmtId="3" fontId="49" fillId="0" borderId="81" xfId="0" applyNumberFormat="1" applyFont="1" applyFill="1" applyBorder="1" applyAlignment="1" applyProtection="1">
      <alignment vertical="center"/>
    </xf>
    <xf numFmtId="170" fontId="27" fillId="5" borderId="0" xfId="0" applyFont="1" applyFill="1" applyBorder="1" applyAlignment="1" applyProtection="1">
      <alignment horizontal="left" vertical="top" wrapText="1"/>
      <protection locked="0"/>
    </xf>
    <xf numFmtId="3" fontId="107" fillId="7" borderId="2" xfId="0" applyNumberFormat="1" applyFont="1" applyFill="1" applyBorder="1" applyAlignment="1" applyProtection="1">
      <alignment vertical="center"/>
      <protection locked="0"/>
    </xf>
    <xf numFmtId="3" fontId="107" fillId="7" borderId="2" xfId="0" applyNumberFormat="1" applyFont="1" applyFill="1" applyBorder="1" applyAlignment="1" applyProtection="1">
      <alignment horizontal="right" vertical="center"/>
      <protection locked="0"/>
    </xf>
    <xf numFmtId="3" fontId="49" fillId="13" borderId="2" xfId="0" applyNumberFormat="1" applyFont="1" applyFill="1" applyBorder="1" applyAlignment="1" applyProtection="1">
      <alignment horizontal="right" vertical="center"/>
      <protection locked="0"/>
    </xf>
    <xf numFmtId="49" fontId="19" fillId="0" borderId="62" xfId="0" applyNumberFormat="1" applyFont="1" applyFill="1" applyBorder="1" applyAlignment="1" applyProtection="1">
      <alignment horizontal="justify" wrapText="1"/>
      <protection locked="0"/>
    </xf>
    <xf numFmtId="49" fontId="19" fillId="0" borderId="62" xfId="0" applyNumberFormat="1" applyFont="1" applyFill="1" applyBorder="1" applyAlignment="1" applyProtection="1">
      <alignment horizontal="justify"/>
      <protection locked="0"/>
    </xf>
    <xf numFmtId="170" fontId="107" fillId="0" borderId="2" xfId="0" applyFont="1" applyFill="1" applyBorder="1" applyAlignment="1" applyProtection="1">
      <alignment horizontal="center"/>
    </xf>
    <xf numFmtId="170" fontId="107" fillId="11" borderId="2" xfId="0" applyFont="1" applyFill="1" applyBorder="1" applyAlignment="1" applyProtection="1">
      <alignment horizontal="center"/>
    </xf>
    <xf numFmtId="170" fontId="0" fillId="0" borderId="13" xfId="0" applyBorder="1" applyAlignment="1" applyProtection="1">
      <alignment horizontal="center"/>
    </xf>
    <xf numFmtId="164" fontId="108" fillId="0" borderId="12" xfId="23" applyFont="1" applyFill="1" applyBorder="1" applyAlignment="1" applyProtection="1">
      <alignment vertical="center"/>
    </xf>
    <xf numFmtId="170" fontId="0" fillId="0" borderId="0" xfId="0" applyAlignment="1"/>
    <xf numFmtId="164" fontId="26" fillId="0" borderId="0" xfId="0" applyNumberFormat="1" applyFont="1" applyAlignment="1" applyProtection="1">
      <alignment horizontal="center"/>
    </xf>
    <xf numFmtId="170" fontId="56" fillId="0" borderId="86" xfId="0" applyFont="1" applyFill="1" applyBorder="1" applyAlignment="1" applyProtection="1">
      <alignment horizontal="center" vertical="center" wrapText="1"/>
    </xf>
    <xf numFmtId="170" fontId="107" fillId="0" borderId="80" xfId="0" applyFont="1" applyFill="1" applyBorder="1" applyAlignment="1" applyProtection="1">
      <alignment horizontal="center"/>
    </xf>
    <xf numFmtId="49" fontId="62" fillId="0" borderId="2" xfId="0" applyNumberFormat="1" applyFont="1" applyBorder="1" applyAlignment="1" applyProtection="1">
      <alignment horizontal="center" wrapText="1"/>
      <protection locked="0"/>
    </xf>
    <xf numFmtId="170" fontId="109" fillId="0" borderId="87" xfId="0" applyFont="1" applyFill="1" applyBorder="1" applyAlignment="1" applyProtection="1">
      <alignment wrapText="1"/>
    </xf>
    <xf numFmtId="170" fontId="27" fillId="0" borderId="25" xfId="0" applyFont="1" applyFill="1" applyBorder="1" applyAlignment="1" applyProtection="1">
      <alignment horizontal="center" wrapText="1"/>
    </xf>
    <xf numFmtId="170" fontId="0" fillId="0" borderId="0" xfId="0" applyFill="1" applyProtection="1"/>
    <xf numFmtId="170" fontId="91" fillId="0" borderId="0" xfId="0" applyFont="1" applyFill="1" applyAlignment="1" applyProtection="1">
      <alignment horizontal="right"/>
    </xf>
    <xf numFmtId="170" fontId="107" fillId="5" borderId="89" xfId="0" applyNumberFormat="1" applyFont="1" applyFill="1" applyBorder="1" applyAlignment="1" applyProtection="1">
      <alignment vertical="center" wrapText="1"/>
      <protection locked="0"/>
    </xf>
    <xf numFmtId="170" fontId="107" fillId="7" borderId="89" xfId="0" applyNumberFormat="1" applyFont="1" applyFill="1" applyBorder="1" applyAlignment="1" applyProtection="1">
      <alignment vertical="center" wrapText="1"/>
      <protection locked="0"/>
    </xf>
    <xf numFmtId="170" fontId="107" fillId="7" borderId="90" xfId="0" applyNumberFormat="1" applyFont="1" applyFill="1" applyBorder="1" applyAlignment="1" applyProtection="1">
      <alignment vertical="center" wrapText="1"/>
      <protection locked="0"/>
    </xf>
    <xf numFmtId="170" fontId="112" fillId="0" borderId="0" xfId="0" applyFont="1" applyAlignment="1" applyProtection="1">
      <alignment horizontal="left" vertical="center"/>
    </xf>
    <xf numFmtId="170" fontId="112" fillId="0" borderId="0" xfId="0" applyFont="1" applyAlignment="1">
      <alignment horizontal="left" vertical="center"/>
    </xf>
    <xf numFmtId="170" fontId="0" fillId="0" borderId="0" xfId="0" applyAlignment="1">
      <alignment horizontal="center"/>
    </xf>
    <xf numFmtId="170" fontId="0" fillId="0" borderId="0" xfId="0" applyAlignment="1" applyProtection="1">
      <alignment horizontal="center"/>
    </xf>
    <xf numFmtId="170" fontId="0" fillId="3" borderId="0" xfId="0" applyFill="1" applyAlignment="1" applyProtection="1">
      <alignment horizontal="center"/>
    </xf>
    <xf numFmtId="3" fontId="30" fillId="0" borderId="39" xfId="0" applyNumberFormat="1" applyFont="1" applyFill="1" applyBorder="1" applyAlignment="1" applyProtection="1">
      <alignment horizontal="center"/>
    </xf>
    <xf numFmtId="3" fontId="30" fillId="0" borderId="83" xfId="0" applyNumberFormat="1" applyFont="1" applyFill="1" applyBorder="1" applyAlignment="1" applyProtection="1">
      <alignment horizontal="center"/>
    </xf>
    <xf numFmtId="171" fontId="17" fillId="6" borderId="26" xfId="20" applyNumberFormat="1" applyFont="1" applyFill="1" applyBorder="1" applyAlignment="1" applyProtection="1">
      <alignment horizontal="center" vertical="center"/>
    </xf>
    <xf numFmtId="171" fontId="17" fillId="6" borderId="26" xfId="20" applyNumberFormat="1" applyFont="1" applyFill="1" applyBorder="1" applyAlignment="1" applyProtection="1">
      <alignment horizontal="center"/>
    </xf>
    <xf numFmtId="170" fontId="56" fillId="0" borderId="91" xfId="0" applyFont="1" applyFill="1" applyBorder="1" applyAlignment="1" applyProtection="1">
      <alignment horizontal="center" vertical="center" wrapText="1"/>
    </xf>
    <xf numFmtId="170" fontId="39" fillId="0" borderId="92" xfId="0" applyNumberFormat="1" applyFont="1" applyFill="1" applyBorder="1" applyAlignment="1" applyProtection="1">
      <alignment horizontal="right"/>
    </xf>
    <xf numFmtId="170" fontId="56" fillId="0" borderId="93" xfId="0" applyFont="1" applyFill="1" applyBorder="1" applyAlignment="1" applyProtection="1">
      <alignment horizontal="center"/>
    </xf>
    <xf numFmtId="170" fontId="39" fillId="0" borderId="94" xfId="0" applyNumberFormat="1" applyFont="1" applyFill="1" applyBorder="1" applyAlignment="1" applyProtection="1">
      <alignment horizontal="right"/>
    </xf>
    <xf numFmtId="170" fontId="56" fillId="0" borderId="95" xfId="0" applyFont="1" applyFill="1" applyBorder="1" applyAlignment="1" applyProtection="1">
      <alignment horizontal="center"/>
    </xf>
    <xf numFmtId="170" fontId="39" fillId="0" borderId="96" xfId="0" applyNumberFormat="1" applyFont="1" applyFill="1" applyBorder="1" applyAlignment="1" applyProtection="1">
      <alignment horizontal="right"/>
    </xf>
    <xf numFmtId="170" fontId="56" fillId="0" borderId="97" xfId="0" applyNumberFormat="1" applyFont="1" applyFill="1" applyBorder="1" applyAlignment="1" applyProtection="1">
      <alignment horizontal="center"/>
    </xf>
    <xf numFmtId="170" fontId="39" fillId="0" borderId="98" xfId="0" applyNumberFormat="1" applyFont="1" applyFill="1" applyBorder="1" applyAlignment="1" applyProtection="1">
      <alignment horizontal="right"/>
    </xf>
    <xf numFmtId="170" fontId="56" fillId="0" borderId="99" xfId="0" applyNumberFormat="1" applyFont="1" applyFill="1" applyBorder="1" applyAlignment="1" applyProtection="1">
      <alignment horizontal="center" vertical="center"/>
    </xf>
    <xf numFmtId="170" fontId="39" fillId="0" borderId="100" xfId="0" applyNumberFormat="1" applyFont="1" applyFill="1" applyBorder="1" applyAlignment="1" applyProtection="1">
      <alignment horizontal="right"/>
    </xf>
    <xf numFmtId="170" fontId="56" fillId="0" borderId="101" xfId="0" applyNumberFormat="1" applyFont="1" applyFill="1" applyBorder="1" applyAlignment="1" applyProtection="1">
      <alignment horizontal="center"/>
    </xf>
    <xf numFmtId="170" fontId="39" fillId="0" borderId="102" xfId="0" applyNumberFormat="1" applyFont="1" applyFill="1" applyBorder="1" applyAlignment="1" applyProtection="1">
      <alignment horizontal="right"/>
    </xf>
    <xf numFmtId="170" fontId="56" fillId="0" borderId="101" xfId="0" applyNumberFormat="1" applyFont="1" applyFill="1" applyBorder="1" applyAlignment="1" applyProtection="1">
      <alignment horizontal="center" vertical="center"/>
    </xf>
    <xf numFmtId="3" fontId="21" fillId="22" borderId="2" xfId="0" applyNumberFormat="1" applyFont="1" applyFill="1" applyBorder="1" applyAlignment="1" applyProtection="1">
      <alignment horizontal="center" vertical="center" wrapText="1"/>
    </xf>
    <xf numFmtId="3" fontId="86" fillId="9" borderId="47" xfId="0" applyNumberFormat="1" applyFont="1" applyFill="1" applyBorder="1" applyAlignment="1" applyProtection="1">
      <protection locked="0"/>
    </xf>
    <xf numFmtId="3" fontId="86" fillId="9" borderId="53" xfId="0" applyNumberFormat="1" applyFont="1" applyFill="1" applyBorder="1" applyAlignment="1" applyProtection="1">
      <protection locked="0"/>
    </xf>
    <xf numFmtId="3" fontId="86" fillId="0" borderId="2" xfId="0" applyNumberFormat="1" applyFont="1" applyFill="1" applyBorder="1" applyAlignment="1" applyProtection="1"/>
    <xf numFmtId="3" fontId="86" fillId="0" borderId="54" xfId="0" applyNumberFormat="1" applyFont="1" applyFill="1" applyBorder="1" applyAlignment="1" applyProtection="1"/>
    <xf numFmtId="3" fontId="14" fillId="9" borderId="103" xfId="1" applyNumberFormat="1" applyFont="1" applyFill="1" applyBorder="1" applyAlignment="1" applyProtection="1">
      <protection locked="0"/>
    </xf>
    <xf numFmtId="3" fontId="14" fillId="9" borderId="104" xfId="1" applyNumberFormat="1" applyFont="1" applyFill="1" applyBorder="1" applyProtection="1">
      <protection locked="0"/>
    </xf>
    <xf numFmtId="3" fontId="14" fillId="9" borderId="103" xfId="1" applyNumberFormat="1" applyFont="1" applyFill="1" applyBorder="1" applyProtection="1">
      <protection locked="0"/>
    </xf>
    <xf numFmtId="3" fontId="113" fillId="0" borderId="105" xfId="0" applyNumberFormat="1" applyFont="1" applyBorder="1" applyProtection="1"/>
    <xf numFmtId="3" fontId="113" fillId="0" borderId="106" xfId="0" applyNumberFormat="1" applyFont="1" applyBorder="1" applyProtection="1"/>
    <xf numFmtId="3" fontId="14" fillId="9" borderId="2" xfId="1" applyNumberFormat="1" applyFont="1" applyFill="1" applyBorder="1" applyAlignment="1" applyProtection="1">
      <protection locked="0"/>
    </xf>
    <xf numFmtId="3" fontId="14" fillId="9" borderId="2" xfId="1" quotePrefix="1" applyNumberFormat="1" applyFont="1" applyFill="1" applyBorder="1" applyProtection="1">
      <protection locked="0"/>
    </xf>
    <xf numFmtId="3" fontId="14" fillId="9" borderId="107" xfId="1" applyNumberFormat="1" applyFont="1" applyFill="1" applyBorder="1" applyAlignment="1" applyProtection="1">
      <protection locked="0"/>
    </xf>
    <xf numFmtId="3" fontId="113" fillId="6" borderId="2" xfId="0" applyNumberFormat="1" applyFont="1" applyFill="1" applyBorder="1" applyAlignment="1" applyProtection="1">
      <alignment horizontal="right" wrapText="1"/>
      <protection locked="0"/>
    </xf>
    <xf numFmtId="3" fontId="113" fillId="0" borderId="2" xfId="0" applyNumberFormat="1" applyFont="1" applyBorder="1" applyAlignment="1" applyProtection="1">
      <alignment horizontal="right" wrapText="1"/>
    </xf>
    <xf numFmtId="3" fontId="113" fillId="0" borderId="46" xfId="0" applyNumberFormat="1" applyFont="1" applyBorder="1" applyAlignment="1" applyProtection="1">
      <alignment horizontal="right" wrapText="1"/>
    </xf>
    <xf numFmtId="3" fontId="114" fillId="9" borderId="84" xfId="0" applyNumberFormat="1" applyFont="1" applyFill="1" applyBorder="1" applyAlignment="1" applyProtection="1">
      <alignment horizontal="centerContinuous"/>
    </xf>
    <xf numFmtId="3" fontId="114" fillId="9" borderId="85" xfId="0" applyNumberFormat="1" applyFont="1" applyFill="1" applyBorder="1" applyAlignment="1" applyProtection="1">
      <alignment horizontal="centerContinuous"/>
    </xf>
    <xf numFmtId="0" fontId="112" fillId="0" borderId="0" xfId="0" applyNumberFormat="1" applyFont="1" applyAlignment="1" applyProtection="1">
      <alignment horizontal="left" vertical="center"/>
    </xf>
    <xf numFmtId="0" fontId="115" fillId="0" borderId="0" xfId="0" applyNumberFormat="1" applyFont="1" applyAlignment="1" applyProtection="1">
      <alignment horizontal="center" vertical="center"/>
    </xf>
    <xf numFmtId="171" fontId="21" fillId="0" borderId="0" xfId="0" applyNumberFormat="1" applyFont="1" applyAlignment="1" applyProtection="1">
      <alignment horizontal="center"/>
    </xf>
    <xf numFmtId="171" fontId="21" fillId="0" borderId="0" xfId="0" applyNumberFormat="1" applyFont="1"/>
    <xf numFmtId="1" fontId="49" fillId="13" borderId="2" xfId="0" applyNumberFormat="1" applyFont="1" applyFill="1" applyBorder="1" applyAlignment="1" applyProtection="1">
      <alignment horizontal="right" vertical="center"/>
      <protection locked="0"/>
    </xf>
    <xf numFmtId="0" fontId="116" fillId="0" borderId="0" xfId="0" applyNumberFormat="1" applyFont="1" applyAlignment="1" applyProtection="1">
      <alignment horizontal="center" vertical="center"/>
    </xf>
    <xf numFmtId="170" fontId="110" fillId="5" borderId="30" xfId="0" applyFont="1" applyFill="1" applyBorder="1" applyAlignment="1">
      <alignment horizontal="justify" vertical="center" wrapText="1"/>
    </xf>
    <xf numFmtId="170" fontId="110" fillId="5" borderId="31" xfId="0" applyFont="1" applyFill="1" applyBorder="1" applyAlignment="1">
      <alignment horizontal="justify" vertical="center" wrapText="1"/>
    </xf>
    <xf numFmtId="170" fontId="98" fillId="5" borderId="29" xfId="0" applyFont="1" applyFill="1" applyBorder="1" applyAlignment="1">
      <alignment horizontal="justify" vertical="center" wrapText="1"/>
    </xf>
    <xf numFmtId="170" fontId="98" fillId="5" borderId="30" xfId="0" applyFont="1" applyFill="1" applyBorder="1" applyAlignment="1">
      <alignment horizontal="justify" vertical="center" wrapText="1"/>
    </xf>
    <xf numFmtId="170" fontId="98" fillId="5" borderId="31" xfId="0" applyFont="1" applyFill="1" applyBorder="1" applyAlignment="1">
      <alignment horizontal="justify" vertical="center" wrapText="1"/>
    </xf>
    <xf numFmtId="170" fontId="107" fillId="23" borderId="2" xfId="0" applyFont="1" applyFill="1" applyBorder="1" applyAlignment="1" applyProtection="1">
      <alignment horizontal="center"/>
    </xf>
    <xf numFmtId="175" fontId="21" fillId="0" borderId="2" xfId="0" applyNumberFormat="1" applyFont="1" applyBorder="1" applyAlignment="1" applyProtection="1">
      <alignment horizontal="center" vertical="center" wrapText="1"/>
    </xf>
    <xf numFmtId="175" fontId="21" fillId="0" borderId="2" xfId="0" applyNumberFormat="1" applyFont="1" applyFill="1" applyBorder="1" applyAlignment="1" applyProtection="1">
      <alignment horizontal="center" vertical="center" wrapText="1"/>
    </xf>
    <xf numFmtId="170" fontId="107" fillId="14" borderId="2" xfId="0" applyFont="1" applyFill="1" applyBorder="1" applyAlignment="1" applyProtection="1">
      <alignment horizontal="center"/>
    </xf>
    <xf numFmtId="168" fontId="107" fillId="5" borderId="2" xfId="0" applyNumberFormat="1" applyFont="1" applyFill="1" applyBorder="1" applyAlignment="1" applyProtection="1">
      <alignment horizontal="right" vertical="center"/>
      <protection locked="0"/>
    </xf>
    <xf numFmtId="168" fontId="2" fillId="5" borderId="2" xfId="0" applyNumberFormat="1" applyFont="1" applyFill="1" applyBorder="1" applyAlignment="1" applyProtection="1">
      <alignment vertical="center"/>
      <protection locked="0"/>
    </xf>
    <xf numFmtId="168" fontId="49" fillId="5" borderId="2" xfId="0" applyNumberFormat="1" applyFont="1" applyFill="1" applyBorder="1" applyAlignment="1" applyProtection="1">
      <alignment vertical="center"/>
      <protection locked="0"/>
    </xf>
    <xf numFmtId="168" fontId="107" fillId="24" borderId="2" xfId="0" applyNumberFormat="1" applyFont="1" applyFill="1" applyBorder="1" applyAlignment="1" applyProtection="1">
      <alignment horizontal="right" vertical="center"/>
      <protection locked="0"/>
    </xf>
    <xf numFmtId="168" fontId="107" fillId="24" borderId="2" xfId="0" applyNumberFormat="1" applyFont="1" applyFill="1" applyBorder="1" applyAlignment="1" applyProtection="1">
      <alignment vertical="center"/>
      <protection locked="0"/>
    </xf>
    <xf numFmtId="168" fontId="49" fillId="24" borderId="2" xfId="0" applyNumberFormat="1" applyFont="1" applyFill="1" applyBorder="1" applyAlignment="1" applyProtection="1">
      <alignment horizontal="right" vertical="center"/>
      <protection locked="0"/>
    </xf>
    <xf numFmtId="168" fontId="49" fillId="24" borderId="2" xfId="0" applyNumberFormat="1" applyFont="1" applyFill="1" applyBorder="1" applyAlignment="1" applyProtection="1">
      <alignment vertical="center"/>
      <protection locked="0"/>
    </xf>
    <xf numFmtId="168" fontId="49" fillId="25" borderId="2" xfId="0" applyNumberFormat="1" applyFont="1" applyFill="1" applyBorder="1" applyAlignment="1" applyProtection="1">
      <alignment vertical="center"/>
      <protection locked="0"/>
    </xf>
    <xf numFmtId="168" fontId="49" fillId="25" borderId="2" xfId="0" applyNumberFormat="1" applyFont="1" applyFill="1" applyBorder="1" applyAlignment="1" applyProtection="1">
      <alignment horizontal="right" vertical="center"/>
      <protection locked="0"/>
    </xf>
    <xf numFmtId="168" fontId="2" fillId="25" borderId="2" xfId="0" applyNumberFormat="1" applyFont="1" applyFill="1" applyBorder="1" applyAlignment="1" applyProtection="1">
      <alignment vertical="center"/>
      <protection locked="0"/>
    </xf>
    <xf numFmtId="168" fontId="49" fillId="25" borderId="2" xfId="1" applyNumberFormat="1" applyFont="1" applyFill="1" applyBorder="1" applyAlignment="1" applyProtection="1">
      <alignment horizontal="right" vertical="center"/>
      <protection locked="0"/>
    </xf>
    <xf numFmtId="168" fontId="2" fillId="25" borderId="2" xfId="0" applyNumberFormat="1" applyFont="1" applyFill="1" applyBorder="1" applyAlignment="1" applyProtection="1">
      <alignment horizontal="right" vertical="center"/>
      <protection locked="0"/>
    </xf>
    <xf numFmtId="168" fontId="107" fillId="7" borderId="2" xfId="0" applyNumberFormat="1" applyFont="1" applyFill="1" applyBorder="1" applyAlignment="1" applyProtection="1">
      <alignment horizontal="right" vertical="center"/>
      <protection locked="0"/>
    </xf>
    <xf numFmtId="168" fontId="107" fillId="7" borderId="2" xfId="0" applyNumberFormat="1" applyFont="1" applyFill="1" applyBorder="1" applyAlignment="1" applyProtection="1">
      <alignment vertical="center"/>
      <protection locked="0"/>
    </xf>
    <xf numFmtId="168" fontId="2" fillId="13" borderId="2" xfId="0" applyNumberFormat="1" applyFont="1" applyFill="1" applyBorder="1" applyAlignment="1" applyProtection="1">
      <alignment vertical="center"/>
      <protection locked="0"/>
    </xf>
    <xf numFmtId="168" fontId="49" fillId="13" borderId="2" xfId="0" applyNumberFormat="1" applyFont="1" applyFill="1" applyBorder="1" applyAlignment="1" applyProtection="1">
      <alignment vertical="center"/>
      <protection locked="0"/>
    </xf>
    <xf numFmtId="168" fontId="107" fillId="13" borderId="2" xfId="0" applyNumberFormat="1" applyFont="1" applyFill="1" applyBorder="1" applyAlignment="1" applyProtection="1">
      <alignment vertical="center"/>
      <protection locked="0"/>
    </xf>
    <xf numFmtId="168" fontId="49" fillId="7" borderId="2" xfId="0" applyNumberFormat="1" applyFont="1" applyFill="1" applyBorder="1" applyAlignment="1" applyProtection="1">
      <alignment horizontal="right" vertical="center"/>
      <protection locked="0"/>
    </xf>
    <xf numFmtId="175" fontId="49" fillId="0" borderId="2" xfId="0" applyNumberFormat="1" applyFont="1" applyFill="1" applyBorder="1" applyAlignment="1" applyProtection="1">
      <alignment vertical="center"/>
    </xf>
    <xf numFmtId="175" fontId="49" fillId="11" borderId="2" xfId="0" applyNumberFormat="1" applyFont="1" applyFill="1" applyBorder="1" applyAlignment="1" applyProtection="1">
      <alignment vertical="center"/>
    </xf>
    <xf numFmtId="175" fontId="49" fillId="0" borderId="80" xfId="0" applyNumberFormat="1" applyFont="1" applyFill="1" applyBorder="1" applyAlignment="1" applyProtection="1">
      <alignment vertical="center"/>
    </xf>
    <xf numFmtId="168" fontId="2" fillId="7" borderId="2" xfId="0" applyNumberFormat="1" applyFont="1" applyFill="1" applyBorder="1" applyAlignment="1" applyProtection="1">
      <alignment vertical="center"/>
      <protection locked="0"/>
    </xf>
    <xf numFmtId="168" fontId="49" fillId="7" borderId="2" xfId="0" applyNumberFormat="1" applyFont="1" applyFill="1" applyBorder="1" applyAlignment="1" applyProtection="1">
      <alignment vertical="center"/>
      <protection locked="0"/>
    </xf>
    <xf numFmtId="170" fontId="107" fillId="15" borderId="2" xfId="0" applyFont="1" applyFill="1" applyBorder="1" applyAlignment="1" applyProtection="1">
      <alignment horizontal="center"/>
    </xf>
    <xf numFmtId="3" fontId="49" fillId="13" borderId="20" xfId="0" applyNumberFormat="1" applyFont="1" applyFill="1" applyBorder="1" applyAlignment="1" applyProtection="1">
      <alignment horizontal="right" vertical="center"/>
      <protection locked="0"/>
    </xf>
    <xf numFmtId="1" fontId="113" fillId="9" borderId="40" xfId="0" applyNumberFormat="1" applyFont="1" applyFill="1" applyBorder="1" applyAlignment="1" applyProtection="1">
      <alignment horizontal="center"/>
      <protection locked="0"/>
    </xf>
    <xf numFmtId="1" fontId="113" fillId="9" borderId="54" xfId="0" applyNumberFormat="1" applyFont="1" applyFill="1" applyBorder="1" applyAlignment="1" applyProtection="1">
      <alignment horizontal="center"/>
      <protection locked="0"/>
    </xf>
    <xf numFmtId="1" fontId="113" fillId="9" borderId="108" xfId="0" applyNumberFormat="1" applyFont="1" applyFill="1" applyBorder="1" applyAlignment="1" applyProtection="1">
      <alignment horizontal="center"/>
      <protection locked="0"/>
    </xf>
    <xf numFmtId="1" fontId="107" fillId="13" borderId="2" xfId="0" applyNumberFormat="1" applyFont="1" applyFill="1" applyBorder="1" applyAlignment="1" applyProtection="1">
      <alignment horizontal="right" vertical="center"/>
      <protection locked="0"/>
    </xf>
    <xf numFmtId="1" fontId="49" fillId="13" borderId="2" xfId="0" applyNumberFormat="1" applyFont="1" applyFill="1" applyBorder="1" applyAlignment="1" applyProtection="1">
      <alignment vertical="center"/>
      <protection locked="0"/>
    </xf>
    <xf numFmtId="165" fontId="8" fillId="0" borderId="0" xfId="0" applyNumberFormat="1" applyFont="1" applyFill="1"/>
    <xf numFmtId="165" fontId="8" fillId="0" borderId="0" xfId="0" applyNumberFormat="1" applyFont="1" applyFill="1" applyProtection="1"/>
    <xf numFmtId="170" fontId="83" fillId="0" borderId="0" xfId="0" applyFont="1" applyFill="1" applyBorder="1" applyAlignment="1" applyProtection="1">
      <alignment horizontal="center" vertical="center"/>
    </xf>
    <xf numFmtId="170"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3" fontId="113" fillId="0" borderId="84" xfId="0" applyNumberFormat="1" applyFont="1" applyBorder="1" applyAlignment="1" applyProtection="1">
      <alignment horizontal="right" wrapText="1"/>
    </xf>
    <xf numFmtId="3" fontId="113" fillId="0" borderId="85" xfId="0" applyNumberFormat="1" applyFont="1" applyBorder="1" applyAlignment="1" applyProtection="1">
      <alignment horizontal="right" wrapText="1"/>
    </xf>
    <xf numFmtId="3" fontId="0" fillId="0" borderId="0" xfId="0" applyNumberFormat="1" applyFill="1" applyBorder="1"/>
    <xf numFmtId="170" fontId="113" fillId="0" borderId="161" xfId="0" applyFont="1" applyBorder="1" applyAlignment="1">
      <alignment horizontal="justify" vertical="top" wrapText="1"/>
    </xf>
    <xf numFmtId="170" fontId="113" fillId="0" borderId="149" xfId="0" applyFont="1" applyBorder="1" applyAlignment="1">
      <alignment horizontal="justify" vertical="top" wrapText="1"/>
    </xf>
    <xf numFmtId="15" fontId="80" fillId="0" borderId="0" xfId="0" applyNumberFormat="1" applyFont="1" applyFill="1" applyBorder="1" applyAlignment="1" applyProtection="1">
      <alignment horizontal="center"/>
    </xf>
    <xf numFmtId="170" fontId="117" fillId="0" borderId="0" xfId="0" applyFont="1"/>
    <xf numFmtId="170" fontId="34" fillId="0" borderId="0" xfId="0" applyFont="1" applyAlignment="1">
      <alignment horizontal="center"/>
    </xf>
    <xf numFmtId="170" fontId="34" fillId="0" borderId="0" xfId="0" applyFont="1" applyBorder="1" applyAlignment="1">
      <alignment horizontal="center"/>
    </xf>
    <xf numFmtId="170" fontId="113" fillId="0" borderId="0" xfId="0" applyFont="1" applyBorder="1" applyAlignment="1">
      <alignment horizontal="justify" vertical="top" wrapText="1"/>
    </xf>
    <xf numFmtId="170" fontId="113" fillId="0" borderId="233" xfId="0" applyFont="1" applyBorder="1" applyAlignment="1">
      <alignment horizontal="justify" vertical="top" wrapText="1"/>
    </xf>
    <xf numFmtId="170" fontId="113" fillId="0" borderId="234" xfId="0" applyFont="1" applyBorder="1" applyAlignment="1">
      <alignment horizontal="justify" vertical="top" wrapText="1"/>
    </xf>
    <xf numFmtId="170" fontId="113" fillId="0" borderId="235" xfId="0" applyFont="1" applyBorder="1" applyAlignment="1">
      <alignment horizontal="justify" vertical="top" wrapText="1"/>
    </xf>
    <xf numFmtId="49" fontId="113" fillId="0" borderId="2" xfId="0" applyNumberFormat="1" applyFont="1" applyFill="1" applyBorder="1" applyAlignment="1" applyProtection="1">
      <alignment horizontal="center"/>
      <protection locked="0"/>
    </xf>
    <xf numFmtId="170" fontId="121" fillId="0" borderId="0" xfId="0" applyFont="1" applyFill="1" applyBorder="1" applyAlignment="1" applyProtection="1">
      <alignment horizontal="right"/>
    </xf>
    <xf numFmtId="171" fontId="14" fillId="0" borderId="2" xfId="20" applyNumberFormat="1" applyFont="1" applyFill="1" applyBorder="1" applyAlignment="1" applyProtection="1">
      <alignment horizontal="center"/>
      <protection locked="0"/>
    </xf>
    <xf numFmtId="170" fontId="121" fillId="0" borderId="88" xfId="0" applyFont="1" applyFill="1" applyBorder="1" applyAlignment="1" applyProtection="1">
      <alignment horizontal="right"/>
    </xf>
    <xf numFmtId="3" fontId="14" fillId="9" borderId="47" xfId="0" applyNumberFormat="1" applyFont="1" applyFill="1" applyBorder="1" applyAlignment="1" applyProtection="1">
      <protection locked="0"/>
    </xf>
    <xf numFmtId="3" fontId="14" fillId="0" borderId="2" xfId="0" applyNumberFormat="1" applyFont="1" applyFill="1" applyBorder="1" applyAlignment="1" applyProtection="1"/>
    <xf numFmtId="3" fontId="14" fillId="0" borderId="232" xfId="0" applyNumberFormat="1" applyFont="1" applyFill="1" applyBorder="1" applyAlignment="1" applyProtection="1"/>
    <xf numFmtId="1" fontId="14" fillId="3" borderId="109" xfId="0" applyNumberFormat="1" applyFont="1" applyFill="1" applyBorder="1" applyAlignment="1" applyProtection="1">
      <alignment horizontal="center"/>
    </xf>
    <xf numFmtId="1" fontId="113" fillId="9" borderId="2" xfId="0" applyNumberFormat="1" applyFont="1" applyFill="1" applyBorder="1" applyAlignment="1" applyProtection="1">
      <alignment horizontal="center"/>
      <protection locked="0"/>
    </xf>
    <xf numFmtId="3" fontId="113" fillId="6" borderId="33" xfId="0" applyNumberFormat="1" applyFont="1" applyFill="1" applyBorder="1" applyAlignment="1" applyProtection="1">
      <alignment horizontal="center"/>
      <protection locked="0"/>
    </xf>
    <xf numFmtId="3" fontId="113" fillId="0" borderId="17" xfId="0" applyNumberFormat="1" applyFont="1" applyFill="1" applyBorder="1" applyAlignment="1" applyProtection="1">
      <alignment horizontal="center"/>
    </xf>
    <xf numFmtId="3" fontId="113" fillId="6" borderId="17" xfId="0" applyNumberFormat="1" applyFont="1" applyFill="1" applyBorder="1" applyAlignment="1" applyProtection="1">
      <alignment horizontal="center"/>
      <protection locked="0"/>
    </xf>
    <xf numFmtId="170" fontId="113" fillId="0" borderId="0" xfId="0" applyFont="1" applyBorder="1" applyProtection="1"/>
    <xf numFmtId="1" fontId="113" fillId="6" borderId="2" xfId="0" applyNumberFormat="1" applyFont="1" applyFill="1" applyBorder="1" applyAlignment="1" applyProtection="1">
      <alignment horizontal="center"/>
      <protection locked="0"/>
    </xf>
    <xf numFmtId="1" fontId="113" fillId="0" borderId="109" xfId="0" applyNumberFormat="1" applyFont="1" applyFill="1" applyBorder="1" applyAlignment="1" applyProtection="1">
      <alignment horizontal="center"/>
    </xf>
    <xf numFmtId="1" fontId="113" fillId="6" borderId="33" xfId="0" applyNumberFormat="1" applyFont="1" applyFill="1" applyBorder="1" applyAlignment="1" applyProtection="1">
      <alignment horizontal="center"/>
      <protection locked="0"/>
    </xf>
    <xf numFmtId="3" fontId="113" fillId="3" borderId="17" xfId="0" applyNumberFormat="1" applyFont="1" applyFill="1" applyBorder="1" applyAlignment="1" applyProtection="1">
      <alignment horizontal="center"/>
      <protection locked="0"/>
    </xf>
    <xf numFmtId="3" fontId="113" fillId="0" borderId="2" xfId="0" applyNumberFormat="1" applyFont="1" applyFill="1" applyBorder="1"/>
    <xf numFmtId="3" fontId="113" fillId="0" borderId="46" xfId="0" applyNumberFormat="1" applyFont="1" applyFill="1" applyBorder="1"/>
    <xf numFmtId="168" fontId="122" fillId="5" borderId="2" xfId="0" applyNumberFormat="1" applyFont="1" applyFill="1" applyBorder="1" applyAlignment="1" applyProtection="1">
      <alignment vertical="center"/>
      <protection locked="0"/>
    </xf>
    <xf numFmtId="168" fontId="122" fillId="24" borderId="2" xfId="0" applyNumberFormat="1" applyFont="1" applyFill="1" applyBorder="1" applyAlignment="1" applyProtection="1">
      <alignment horizontal="right" vertical="center"/>
      <protection locked="0"/>
    </xf>
    <xf numFmtId="168" fontId="122" fillId="25" borderId="2" xfId="0" applyNumberFormat="1" applyFont="1" applyFill="1" applyBorder="1" applyAlignment="1" applyProtection="1">
      <alignment vertical="center"/>
      <protection locked="0"/>
    </xf>
    <xf numFmtId="168" fontId="122" fillId="7" borderId="2" xfId="0" applyNumberFormat="1" applyFont="1" applyFill="1" applyBorder="1" applyAlignment="1" applyProtection="1">
      <alignment horizontal="right" vertical="center"/>
      <protection locked="0"/>
    </xf>
    <xf numFmtId="1" fontId="122" fillId="13" borderId="2" xfId="0" applyNumberFormat="1" applyFont="1" applyFill="1" applyBorder="1" applyAlignment="1" applyProtection="1">
      <alignment vertical="center"/>
      <protection locked="0"/>
    </xf>
    <xf numFmtId="168" fontId="49" fillId="7" borderId="110" xfId="0" applyNumberFormat="1" applyFont="1" applyFill="1" applyBorder="1" applyAlignment="1" applyProtection="1">
      <alignment horizontal="right" vertical="center"/>
      <protection locked="0"/>
    </xf>
    <xf numFmtId="168" fontId="122" fillId="13" borderId="2" xfId="0" applyNumberFormat="1" applyFont="1" applyFill="1" applyBorder="1" applyAlignment="1" applyProtection="1">
      <alignment horizontal="right" vertical="center"/>
      <protection locked="0"/>
    </xf>
    <xf numFmtId="168" fontId="49" fillId="13" borderId="110" xfId="0" applyNumberFormat="1" applyFont="1" applyFill="1" applyBorder="1" applyAlignment="1" applyProtection="1">
      <alignment horizontal="right" vertical="center"/>
      <protection locked="0"/>
    </xf>
    <xf numFmtId="170" fontId="113" fillId="0" borderId="0" xfId="0" applyFont="1" applyBorder="1" applyAlignment="1">
      <alignment horizontal="left"/>
    </xf>
    <xf numFmtId="170" fontId="113" fillId="0" borderId="0" xfId="0" applyFont="1"/>
    <xf numFmtId="170" fontId="113" fillId="0" borderId="0" xfId="0" applyFont="1" applyBorder="1" applyAlignment="1">
      <alignment horizontal="left" wrapText="1"/>
    </xf>
    <xf numFmtId="170" fontId="23" fillId="5" borderId="0" xfId="0" applyFont="1" applyFill="1" applyBorder="1" applyAlignment="1" applyProtection="1">
      <alignment horizontal="center" vertical="top" wrapText="1"/>
      <protection locked="0"/>
    </xf>
    <xf numFmtId="170" fontId="23" fillId="5" borderId="0" xfId="0" applyFont="1" applyFill="1" applyBorder="1" applyAlignment="1" applyProtection="1">
      <alignment horizontal="left" vertical="top" wrapText="1"/>
      <protection locked="0"/>
    </xf>
    <xf numFmtId="9" fontId="125" fillId="0" borderId="0" xfId="0" applyNumberFormat="1" applyFont="1" applyFill="1" applyBorder="1" applyAlignment="1" applyProtection="1"/>
    <xf numFmtId="170" fontId="98" fillId="0" borderId="0" xfId="0" applyFont="1" applyFill="1" applyBorder="1" applyAlignment="1" applyProtection="1">
      <alignment horizontal="center" vertical="center"/>
    </xf>
    <xf numFmtId="9" fontId="125" fillId="0" borderId="0" xfId="0" applyNumberFormat="1" applyFont="1" applyFill="1" applyBorder="1" applyAlignment="1" applyProtection="1">
      <alignment horizontal="center"/>
    </xf>
    <xf numFmtId="169" fontId="42" fillId="3" borderId="0" xfId="0" applyNumberFormat="1" applyFont="1" applyFill="1" applyBorder="1" applyAlignment="1" applyProtection="1">
      <alignment vertical="center"/>
    </xf>
    <xf numFmtId="170" fontId="98" fillId="3" borderId="0" xfId="0" applyFont="1" applyFill="1" applyBorder="1" applyAlignment="1" applyProtection="1">
      <alignment horizontal="center" vertical="center"/>
    </xf>
    <xf numFmtId="170" fontId="126" fillId="3" borderId="0" xfId="0" applyFont="1" applyFill="1" applyBorder="1" applyAlignment="1" applyProtection="1">
      <alignment horizontal="center" vertical="center"/>
    </xf>
    <xf numFmtId="168" fontId="42" fillId="3" borderId="0" xfId="19" applyNumberFormat="1" applyFont="1" applyFill="1" applyBorder="1" applyAlignment="1" applyProtection="1">
      <alignment horizontal="right"/>
    </xf>
    <xf numFmtId="9" fontId="125" fillId="3" borderId="0" xfId="0" applyNumberFormat="1" applyFont="1" applyFill="1" applyBorder="1" applyProtection="1"/>
    <xf numFmtId="9" fontId="125" fillId="3" borderId="0" xfId="0" applyNumberFormat="1" applyFont="1" applyFill="1" applyBorder="1" applyAlignment="1" applyProtection="1">
      <alignment horizontal="left"/>
    </xf>
    <xf numFmtId="170" fontId="23" fillId="0" borderId="0" xfId="0" applyFont="1" applyBorder="1" applyAlignment="1" applyProtection="1">
      <alignment horizontal="center" vertical="center"/>
    </xf>
    <xf numFmtId="170" fontId="42" fillId="3" borderId="0" xfId="0" applyFont="1" applyFill="1" applyBorder="1" applyAlignment="1" applyProtection="1">
      <alignment horizontal="left" vertical="center"/>
    </xf>
    <xf numFmtId="170" fontId="127" fillId="3" borderId="0" xfId="0" applyFont="1" applyFill="1" applyBorder="1" applyAlignment="1" applyProtection="1">
      <alignment horizontal="left" vertical="center"/>
    </xf>
    <xf numFmtId="170" fontId="44" fillId="0" borderId="0" xfId="0" applyFont="1" applyFill="1" applyBorder="1" applyAlignment="1" applyProtection="1">
      <alignment horizontal="right"/>
    </xf>
    <xf numFmtId="9" fontId="125" fillId="0" borderId="0" xfId="0" applyNumberFormat="1" applyFont="1" applyFill="1" applyBorder="1" applyProtection="1"/>
    <xf numFmtId="170" fontId="44" fillId="0" borderId="0" xfId="0" applyFont="1" applyFill="1" applyBorder="1" applyProtection="1"/>
    <xf numFmtId="170" fontId="129" fillId="0" borderId="0" xfId="0" applyFont="1" applyFill="1" applyBorder="1" applyProtection="1"/>
    <xf numFmtId="170" fontId="130" fillId="0" borderId="0" xfId="0" applyFont="1" applyFill="1" applyBorder="1" applyAlignment="1" applyProtection="1">
      <alignment horizontal="center" vertical="center"/>
    </xf>
    <xf numFmtId="170" fontId="131" fillId="0" borderId="0" xfId="0" applyFont="1" applyFill="1" applyBorder="1" applyAlignment="1" applyProtection="1">
      <alignment horizontal="center" vertical="center"/>
    </xf>
    <xf numFmtId="170" fontId="131" fillId="0" borderId="0" xfId="0" applyFont="1" applyFill="1" applyBorder="1" applyAlignment="1" applyProtection="1">
      <alignment horizontal="right" vertical="center" indent="1"/>
    </xf>
    <xf numFmtId="170" fontId="132" fillId="0" borderId="0" xfId="0" applyFont="1" applyFill="1" applyBorder="1" applyAlignment="1" applyProtection="1">
      <alignment horizontal="center"/>
    </xf>
    <xf numFmtId="170" fontId="56" fillId="0" borderId="71" xfId="0" applyNumberFormat="1" applyFont="1" applyFill="1" applyBorder="1" applyAlignment="1" applyProtection="1">
      <alignment horizontal="center" vertical="center"/>
    </xf>
    <xf numFmtId="170" fontId="23" fillId="0" borderId="21" xfId="0" applyNumberFormat="1" applyFont="1" applyFill="1" applyBorder="1" applyAlignment="1" applyProtection="1">
      <alignment vertical="center"/>
    </xf>
    <xf numFmtId="170" fontId="56" fillId="0" borderId="72" xfId="0" applyNumberFormat="1" applyFont="1" applyFill="1" applyBorder="1" applyAlignment="1" applyProtection="1">
      <alignment horizontal="center" vertical="center"/>
    </xf>
    <xf numFmtId="170" fontId="23" fillId="0" borderId="22" xfId="0" applyNumberFormat="1" applyFont="1" applyFill="1" applyBorder="1" applyAlignment="1" applyProtection="1">
      <alignment vertical="center"/>
    </xf>
    <xf numFmtId="170" fontId="56" fillId="0" borderId="73" xfId="0" applyNumberFormat="1" applyFont="1" applyFill="1" applyBorder="1" applyAlignment="1" applyProtection="1">
      <alignment horizontal="center" vertical="center"/>
    </xf>
    <xf numFmtId="170" fontId="23" fillId="0" borderId="28" xfId="0" applyNumberFormat="1" applyFont="1" applyFill="1" applyBorder="1" applyAlignment="1" applyProtection="1">
      <alignment vertical="center"/>
    </xf>
    <xf numFmtId="164" fontId="10" fillId="16" borderId="0" xfId="4" applyFont="1" applyFill="1" applyBorder="1" applyAlignment="1">
      <alignment horizontal="center" vertical="center"/>
    </xf>
    <xf numFmtId="164" fontId="26" fillId="0" borderId="0" xfId="0" applyNumberFormat="1" applyFont="1" applyAlignment="1">
      <alignment horizontal="center"/>
    </xf>
    <xf numFmtId="170" fontId="0" fillId="0" borderId="0" xfId="0" applyAlignment="1"/>
    <xf numFmtId="170" fontId="105" fillId="0" borderId="0" xfId="0" applyFont="1" applyAlignment="1">
      <alignment horizontal="center"/>
    </xf>
    <xf numFmtId="170" fontId="106" fillId="0" borderId="0" xfId="0" applyFont="1" applyAlignment="1">
      <alignment horizontal="center"/>
    </xf>
    <xf numFmtId="170" fontId="98" fillId="22" borderId="29" xfId="0" applyFont="1" applyFill="1" applyBorder="1" applyAlignment="1" applyProtection="1">
      <alignment horizontal="justify" vertical="center" wrapText="1"/>
      <protection locked="0"/>
    </xf>
    <xf numFmtId="170" fontId="98" fillId="22" borderId="30" xfId="0" applyFont="1" applyFill="1" applyBorder="1" applyAlignment="1" applyProtection="1">
      <alignment horizontal="justify" vertical="center" wrapText="1"/>
      <protection locked="0"/>
    </xf>
    <xf numFmtId="170" fontId="98" fillId="22" borderId="31" xfId="0" applyFont="1" applyFill="1" applyBorder="1" applyAlignment="1" applyProtection="1">
      <alignment horizontal="justify" vertical="center" wrapText="1"/>
      <protection locked="0"/>
    </xf>
    <xf numFmtId="170" fontId="47" fillId="0" borderId="112" xfId="0" applyFont="1" applyBorder="1" applyAlignment="1">
      <alignment horizontal="left" vertical="center" wrapText="1"/>
    </xf>
    <xf numFmtId="170" fontId="47" fillId="0" borderId="111" xfId="0" applyFont="1" applyBorder="1" applyAlignment="1">
      <alignment horizontal="left" vertical="center" wrapText="1"/>
    </xf>
    <xf numFmtId="170" fontId="47" fillId="0" borderId="113" xfId="0" applyFont="1" applyBorder="1" applyAlignment="1">
      <alignment horizontal="left" vertical="center" wrapText="1"/>
    </xf>
    <xf numFmtId="170" fontId="47" fillId="0" borderId="114" xfId="0" applyFont="1" applyBorder="1" applyAlignment="1">
      <alignment horizontal="left" vertical="center" wrapText="1"/>
    </xf>
    <xf numFmtId="170" fontId="47" fillId="0" borderId="75" xfId="0" applyFont="1" applyBorder="1" applyAlignment="1">
      <alignment horizontal="left" vertical="center" wrapText="1"/>
    </xf>
    <xf numFmtId="170" fontId="47" fillId="0" borderId="77" xfId="0" applyFont="1" applyBorder="1" applyAlignment="1">
      <alignment horizontal="left" vertical="center" wrapText="1"/>
    </xf>
    <xf numFmtId="170" fontId="71" fillId="5" borderId="29" xfId="0" applyFont="1" applyFill="1" applyBorder="1" applyAlignment="1">
      <alignment horizontal="center" vertical="center"/>
    </xf>
    <xf numFmtId="170" fontId="71" fillId="5" borderId="30" xfId="0" applyFont="1" applyFill="1" applyBorder="1" applyAlignment="1">
      <alignment horizontal="center" vertical="center"/>
    </xf>
    <xf numFmtId="170" fontId="71" fillId="5" borderId="31" xfId="0" applyFont="1" applyFill="1" applyBorder="1" applyAlignment="1">
      <alignment horizontal="center" vertical="center"/>
    </xf>
    <xf numFmtId="170" fontId="110" fillId="22" borderId="30" xfId="0" applyFont="1" applyFill="1" applyBorder="1" applyAlignment="1" applyProtection="1">
      <alignment horizontal="justify" vertical="center" wrapText="1"/>
      <protection locked="0"/>
    </xf>
    <xf numFmtId="170" fontId="110" fillId="22" borderId="31" xfId="0" applyFont="1" applyFill="1" applyBorder="1" applyAlignment="1" applyProtection="1">
      <alignment horizontal="justify" vertical="center" wrapText="1"/>
      <protection locked="0"/>
    </xf>
    <xf numFmtId="170" fontId="110" fillId="0" borderId="29" xfId="0" applyFont="1" applyBorder="1" applyAlignment="1" applyProtection="1">
      <alignment horizontal="justify" vertical="center" wrapText="1"/>
      <protection locked="0"/>
    </xf>
    <xf numFmtId="170" fontId="110" fillId="0" borderId="30" xfId="0" applyFont="1" applyBorder="1" applyAlignment="1" applyProtection="1">
      <alignment horizontal="justify" vertical="center" wrapText="1"/>
      <protection locked="0"/>
    </xf>
    <xf numFmtId="170" fontId="110" fillId="0" borderId="31" xfId="0" applyFont="1" applyBorder="1" applyAlignment="1" applyProtection="1">
      <alignment horizontal="justify" vertical="center" wrapText="1"/>
      <protection locked="0"/>
    </xf>
    <xf numFmtId="170" fontId="17" fillId="0" borderId="29" xfId="0" applyFont="1" applyBorder="1" applyAlignment="1">
      <alignment horizontal="center" vertical="center" wrapText="1"/>
    </xf>
    <xf numFmtId="170" fontId="17" fillId="0" borderId="30" xfId="0" applyFont="1" applyBorder="1" applyAlignment="1">
      <alignment horizontal="center" vertical="center" wrapText="1"/>
    </xf>
    <xf numFmtId="170" fontId="17" fillId="0" borderId="31" xfId="0" applyFont="1" applyBorder="1" applyAlignment="1">
      <alignment horizontal="center" vertical="center" wrapText="1"/>
    </xf>
    <xf numFmtId="170" fontId="71" fillId="5" borderId="29" xfId="0" applyFont="1" applyFill="1" applyBorder="1" applyAlignment="1">
      <alignment horizontal="center" wrapText="1"/>
    </xf>
    <xf numFmtId="170" fontId="71" fillId="5" borderId="30" xfId="0" applyFont="1" applyFill="1" applyBorder="1" applyAlignment="1">
      <alignment horizontal="center" wrapText="1"/>
    </xf>
    <xf numFmtId="170" fontId="71" fillId="5" borderId="31" xfId="0" applyFont="1" applyFill="1" applyBorder="1" applyAlignment="1">
      <alignment horizontal="center" wrapText="1"/>
    </xf>
    <xf numFmtId="170" fontId="71" fillId="5" borderId="29" xfId="0" applyFont="1" applyFill="1" applyBorder="1" applyAlignment="1">
      <alignment horizontal="center"/>
    </xf>
    <xf numFmtId="170" fontId="71" fillId="5" borderId="30" xfId="0" applyFont="1" applyFill="1" applyBorder="1" applyAlignment="1">
      <alignment horizontal="center"/>
    </xf>
    <xf numFmtId="170" fontId="71" fillId="5" borderId="31" xfId="0" applyFont="1" applyFill="1" applyBorder="1" applyAlignment="1">
      <alignment horizontal="center"/>
    </xf>
    <xf numFmtId="170" fontId="66" fillId="0" borderId="29" xfId="0" applyFont="1" applyBorder="1" applyAlignment="1" applyProtection="1">
      <alignment vertical="center" wrapText="1"/>
      <protection locked="0"/>
    </xf>
    <xf numFmtId="170" fontId="66" fillId="0" borderId="30" xfId="0" applyFont="1" applyBorder="1" applyAlignment="1" applyProtection="1">
      <alignment vertical="center" wrapText="1"/>
      <protection locked="0"/>
    </xf>
    <xf numFmtId="170" fontId="66" fillId="0" borderId="31" xfId="0" applyFont="1" applyBorder="1" applyAlignment="1" applyProtection="1">
      <alignment vertical="center" wrapText="1"/>
      <protection locked="0"/>
    </xf>
    <xf numFmtId="164" fontId="66" fillId="0" borderId="29" xfId="0" applyNumberFormat="1" applyFont="1" applyBorder="1" applyAlignment="1">
      <alignment horizontal="justify" vertical="center" wrapText="1"/>
    </xf>
    <xf numFmtId="170" fontId="66" fillId="0" borderId="30" xfId="0" applyFont="1" applyBorder="1" applyAlignment="1">
      <alignment horizontal="justify" vertical="center" wrapText="1"/>
    </xf>
    <xf numFmtId="170" fontId="66" fillId="0" borderId="31" xfId="0" applyFont="1" applyBorder="1" applyAlignment="1">
      <alignment horizontal="justify" vertical="center" wrapText="1"/>
    </xf>
    <xf numFmtId="164" fontId="66" fillId="0" borderId="112" xfId="0" applyNumberFormat="1" applyFont="1" applyBorder="1" applyAlignment="1">
      <alignment horizontal="left" vertical="center" wrapText="1"/>
    </xf>
    <xf numFmtId="170" fontId="66" fillId="0" borderId="111" xfId="0" applyFont="1" applyBorder="1" applyAlignment="1">
      <alignment horizontal="left" vertical="center" wrapText="1"/>
    </xf>
    <xf numFmtId="170" fontId="66" fillId="0" borderId="113" xfId="0" applyFont="1" applyBorder="1" applyAlignment="1">
      <alignment horizontal="left" vertical="center" wrapText="1"/>
    </xf>
    <xf numFmtId="170" fontId="66" fillId="0" borderId="114" xfId="0" applyFont="1" applyBorder="1" applyAlignment="1">
      <alignment horizontal="left" vertical="center" wrapText="1"/>
    </xf>
    <xf numFmtId="170" fontId="66" fillId="0" borderId="75" xfId="0" applyFont="1" applyBorder="1" applyAlignment="1">
      <alignment horizontal="left" vertical="center" wrapText="1"/>
    </xf>
    <xf numFmtId="170" fontId="66" fillId="0" borderId="77" xfId="0" applyFont="1" applyBorder="1" applyAlignment="1">
      <alignment horizontal="left" vertical="center" wrapText="1"/>
    </xf>
    <xf numFmtId="170" fontId="67" fillId="0" borderId="114" xfId="0" applyFont="1" applyBorder="1" applyAlignment="1">
      <alignment horizontal="justify" vertical="center" wrapText="1"/>
    </xf>
    <xf numFmtId="170" fontId="67" fillId="0" borderId="75" xfId="0" applyFont="1" applyBorder="1" applyAlignment="1">
      <alignment horizontal="justify" vertical="center" wrapText="1"/>
    </xf>
    <xf numFmtId="170" fontId="67" fillId="0" borderId="77" xfId="0" applyFont="1" applyBorder="1" applyAlignment="1">
      <alignment horizontal="justify" vertical="center" wrapText="1"/>
    </xf>
    <xf numFmtId="170" fontId="67" fillId="0" borderId="29" xfId="0" applyFont="1" applyBorder="1" applyAlignment="1">
      <alignment horizontal="justify" vertical="center" wrapText="1"/>
    </xf>
    <xf numFmtId="170" fontId="67" fillId="0" borderId="30" xfId="0" applyFont="1" applyBorder="1" applyAlignment="1">
      <alignment horizontal="justify" vertical="center" wrapText="1"/>
    </xf>
    <xf numFmtId="170" fontId="67" fillId="0" borderId="31" xfId="0" applyFont="1" applyBorder="1" applyAlignment="1">
      <alignment horizontal="justify" vertical="center" wrapText="1"/>
    </xf>
    <xf numFmtId="170" fontId="47" fillId="0" borderId="29" xfId="0" applyFont="1" applyBorder="1" applyAlignment="1">
      <alignment horizontal="justify" vertical="center" wrapText="1"/>
    </xf>
    <xf numFmtId="170" fontId="47" fillId="0" borderId="30" xfId="0" applyFont="1" applyBorder="1" applyAlignment="1">
      <alignment horizontal="justify" vertical="center" wrapText="1"/>
    </xf>
    <xf numFmtId="170" fontId="47" fillId="0" borderId="31" xfId="0" applyFont="1" applyBorder="1" applyAlignment="1">
      <alignment horizontal="justify" vertical="center" wrapText="1"/>
    </xf>
    <xf numFmtId="170" fontId="0" fillId="0" borderId="29" xfId="0" applyBorder="1" applyAlignment="1">
      <alignment horizontal="center" vertical="center" wrapText="1"/>
    </xf>
    <xf numFmtId="170" fontId="0" fillId="0" borderId="30" xfId="0" applyBorder="1" applyAlignment="1">
      <alignment horizontal="center" vertical="center" wrapText="1"/>
    </xf>
    <xf numFmtId="170" fontId="0" fillId="0" borderId="31" xfId="0" applyBorder="1" applyAlignment="1">
      <alignment horizontal="center" vertical="center" wrapText="1"/>
    </xf>
    <xf numFmtId="170" fontId="64" fillId="0" borderId="0" xfId="0" applyFont="1" applyAlignment="1">
      <alignment horizontal="center"/>
    </xf>
    <xf numFmtId="170" fontId="72" fillId="5" borderId="29" xfId="0" applyFont="1" applyFill="1" applyBorder="1" applyAlignment="1">
      <alignment horizontal="center" vertical="center" wrapText="1"/>
    </xf>
    <xf numFmtId="170" fontId="72" fillId="5" borderId="30" xfId="0" applyFont="1" applyFill="1" applyBorder="1" applyAlignment="1">
      <alignment horizontal="center" vertical="center"/>
    </xf>
    <xf numFmtId="170" fontId="72" fillId="5" borderId="31" xfId="0" applyFont="1" applyFill="1" applyBorder="1" applyAlignment="1">
      <alignment horizontal="center" vertical="center"/>
    </xf>
    <xf numFmtId="170" fontId="47" fillId="0" borderId="29" xfId="0" applyFont="1" applyBorder="1" applyAlignment="1">
      <alignment horizontal="left" vertical="center" wrapText="1"/>
    </xf>
    <xf numFmtId="170" fontId="47" fillId="0" borderId="30" xfId="0" applyFont="1" applyBorder="1" applyAlignment="1">
      <alignment horizontal="left" vertical="center" wrapText="1"/>
    </xf>
    <xf numFmtId="170" fontId="47" fillId="0" borderId="31" xfId="0" applyFont="1" applyBorder="1" applyAlignment="1">
      <alignment horizontal="left" vertical="center" wrapText="1"/>
    </xf>
    <xf numFmtId="170" fontId="47" fillId="0" borderId="112" xfId="0" applyFont="1" applyBorder="1" applyAlignment="1">
      <alignment horizontal="justify" wrapText="1"/>
    </xf>
    <xf numFmtId="170" fontId="47" fillId="0" borderId="111" xfId="0" applyFont="1" applyBorder="1" applyAlignment="1">
      <alignment horizontal="justify" wrapText="1"/>
    </xf>
    <xf numFmtId="170" fontId="47" fillId="0" borderId="113" xfId="0" applyFont="1" applyBorder="1" applyAlignment="1">
      <alignment horizontal="justify" wrapText="1"/>
    </xf>
    <xf numFmtId="170" fontId="98" fillId="0" borderId="114" xfId="0" applyFont="1" applyBorder="1" applyAlignment="1">
      <alignment horizontal="justify" vertical="center" wrapText="1"/>
    </xf>
    <xf numFmtId="170" fontId="98" fillId="0" borderId="75" xfId="0" applyFont="1" applyBorder="1" applyAlignment="1">
      <alignment horizontal="justify" vertical="center" wrapText="1"/>
    </xf>
    <xf numFmtId="170" fontId="98" fillId="0" borderId="77" xfId="0" applyFont="1" applyBorder="1" applyAlignment="1">
      <alignment horizontal="justify" vertical="center" wrapText="1"/>
    </xf>
    <xf numFmtId="170" fontId="98" fillId="0" borderId="29" xfId="0" applyFont="1" applyBorder="1" applyAlignment="1">
      <alignment horizontal="left" vertical="center" wrapText="1"/>
    </xf>
    <xf numFmtId="170" fontId="95" fillId="0" borderId="30" xfId="0" applyFont="1" applyBorder="1" applyAlignment="1">
      <alignment horizontal="left" vertical="center" wrapText="1"/>
    </xf>
    <xf numFmtId="170" fontId="95" fillId="0" borderId="31" xfId="0" applyFont="1" applyBorder="1" applyAlignment="1">
      <alignment horizontal="left" vertical="center" wrapText="1"/>
    </xf>
    <xf numFmtId="170" fontId="98" fillId="0" borderId="29" xfId="0" applyFont="1" applyBorder="1" applyAlignment="1">
      <alignment horizontal="justify" vertical="center" wrapText="1"/>
    </xf>
    <xf numFmtId="170" fontId="98" fillId="0" borderId="30" xfId="0" applyFont="1" applyBorder="1" applyAlignment="1">
      <alignment horizontal="justify" vertical="center" wrapText="1"/>
    </xf>
    <xf numFmtId="170" fontId="98" fillId="0" borderId="31" xfId="0" applyFont="1" applyBorder="1" applyAlignment="1">
      <alignment horizontal="justify" vertical="center" wrapText="1"/>
    </xf>
    <xf numFmtId="170" fontId="110" fillId="5" borderId="29" xfId="0" applyFont="1" applyFill="1" applyBorder="1" applyAlignment="1">
      <alignment horizontal="justify" vertical="center" wrapText="1"/>
    </xf>
    <xf numFmtId="170" fontId="110" fillId="5" borderId="30" xfId="0" applyFont="1" applyFill="1" applyBorder="1" applyAlignment="1">
      <alignment horizontal="justify" vertical="center" wrapText="1"/>
    </xf>
    <xf numFmtId="170" fontId="110" fillId="5" borderId="31" xfId="0" applyFont="1" applyFill="1" applyBorder="1" applyAlignment="1">
      <alignment horizontal="justify" vertical="center" wrapText="1"/>
    </xf>
    <xf numFmtId="170" fontId="0" fillId="0" borderId="0" xfId="0" applyBorder="1" applyAlignment="1">
      <alignment horizontal="center" wrapText="1"/>
    </xf>
    <xf numFmtId="170" fontId="65" fillId="6" borderId="29" xfId="0" applyFont="1" applyFill="1" applyBorder="1" applyAlignment="1">
      <alignment horizontal="center"/>
    </xf>
    <xf numFmtId="170" fontId="65" fillId="6" borderId="30" xfId="0" applyFont="1" applyFill="1" applyBorder="1" applyAlignment="1">
      <alignment horizontal="center"/>
    </xf>
    <xf numFmtId="170" fontId="65" fillId="6" borderId="31" xfId="0" applyFont="1" applyFill="1" applyBorder="1" applyAlignment="1">
      <alignment horizontal="center"/>
    </xf>
    <xf numFmtId="170" fontId="0" fillId="0" borderId="0" xfId="0" applyBorder="1" applyAlignment="1">
      <alignment horizontal="center"/>
    </xf>
    <xf numFmtId="164" fontId="10" fillId="17" borderId="0" xfId="12" applyFont="1" applyFill="1" applyAlignment="1" applyProtection="1">
      <alignment horizontal="center" vertical="center"/>
    </xf>
    <xf numFmtId="170" fontId="65" fillId="9" borderId="29" xfId="0" applyFont="1" applyFill="1" applyBorder="1" applyAlignment="1">
      <alignment horizontal="center"/>
    </xf>
    <xf numFmtId="170" fontId="65" fillId="9" borderId="30" xfId="0" applyFont="1" applyFill="1" applyBorder="1" applyAlignment="1">
      <alignment horizontal="center"/>
    </xf>
    <xf numFmtId="170" fontId="65" fillId="9" borderId="31" xfId="0" applyFont="1" applyFill="1" applyBorder="1" applyAlignment="1">
      <alignment horizontal="center"/>
    </xf>
    <xf numFmtId="170" fontId="66" fillId="0" borderId="30" xfId="0" applyFont="1" applyBorder="1" applyAlignment="1">
      <alignment horizontal="justify" vertical="center"/>
    </xf>
    <xf numFmtId="170" fontId="66" fillId="0" borderId="31" xfId="0" applyFont="1" applyBorder="1" applyAlignment="1">
      <alignment horizontal="justify" vertical="center"/>
    </xf>
    <xf numFmtId="9" fontId="67" fillId="0" borderId="29" xfId="19" applyFont="1" applyBorder="1" applyAlignment="1">
      <alignment horizontal="justify" vertical="center" wrapText="1"/>
    </xf>
    <xf numFmtId="9" fontId="67" fillId="0" borderId="30" xfId="19" applyFont="1" applyBorder="1" applyAlignment="1">
      <alignment horizontal="justify" vertical="center" wrapText="1"/>
    </xf>
    <xf numFmtId="9" fontId="67" fillId="0" borderId="31" xfId="19" applyFont="1" applyBorder="1" applyAlignment="1">
      <alignment horizontal="justify" vertical="center" wrapText="1"/>
    </xf>
    <xf numFmtId="170" fontId="0" fillId="0" borderId="111" xfId="0" applyBorder="1" applyAlignment="1">
      <alignment horizontal="center" wrapText="1"/>
    </xf>
    <xf numFmtId="164" fontId="66" fillId="0" borderId="29" xfId="0" applyNumberFormat="1" applyFont="1" applyBorder="1" applyAlignment="1">
      <alignment horizontal="left" vertical="center" wrapText="1"/>
    </xf>
    <xf numFmtId="170" fontId="66" fillId="0" borderId="30" xfId="0" applyFont="1" applyBorder="1" applyAlignment="1">
      <alignment horizontal="left" vertical="center" wrapText="1"/>
    </xf>
    <xf numFmtId="170" fontId="66" fillId="0" borderId="31" xfId="0" applyFont="1" applyBorder="1" applyAlignment="1">
      <alignment horizontal="left" vertical="center" wrapText="1"/>
    </xf>
    <xf numFmtId="170" fontId="66" fillId="0" borderId="30" xfId="0" applyFont="1" applyBorder="1" applyAlignment="1">
      <alignment horizontal="left" vertical="center"/>
    </xf>
    <xf numFmtId="170" fontId="66" fillId="0" borderId="31" xfId="0" applyFont="1" applyBorder="1" applyAlignment="1">
      <alignment horizontal="left" vertical="center"/>
    </xf>
    <xf numFmtId="170" fontId="0" fillId="0" borderId="111" xfId="0" applyBorder="1" applyAlignment="1">
      <alignment horizontal="center"/>
    </xf>
    <xf numFmtId="49" fontId="49" fillId="7" borderId="31" xfId="0" applyNumberFormat="1" applyFont="1" applyFill="1" applyBorder="1" applyAlignment="1" applyProtection="1">
      <alignment horizontal="center" vertical="center" wrapText="1"/>
      <protection locked="0"/>
    </xf>
    <xf numFmtId="49" fontId="49" fillId="7" borderId="134" xfId="0" applyNumberFormat="1" applyFont="1" applyFill="1" applyBorder="1" applyAlignment="1" applyProtection="1">
      <alignment horizontal="center" vertical="center" wrapText="1"/>
      <protection locked="0"/>
    </xf>
    <xf numFmtId="49" fontId="49" fillId="7" borderId="129" xfId="0" applyNumberFormat="1" applyFont="1" applyFill="1" applyBorder="1" applyAlignment="1" applyProtection="1">
      <alignment horizontal="left" vertical="center" wrapText="1"/>
      <protection locked="0"/>
    </xf>
    <xf numFmtId="49" fontId="107" fillId="7" borderId="2" xfId="0" applyNumberFormat="1" applyFont="1" applyFill="1" applyBorder="1" applyAlignment="1" applyProtection="1">
      <alignment horizontal="left" vertical="center" wrapText="1"/>
      <protection locked="0"/>
    </xf>
    <xf numFmtId="49" fontId="107" fillId="7" borderId="29" xfId="0" applyNumberFormat="1" applyFont="1" applyFill="1" applyBorder="1" applyAlignment="1" applyProtection="1">
      <alignment horizontal="left" vertical="center" wrapText="1"/>
      <protection locked="0"/>
    </xf>
    <xf numFmtId="49" fontId="107" fillId="7" borderId="129" xfId="0" applyNumberFormat="1" applyFont="1" applyFill="1" applyBorder="1" applyAlignment="1" applyProtection="1">
      <alignment horizontal="left" vertical="center" wrapText="1"/>
      <protection locked="0"/>
    </xf>
    <xf numFmtId="0" fontId="107" fillId="7" borderId="126" xfId="0" applyNumberFormat="1" applyFont="1" applyFill="1" applyBorder="1" applyAlignment="1" applyProtection="1">
      <alignment horizontal="center" vertical="center" wrapText="1"/>
      <protection locked="0"/>
    </xf>
    <xf numFmtId="0" fontId="49" fillId="5" borderId="89" xfId="0" applyNumberFormat="1" applyFont="1" applyFill="1" applyBorder="1" applyAlignment="1" applyProtection="1">
      <alignment horizontal="center" vertical="center" wrapText="1"/>
      <protection locked="0"/>
    </xf>
    <xf numFmtId="0" fontId="107" fillId="5" borderId="76" xfId="0" applyNumberFormat="1" applyFont="1" applyFill="1" applyBorder="1" applyAlignment="1" applyProtection="1">
      <alignment horizontal="center" vertical="center" wrapText="1"/>
      <protection locked="0"/>
    </xf>
    <xf numFmtId="49" fontId="49" fillId="19" borderId="144" xfId="0" applyNumberFormat="1" applyFont="1" applyFill="1" applyBorder="1" applyAlignment="1" applyProtection="1">
      <alignment horizontal="left" vertical="center" wrapText="1"/>
      <protection locked="0"/>
    </xf>
    <xf numFmtId="49" fontId="107" fillId="19" borderId="111" xfId="0" applyNumberFormat="1" applyFont="1" applyFill="1" applyBorder="1" applyAlignment="1" applyProtection="1">
      <alignment horizontal="left" vertical="center" wrapText="1"/>
      <protection locked="0"/>
    </xf>
    <xf numFmtId="49" fontId="107" fillId="19" borderId="145" xfId="0" applyNumberFormat="1" applyFont="1" applyFill="1" applyBorder="1" applyAlignment="1" applyProtection="1">
      <alignment horizontal="left" vertical="center" wrapText="1"/>
      <protection locked="0"/>
    </xf>
    <xf numFmtId="49" fontId="107" fillId="19" borderId="74" xfId="0" applyNumberFormat="1" applyFont="1" applyFill="1" applyBorder="1" applyAlignment="1" applyProtection="1">
      <alignment horizontal="left" vertical="center" wrapText="1"/>
      <protection locked="0"/>
    </xf>
    <xf numFmtId="49" fontId="107" fillId="19" borderId="75" xfId="0" applyNumberFormat="1" applyFont="1" applyFill="1" applyBorder="1" applyAlignment="1" applyProtection="1">
      <alignment horizontal="left" vertical="center" wrapText="1"/>
      <protection locked="0"/>
    </xf>
    <xf numFmtId="49" fontId="107" fillId="19" borderId="79" xfId="0" applyNumberFormat="1" applyFont="1" applyFill="1" applyBorder="1" applyAlignment="1" applyProtection="1">
      <alignment horizontal="left" vertical="center" wrapText="1"/>
      <protection locked="0"/>
    </xf>
    <xf numFmtId="170" fontId="49" fillId="5" borderId="31" xfId="0" applyNumberFormat="1" applyFont="1" applyFill="1" applyBorder="1" applyAlignment="1" applyProtection="1">
      <alignment horizontal="center" vertical="center" wrapText="1"/>
      <protection locked="0"/>
    </xf>
    <xf numFmtId="49" fontId="49" fillId="13" borderId="118" xfId="0" applyNumberFormat="1" applyFont="1" applyFill="1" applyBorder="1" applyAlignment="1" applyProtection="1">
      <alignment horizontal="center" vertical="center" wrapText="1"/>
      <protection locked="0"/>
    </xf>
    <xf numFmtId="49" fontId="49" fillId="13" borderId="119" xfId="0" applyNumberFormat="1" applyFont="1" applyFill="1" applyBorder="1" applyAlignment="1" applyProtection="1">
      <alignment horizontal="center" vertical="center" wrapText="1"/>
      <protection locked="0"/>
    </xf>
    <xf numFmtId="170" fontId="0" fillId="2" borderId="149" xfId="0" applyFill="1" applyBorder="1" applyAlignment="1" applyProtection="1">
      <alignment horizontal="center" vertical="center" textRotation="90"/>
    </xf>
    <xf numFmtId="49" fontId="49" fillId="13" borderId="144" xfId="0" applyNumberFormat="1" applyFont="1" applyFill="1" applyBorder="1" applyAlignment="1" applyProtection="1">
      <alignment horizontal="left" vertical="center" wrapText="1"/>
      <protection locked="0"/>
    </xf>
    <xf numFmtId="49" fontId="107" fillId="13" borderId="111" xfId="0" applyNumberFormat="1" applyFont="1" applyFill="1" applyBorder="1" applyAlignment="1" applyProtection="1">
      <alignment horizontal="left" vertical="center" wrapText="1"/>
      <protection locked="0"/>
    </xf>
    <xf numFmtId="49" fontId="107" fillId="13" borderId="145" xfId="0" applyNumberFormat="1" applyFont="1" applyFill="1" applyBorder="1" applyAlignment="1" applyProtection="1">
      <alignment horizontal="left" vertical="center" wrapText="1"/>
      <protection locked="0"/>
    </xf>
    <xf numFmtId="49" fontId="107" fillId="13" borderId="74" xfId="0" applyNumberFormat="1" applyFont="1" applyFill="1" applyBorder="1" applyAlignment="1" applyProtection="1">
      <alignment horizontal="left" vertical="center" wrapText="1"/>
      <protection locked="0"/>
    </xf>
    <xf numFmtId="49" fontId="107" fillId="13" borderId="75" xfId="0" applyNumberFormat="1" applyFont="1" applyFill="1" applyBorder="1" applyAlignment="1" applyProtection="1">
      <alignment horizontal="left" vertical="center" wrapText="1"/>
      <protection locked="0"/>
    </xf>
    <xf numFmtId="49" fontId="107" fillId="13" borderId="79" xfId="0" applyNumberFormat="1" applyFont="1" applyFill="1" applyBorder="1" applyAlignment="1" applyProtection="1">
      <alignment horizontal="left" vertical="center" wrapText="1"/>
      <protection locked="0"/>
    </xf>
    <xf numFmtId="0" fontId="107" fillId="13" borderId="89" xfId="0" applyNumberFormat="1" applyFont="1" applyFill="1" applyBorder="1" applyAlignment="1" applyProtection="1">
      <alignment horizontal="center" vertical="center" wrapText="1"/>
      <protection locked="0"/>
    </xf>
    <xf numFmtId="0" fontId="107" fillId="13" borderId="76" xfId="0" applyNumberFormat="1" applyFont="1" applyFill="1" applyBorder="1" applyAlignment="1" applyProtection="1">
      <alignment horizontal="center" vertical="center" wrapText="1"/>
      <protection locked="0"/>
    </xf>
    <xf numFmtId="164" fontId="45" fillId="17" borderId="0" xfId="4" applyFont="1" applyFill="1" applyAlignment="1" applyProtection="1">
      <alignment horizontal="center" vertical="center"/>
    </xf>
    <xf numFmtId="49" fontId="0" fillId="0" borderId="29" xfId="0" applyNumberFormat="1" applyBorder="1" applyAlignment="1" applyProtection="1">
      <alignment horizontal="center"/>
      <protection locked="0"/>
    </xf>
    <xf numFmtId="49" fontId="0" fillId="0" borderId="31" xfId="0" applyNumberFormat="1" applyBorder="1" applyAlignment="1" applyProtection="1">
      <alignment horizontal="center"/>
      <protection locked="0"/>
    </xf>
    <xf numFmtId="170" fontId="91" fillId="0" borderId="0" xfId="0" applyFont="1" applyAlignment="1" applyProtection="1">
      <alignment horizontal="right"/>
    </xf>
    <xf numFmtId="49" fontId="0" fillId="0" borderId="29" xfId="0" applyNumberFormat="1" applyBorder="1" applyAlignment="1" applyProtection="1">
      <alignment horizontal="justify" wrapText="1"/>
      <protection locked="0"/>
    </xf>
    <xf numFmtId="49" fontId="0" fillId="0" borderId="30" xfId="0" applyNumberFormat="1" applyBorder="1" applyAlignment="1" applyProtection="1">
      <alignment horizontal="justify" wrapText="1"/>
      <protection locked="0"/>
    </xf>
    <xf numFmtId="49" fontId="0" fillId="0" borderId="31" xfId="0" applyNumberFormat="1" applyBorder="1" applyAlignment="1" applyProtection="1">
      <alignment horizontal="justify" wrapText="1"/>
      <protection locked="0"/>
    </xf>
    <xf numFmtId="170" fontId="121" fillId="0" borderId="88" xfId="0" applyFont="1" applyFill="1" applyBorder="1" applyAlignment="1" applyProtection="1">
      <alignment horizontal="right" wrapText="1"/>
    </xf>
    <xf numFmtId="170" fontId="121" fillId="0" borderId="138" xfId="0" applyFont="1" applyFill="1" applyBorder="1" applyAlignment="1" applyProtection="1">
      <alignment horizontal="right" wrapText="1"/>
    </xf>
    <xf numFmtId="171" fontId="103" fillId="0" borderId="2" xfId="20" applyNumberFormat="1" applyFont="1" applyFill="1" applyBorder="1" applyAlignment="1" applyProtection="1">
      <alignment horizontal="center"/>
      <protection locked="0"/>
    </xf>
    <xf numFmtId="171" fontId="111" fillId="0" borderId="2" xfId="20" applyNumberFormat="1" applyFill="1" applyBorder="1" applyAlignment="1" applyProtection="1">
      <alignment horizontal="center"/>
      <protection locked="0"/>
    </xf>
    <xf numFmtId="170" fontId="91" fillId="0" borderId="88" xfId="0" applyFont="1" applyBorder="1" applyAlignment="1" applyProtection="1">
      <alignment horizontal="right"/>
    </xf>
    <xf numFmtId="172" fontId="113" fillId="0" borderId="29" xfId="0" applyNumberFormat="1" applyFont="1" applyFill="1" applyBorder="1" applyAlignment="1" applyProtection="1">
      <alignment horizontal="center"/>
      <protection locked="0"/>
    </xf>
    <xf numFmtId="172" fontId="113" fillId="0" borderId="31" xfId="0" applyNumberFormat="1" applyFont="1" applyFill="1" applyBorder="1" applyAlignment="1" applyProtection="1">
      <alignment horizontal="center"/>
      <protection locked="0"/>
    </xf>
    <xf numFmtId="49" fontId="118" fillId="0" borderId="2" xfId="0" applyNumberFormat="1" applyFont="1" applyBorder="1" applyAlignment="1" applyProtection="1">
      <alignment horizontal="center"/>
      <protection locked="0"/>
    </xf>
    <xf numFmtId="49" fontId="0" fillId="0" borderId="30" xfId="0" applyNumberFormat="1" applyBorder="1" applyAlignment="1" applyProtection="1">
      <alignment horizontal="center"/>
      <protection locked="0"/>
    </xf>
    <xf numFmtId="170" fontId="91" fillId="0" borderId="0" xfId="0" applyFont="1" applyBorder="1" applyAlignment="1" applyProtection="1">
      <alignment horizontal="right"/>
    </xf>
    <xf numFmtId="170" fontId="91" fillId="0" borderId="138" xfId="0" applyFont="1" applyBorder="1" applyAlignment="1" applyProtection="1">
      <alignment horizontal="right"/>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70" fontId="56" fillId="0" borderId="130" xfId="0" applyFont="1" applyFill="1" applyBorder="1" applyAlignment="1" applyProtection="1">
      <alignment horizontal="center" vertical="center"/>
    </xf>
    <xf numFmtId="170" fontId="56" fillId="0" borderId="131" xfId="0" applyFont="1" applyFill="1" applyBorder="1" applyAlignment="1" applyProtection="1">
      <alignment horizontal="center" vertical="center"/>
    </xf>
    <xf numFmtId="170" fontId="56" fillId="0" borderId="132" xfId="0" applyFont="1" applyFill="1" applyBorder="1" applyAlignment="1" applyProtection="1">
      <alignment horizontal="center" vertical="center"/>
    </xf>
    <xf numFmtId="170" fontId="0" fillId="0" borderId="135" xfId="0" applyFill="1" applyBorder="1" applyAlignment="1" applyProtection="1">
      <alignment horizontal="center" vertical="center"/>
      <protection locked="0"/>
    </xf>
    <xf numFmtId="170" fontId="0" fillId="0" borderId="136" xfId="0" applyFill="1" applyBorder="1" applyAlignment="1" applyProtection="1">
      <alignment horizontal="center" vertical="center"/>
      <protection locked="0"/>
    </xf>
    <xf numFmtId="170" fontId="0" fillId="0" borderId="137" xfId="0" applyFill="1" applyBorder="1" applyAlignment="1" applyProtection="1">
      <alignment horizontal="center" vertical="center"/>
      <protection locked="0"/>
    </xf>
    <xf numFmtId="49" fontId="49" fillId="7" borderId="118" xfId="0" applyNumberFormat="1" applyFont="1" applyFill="1" applyBorder="1" applyAlignment="1" applyProtection="1">
      <alignment horizontal="center" vertical="center" wrapText="1"/>
      <protection locked="0"/>
    </xf>
    <xf numFmtId="49" fontId="49" fillId="7" borderId="119" xfId="0" applyNumberFormat="1" applyFont="1" applyFill="1" applyBorder="1" applyAlignment="1" applyProtection="1">
      <alignment horizontal="center" vertical="center" wrapText="1"/>
      <protection locked="0"/>
    </xf>
    <xf numFmtId="49" fontId="49" fillId="5" borderId="144" xfId="0" applyNumberFormat="1" applyFont="1" applyFill="1" applyBorder="1" applyAlignment="1" applyProtection="1">
      <alignment horizontal="left" vertical="center" wrapText="1"/>
      <protection locked="0"/>
    </xf>
    <xf numFmtId="49" fontId="49" fillId="5" borderId="111" xfId="0" applyNumberFormat="1" applyFont="1" applyFill="1" applyBorder="1" applyAlignment="1" applyProtection="1">
      <alignment horizontal="left" vertical="center" wrapText="1"/>
      <protection locked="0"/>
    </xf>
    <xf numFmtId="49" fontId="49" fillId="5" borderId="145" xfId="0" applyNumberFormat="1" applyFont="1" applyFill="1" applyBorder="1" applyAlignment="1" applyProtection="1">
      <alignment horizontal="left" vertical="center" wrapText="1"/>
      <protection locked="0"/>
    </xf>
    <xf numFmtId="49" fontId="49" fillId="5" borderId="74" xfId="0" applyNumberFormat="1" applyFont="1" applyFill="1" applyBorder="1" applyAlignment="1" applyProtection="1">
      <alignment horizontal="left" vertical="center" wrapText="1"/>
      <protection locked="0"/>
    </xf>
    <xf numFmtId="49" fontId="49" fillId="5" borderId="75" xfId="0" applyNumberFormat="1" applyFont="1" applyFill="1" applyBorder="1" applyAlignment="1" applyProtection="1">
      <alignment horizontal="left" vertical="center" wrapText="1"/>
      <protection locked="0"/>
    </xf>
    <xf numFmtId="49" fontId="49" fillId="5" borderId="79" xfId="0" applyNumberFormat="1" applyFont="1" applyFill="1" applyBorder="1" applyAlignment="1" applyProtection="1">
      <alignment horizontal="left" vertical="center" wrapText="1"/>
      <protection locked="0"/>
    </xf>
    <xf numFmtId="49" fontId="49" fillId="5" borderId="118" xfId="0" applyNumberFormat="1" applyFont="1" applyFill="1" applyBorder="1" applyAlignment="1" applyProtection="1">
      <alignment horizontal="center" vertical="center" wrapText="1"/>
      <protection locked="0"/>
    </xf>
    <xf numFmtId="49" fontId="49" fillId="5" borderId="119" xfId="0" applyNumberFormat="1" applyFont="1" applyFill="1" applyBorder="1" applyAlignment="1" applyProtection="1">
      <alignment horizontal="center" vertical="center" wrapText="1"/>
      <protection locked="0"/>
    </xf>
    <xf numFmtId="49" fontId="49" fillId="24" borderId="144" xfId="0" applyNumberFormat="1" applyFont="1" applyFill="1" applyBorder="1" applyAlignment="1" applyProtection="1">
      <alignment horizontal="left" vertical="center" wrapText="1"/>
      <protection locked="0"/>
    </xf>
    <xf numFmtId="49" fontId="49" fillId="24" borderId="111" xfId="0" applyNumberFormat="1" applyFont="1" applyFill="1" applyBorder="1" applyAlignment="1" applyProtection="1">
      <alignment horizontal="left" vertical="center" wrapText="1"/>
      <protection locked="0"/>
    </xf>
    <xf numFmtId="49" fontId="49" fillId="24" borderId="145" xfId="0" applyNumberFormat="1" applyFont="1" applyFill="1" applyBorder="1" applyAlignment="1" applyProtection="1">
      <alignment horizontal="left" vertical="center" wrapText="1"/>
      <protection locked="0"/>
    </xf>
    <xf numFmtId="49" fontId="49" fillId="24" borderId="74" xfId="0" applyNumberFormat="1" applyFont="1" applyFill="1" applyBorder="1" applyAlignment="1" applyProtection="1">
      <alignment horizontal="left" vertical="center" wrapText="1"/>
      <protection locked="0"/>
    </xf>
    <xf numFmtId="49" fontId="49" fillId="24" borderId="75" xfId="0" applyNumberFormat="1" applyFont="1" applyFill="1" applyBorder="1" applyAlignment="1" applyProtection="1">
      <alignment horizontal="left" vertical="center" wrapText="1"/>
      <protection locked="0"/>
    </xf>
    <xf numFmtId="49" fontId="49" fillId="24" borderId="79" xfId="0" applyNumberFormat="1" applyFont="1" applyFill="1" applyBorder="1" applyAlignment="1" applyProtection="1">
      <alignment horizontal="left" vertical="center" wrapText="1"/>
      <protection locked="0"/>
    </xf>
    <xf numFmtId="0" fontId="49" fillId="7" borderId="126" xfId="0" applyNumberFormat="1" applyFont="1" applyFill="1" applyBorder="1" applyAlignment="1" applyProtection="1">
      <alignment horizontal="center" vertical="center" wrapText="1"/>
      <protection locked="0"/>
    </xf>
    <xf numFmtId="49" fontId="7" fillId="0" borderId="16" xfId="0" applyNumberFormat="1" applyFont="1" applyBorder="1" applyAlignment="1" applyProtection="1">
      <alignment horizontal="center"/>
    </xf>
    <xf numFmtId="49" fontId="7" fillId="0" borderId="33" xfId="0" applyNumberFormat="1" applyFont="1" applyBorder="1" applyAlignment="1" applyProtection="1">
      <alignment horizontal="center"/>
    </xf>
    <xf numFmtId="170" fontId="0" fillId="0" borderId="139" xfId="0" applyBorder="1" applyAlignment="1" applyProtection="1">
      <alignment horizontal="center"/>
    </xf>
    <xf numFmtId="170" fontId="0" fillId="0" borderId="13" xfId="0" applyBorder="1" applyAlignment="1" applyProtection="1">
      <alignment horizontal="center"/>
    </xf>
    <xf numFmtId="170" fontId="62" fillId="0" borderId="140" xfId="0" applyFont="1" applyBorder="1" applyAlignment="1" applyProtection="1">
      <alignment horizontal="right"/>
    </xf>
    <xf numFmtId="170" fontId="99" fillId="0" borderId="140" xfId="0" applyFont="1" applyBorder="1" applyAlignment="1"/>
    <xf numFmtId="164" fontId="7" fillId="0" borderId="141" xfId="0" applyNumberFormat="1" applyFont="1" applyBorder="1" applyAlignment="1" applyProtection="1">
      <alignment horizontal="center"/>
    </xf>
    <xf numFmtId="170" fontId="7" fillId="0" borderId="142" xfId="0" applyFont="1" applyBorder="1" applyAlignment="1" applyProtection="1">
      <alignment horizontal="center"/>
    </xf>
    <xf numFmtId="170" fontId="7" fillId="0" borderId="143" xfId="0" applyFont="1" applyBorder="1" applyAlignment="1" applyProtection="1">
      <alignment horizontal="center"/>
    </xf>
    <xf numFmtId="170" fontId="19" fillId="0" borderId="146" xfId="0" applyFont="1" applyBorder="1" applyAlignment="1" applyProtection="1">
      <alignment horizontal="center" wrapText="1"/>
    </xf>
    <xf numFmtId="170" fontId="19" fillId="0" borderId="147" xfId="0" applyFont="1" applyBorder="1" applyAlignment="1" applyProtection="1">
      <alignment horizontal="center" wrapText="1"/>
    </xf>
    <xf numFmtId="170" fontId="19" fillId="0" borderId="148" xfId="0" applyFont="1" applyBorder="1" applyAlignment="1" applyProtection="1">
      <alignment horizontal="center" wrapText="1"/>
    </xf>
    <xf numFmtId="170" fontId="0" fillId="5" borderId="29" xfId="0" applyFill="1" applyBorder="1" applyAlignment="1" applyProtection="1">
      <alignment horizontal="center"/>
    </xf>
    <xf numFmtId="170" fontId="0" fillId="5" borderId="31" xfId="0" applyFill="1" applyBorder="1" applyAlignment="1" applyProtection="1">
      <alignment horizontal="center"/>
    </xf>
    <xf numFmtId="164" fontId="8" fillId="20" borderId="2" xfId="20" applyFont="1" applyFill="1" applyBorder="1" applyAlignment="1" applyProtection="1">
      <alignment horizontal="center"/>
      <protection locked="0"/>
    </xf>
    <xf numFmtId="49" fontId="0" fillId="0" borderId="2" xfId="0" applyNumberFormat="1" applyBorder="1" applyAlignment="1" applyProtection="1">
      <alignment horizontal="center"/>
      <protection locked="0"/>
    </xf>
    <xf numFmtId="170" fontId="49" fillId="11" borderId="31" xfId="0" applyFont="1" applyFill="1" applyBorder="1" applyAlignment="1" applyProtection="1">
      <alignment horizontal="center" vertical="center" wrapText="1"/>
    </xf>
    <xf numFmtId="0" fontId="49" fillId="0" borderId="126" xfId="0" applyNumberFormat="1" applyFont="1" applyFill="1" applyBorder="1" applyAlignment="1" applyProtection="1">
      <alignment horizontal="center" vertical="center" wrapText="1"/>
    </xf>
    <xf numFmtId="0" fontId="49" fillId="0" borderId="133" xfId="0" applyNumberFormat="1" applyFont="1" applyFill="1" applyBorder="1" applyAlignment="1" applyProtection="1">
      <alignment horizontal="center" vertical="center" wrapText="1"/>
    </xf>
    <xf numFmtId="170" fontId="49" fillId="0" borderId="31" xfId="0" applyFont="1" applyFill="1" applyBorder="1" applyAlignment="1" applyProtection="1">
      <alignment horizontal="center" vertical="center" wrapText="1"/>
    </xf>
    <xf numFmtId="170" fontId="49" fillId="0" borderId="134" xfId="0" applyFont="1" applyFill="1" applyBorder="1" applyAlignment="1" applyProtection="1">
      <alignment horizontal="center" vertical="center" wrapText="1"/>
    </xf>
    <xf numFmtId="170" fontId="49" fillId="0" borderId="74" xfId="0" applyFont="1" applyFill="1" applyBorder="1" applyAlignment="1" applyProtection="1">
      <alignment horizontal="left" vertical="center" wrapText="1"/>
    </xf>
    <xf numFmtId="170" fontId="49" fillId="0" borderId="75" xfId="0" applyFont="1" applyFill="1" applyBorder="1" applyAlignment="1" applyProtection="1">
      <alignment horizontal="left" vertical="center" wrapText="1"/>
    </xf>
    <xf numFmtId="170" fontId="49" fillId="0" borderId="79" xfId="0" applyFont="1" applyFill="1" applyBorder="1" applyAlignment="1" applyProtection="1">
      <alignment horizontal="left" vertical="center" wrapText="1"/>
    </xf>
    <xf numFmtId="170" fontId="49" fillId="0" borderId="123" xfId="0" applyFont="1" applyFill="1" applyBorder="1" applyAlignment="1" applyProtection="1">
      <alignment horizontal="left" vertical="center" wrapText="1"/>
    </xf>
    <xf numFmtId="170" fontId="49" fillId="0" borderId="124" xfId="0" applyFont="1" applyFill="1" applyBorder="1" applyAlignment="1" applyProtection="1">
      <alignment horizontal="left" vertical="center" wrapText="1"/>
    </xf>
    <xf numFmtId="170" fontId="49" fillId="0" borderId="125" xfId="0" applyFont="1" applyFill="1" applyBorder="1" applyAlignment="1" applyProtection="1">
      <alignment horizontal="left" vertical="center" wrapText="1"/>
    </xf>
    <xf numFmtId="0" fontId="49" fillId="11" borderId="126" xfId="0" applyNumberFormat="1" applyFont="1" applyFill="1" applyBorder="1" applyAlignment="1" applyProtection="1">
      <alignment horizontal="center" vertical="center" wrapText="1"/>
    </xf>
    <xf numFmtId="170" fontId="49" fillId="11" borderId="127" xfId="0" applyFont="1" applyFill="1" applyBorder="1" applyAlignment="1" applyProtection="1">
      <alignment horizontal="left" vertical="center" wrapText="1"/>
    </xf>
    <xf numFmtId="170" fontId="49" fillId="11" borderId="30" xfId="0" applyFont="1" applyFill="1" applyBorder="1" applyAlignment="1" applyProtection="1">
      <alignment horizontal="left" vertical="center" wrapText="1"/>
    </xf>
    <xf numFmtId="170" fontId="49" fillId="11" borderId="128" xfId="0" applyFont="1" applyFill="1" applyBorder="1" applyAlignment="1" applyProtection="1">
      <alignment horizontal="left" vertical="center" wrapText="1"/>
    </xf>
    <xf numFmtId="49" fontId="49" fillId="19" borderId="129" xfId="0" applyNumberFormat="1" applyFont="1" applyFill="1" applyBorder="1" applyAlignment="1" applyProtection="1">
      <alignment horizontal="left" vertical="center" wrapText="1"/>
      <protection locked="0"/>
    </xf>
    <xf numFmtId="49" fontId="107" fillId="19" borderId="2" xfId="0" applyNumberFormat="1" applyFont="1" applyFill="1" applyBorder="1" applyAlignment="1" applyProtection="1">
      <alignment horizontal="left" vertical="center" wrapText="1"/>
      <protection locked="0"/>
    </xf>
    <xf numFmtId="49" fontId="107" fillId="19" borderId="29" xfId="0" applyNumberFormat="1" applyFont="1" applyFill="1" applyBorder="1" applyAlignment="1" applyProtection="1">
      <alignment horizontal="left" vertical="center" wrapText="1"/>
      <protection locked="0"/>
    </xf>
    <xf numFmtId="49" fontId="107" fillId="19" borderId="129" xfId="0" applyNumberFormat="1" applyFont="1" applyFill="1" applyBorder="1" applyAlignment="1" applyProtection="1">
      <alignment horizontal="left" vertical="center" wrapText="1"/>
      <protection locked="0"/>
    </xf>
    <xf numFmtId="49" fontId="107" fillId="7" borderId="20" xfId="0" applyNumberFormat="1" applyFont="1" applyFill="1" applyBorder="1" applyAlignment="1" applyProtection="1">
      <alignment horizontal="left" vertical="center" wrapText="1"/>
      <protection locked="0"/>
    </xf>
    <xf numFmtId="0" fontId="107" fillId="5" borderId="126" xfId="0" applyNumberFormat="1" applyFont="1" applyFill="1" applyBorder="1" applyAlignment="1" applyProtection="1">
      <alignment horizontal="center" vertical="center" wrapText="1"/>
      <protection locked="0"/>
    </xf>
    <xf numFmtId="49" fontId="49" fillId="19" borderId="2" xfId="0" applyNumberFormat="1" applyFont="1" applyFill="1" applyBorder="1" applyAlignment="1" applyProtection="1">
      <alignment horizontal="left" vertical="center" wrapText="1"/>
      <protection locked="0"/>
    </xf>
    <xf numFmtId="49" fontId="49" fillId="19" borderId="29" xfId="0" applyNumberFormat="1" applyFont="1" applyFill="1" applyBorder="1" applyAlignment="1" applyProtection="1">
      <alignment horizontal="left" vertical="center" wrapText="1"/>
      <protection locked="0"/>
    </xf>
    <xf numFmtId="170" fontId="49" fillId="0" borderId="130" xfId="0" applyFont="1" applyFill="1" applyBorder="1" applyAlignment="1" applyProtection="1">
      <alignment horizontal="left" vertical="center" wrapText="1"/>
    </xf>
    <xf numFmtId="170" fontId="49" fillId="0" borderId="131" xfId="0" applyFont="1" applyFill="1" applyBorder="1" applyAlignment="1" applyProtection="1">
      <alignment horizontal="left" vertical="center" wrapText="1"/>
    </xf>
    <xf numFmtId="170" fontId="49" fillId="0" borderId="132" xfId="0" applyFont="1" applyFill="1" applyBorder="1" applyAlignment="1" applyProtection="1">
      <alignment horizontal="left" vertical="center" wrapText="1"/>
    </xf>
    <xf numFmtId="170" fontId="49" fillId="0" borderId="127" xfId="0" applyFont="1" applyFill="1" applyBorder="1" applyAlignment="1" applyProtection="1">
      <alignment horizontal="left" vertical="center" wrapText="1"/>
    </xf>
    <xf numFmtId="170" fontId="49" fillId="0" borderId="30" xfId="0" applyFont="1" applyFill="1" applyBorder="1" applyAlignment="1" applyProtection="1">
      <alignment horizontal="left" vertical="center" wrapText="1"/>
    </xf>
    <xf numFmtId="170" fontId="49" fillId="0" borderId="128" xfId="0" applyFont="1" applyFill="1" applyBorder="1" applyAlignment="1" applyProtection="1">
      <alignment horizontal="left" vertical="center" wrapText="1"/>
    </xf>
    <xf numFmtId="170" fontId="49" fillId="5" borderId="126" xfId="0" applyNumberFormat="1" applyFont="1" applyFill="1" applyBorder="1" applyAlignment="1" applyProtection="1">
      <alignment horizontal="center" vertical="center" wrapText="1"/>
      <protection locked="0"/>
    </xf>
    <xf numFmtId="49" fontId="49" fillId="7" borderId="2" xfId="0" applyNumberFormat="1" applyFont="1" applyFill="1" applyBorder="1" applyAlignment="1" applyProtection="1">
      <alignment horizontal="left" vertical="center" wrapText="1"/>
      <protection locked="0"/>
    </xf>
    <xf numFmtId="49" fontId="49" fillId="7" borderId="29" xfId="0" applyNumberFormat="1" applyFont="1" applyFill="1" applyBorder="1" applyAlignment="1" applyProtection="1">
      <alignment horizontal="left" vertical="center" wrapText="1"/>
      <protection locked="0"/>
    </xf>
    <xf numFmtId="49" fontId="49" fillId="7" borderId="150" xfId="0" applyNumberFormat="1" applyFont="1" applyFill="1" applyBorder="1" applyAlignment="1" applyProtection="1">
      <alignment horizontal="left" vertical="center" wrapText="1"/>
      <protection locked="0"/>
    </xf>
    <xf numFmtId="49" fontId="49" fillId="7" borderId="80" xfId="0" applyNumberFormat="1" applyFont="1" applyFill="1" applyBorder="1" applyAlignment="1" applyProtection="1">
      <alignment horizontal="left" vertical="center" wrapText="1"/>
      <protection locked="0"/>
    </xf>
    <xf numFmtId="49" fontId="49" fillId="7" borderId="151" xfId="0" applyNumberFormat="1" applyFont="1" applyFill="1" applyBorder="1" applyAlignment="1" applyProtection="1">
      <alignment horizontal="left" vertical="center" wrapText="1"/>
      <protection locked="0"/>
    </xf>
    <xf numFmtId="170" fontId="49" fillId="7" borderId="126" xfId="0" applyNumberFormat="1" applyFont="1" applyFill="1" applyBorder="1" applyAlignment="1" applyProtection="1">
      <alignment horizontal="center" vertical="center" wrapText="1"/>
      <protection locked="0"/>
    </xf>
    <xf numFmtId="170" fontId="49" fillId="7" borderId="133" xfId="0" applyNumberFormat="1" applyFont="1" applyFill="1" applyBorder="1" applyAlignment="1" applyProtection="1">
      <alignment horizontal="center" vertical="center" wrapText="1"/>
      <protection locked="0"/>
    </xf>
    <xf numFmtId="9" fontId="26" fillId="0" borderId="115" xfId="19" applyFont="1" applyFill="1" applyBorder="1" applyAlignment="1" applyProtection="1">
      <alignment horizontal="center" vertical="center"/>
    </xf>
    <xf numFmtId="9" fontId="26" fillId="0" borderId="116" xfId="19" applyFont="1" applyFill="1" applyBorder="1" applyAlignment="1" applyProtection="1">
      <alignment horizontal="center" vertical="center"/>
    </xf>
    <xf numFmtId="9" fontId="26" fillId="0" borderId="117" xfId="19" applyFont="1" applyFill="1" applyBorder="1" applyAlignment="1" applyProtection="1">
      <alignment horizontal="center" vertical="center"/>
    </xf>
    <xf numFmtId="0" fontId="49" fillId="5" borderId="76" xfId="0" applyNumberFormat="1" applyFont="1" applyFill="1" applyBorder="1" applyAlignment="1" applyProtection="1">
      <alignment horizontal="center" vertical="center" wrapText="1"/>
      <protection locked="0"/>
    </xf>
    <xf numFmtId="49" fontId="49" fillId="24" borderId="118" xfId="0" applyNumberFormat="1" applyFont="1" applyFill="1" applyBorder="1" applyAlignment="1" applyProtection="1">
      <alignment horizontal="center" vertical="center" wrapText="1"/>
      <protection locked="0"/>
    </xf>
    <xf numFmtId="49" fontId="49" fillId="24" borderId="119" xfId="0" applyNumberFormat="1" applyFont="1" applyFill="1" applyBorder="1" applyAlignment="1" applyProtection="1">
      <alignment horizontal="center" vertical="center" wrapText="1"/>
      <protection locked="0"/>
    </xf>
    <xf numFmtId="0" fontId="49" fillId="24" borderId="89" xfId="0" applyNumberFormat="1" applyFont="1" applyFill="1" applyBorder="1" applyAlignment="1" applyProtection="1">
      <alignment horizontal="center" vertical="center" wrapText="1"/>
      <protection locked="0"/>
    </xf>
    <xf numFmtId="0" fontId="107" fillId="24" borderId="76" xfId="0" applyNumberFormat="1" applyFont="1" applyFill="1" applyBorder="1" applyAlignment="1" applyProtection="1">
      <alignment horizontal="center" vertical="center" wrapText="1"/>
      <protection locked="0"/>
    </xf>
    <xf numFmtId="170" fontId="0" fillId="18" borderId="120" xfId="0" applyFill="1" applyBorder="1" applyAlignment="1" applyProtection="1">
      <alignment horizontal="center"/>
    </xf>
    <xf numFmtId="170" fontId="0" fillId="18" borderId="121" xfId="0" applyFill="1" applyBorder="1" applyAlignment="1" applyProtection="1">
      <alignment horizontal="center"/>
    </xf>
    <xf numFmtId="170" fontId="0" fillId="18" borderId="122" xfId="0" applyFill="1" applyBorder="1" applyAlignment="1" applyProtection="1">
      <alignment horizontal="center"/>
    </xf>
    <xf numFmtId="164" fontId="119" fillId="17" borderId="0" xfId="4" applyFont="1" applyFill="1" applyAlignment="1" applyProtection="1">
      <alignment horizontal="center" vertical="center"/>
    </xf>
    <xf numFmtId="164" fontId="17" fillId="6" borderId="26" xfId="20" applyFont="1" applyFill="1" applyBorder="1" applyAlignment="1" applyProtection="1">
      <alignment horizontal="center"/>
    </xf>
    <xf numFmtId="164" fontId="26" fillId="6" borderId="0" xfId="15" applyFont="1" applyFill="1" applyAlignment="1" applyProtection="1">
      <alignment horizontal="center" vertical="center" wrapText="1"/>
    </xf>
    <xf numFmtId="173" fontId="17" fillId="6" borderId="26" xfId="20" applyNumberFormat="1" applyFont="1" applyFill="1" applyBorder="1" applyAlignment="1" applyProtection="1">
      <alignment horizontal="center" vertical="center"/>
    </xf>
    <xf numFmtId="164" fontId="1" fillId="0" borderId="26" xfId="20" applyFont="1" applyBorder="1" applyAlignment="1" applyProtection="1">
      <alignment horizontal="right"/>
    </xf>
    <xf numFmtId="164" fontId="1" fillId="0" borderId="26" xfId="20" applyFont="1" applyFill="1" applyBorder="1" applyAlignment="1" applyProtection="1">
      <alignment horizontal="right"/>
    </xf>
    <xf numFmtId="164" fontId="13" fillId="0" borderId="0" xfId="15" applyFont="1" applyFill="1" applyAlignment="1" applyProtection="1">
      <alignment horizontal="right" vertical="center"/>
    </xf>
    <xf numFmtId="164" fontId="17" fillId="6" borderId="0" xfId="15" applyFont="1" applyFill="1" applyAlignment="1" applyProtection="1">
      <alignment horizontal="center" vertical="center" wrapText="1"/>
    </xf>
    <xf numFmtId="164" fontId="93" fillId="16" borderId="26" xfId="20" applyFont="1" applyFill="1" applyBorder="1" applyAlignment="1" applyProtection="1">
      <alignment horizontal="center"/>
    </xf>
    <xf numFmtId="164" fontId="1" fillId="0" borderId="26" xfId="20" applyFont="1" applyFill="1" applyBorder="1" applyAlignment="1" applyProtection="1">
      <alignment horizontal="right" wrapText="1"/>
    </xf>
    <xf numFmtId="171" fontId="17" fillId="6" borderId="26" xfId="20" applyNumberFormat="1" applyFont="1" applyFill="1" applyBorder="1" applyAlignment="1" applyProtection="1">
      <alignment horizontal="center"/>
    </xf>
    <xf numFmtId="171" fontId="0" fillId="0" borderId="26" xfId="0" applyNumberFormat="1" applyBorder="1" applyAlignment="1"/>
    <xf numFmtId="164" fontId="28" fillId="0" borderId="0" xfId="0" applyNumberFormat="1" applyFont="1" applyFill="1" applyAlignment="1">
      <alignment wrapText="1"/>
    </xf>
    <xf numFmtId="170" fontId="0" fillId="0" borderId="0" xfId="0" applyFill="1" applyAlignment="1">
      <alignment wrapText="1"/>
    </xf>
    <xf numFmtId="164" fontId="28" fillId="0" borderId="0" xfId="0" applyNumberFormat="1" applyFont="1" applyAlignment="1">
      <alignment wrapText="1"/>
    </xf>
    <xf numFmtId="170" fontId="0" fillId="0" borderId="0" xfId="0" applyAlignment="1">
      <alignment wrapText="1"/>
    </xf>
    <xf numFmtId="170" fontId="63" fillId="0" borderId="0" xfId="0" applyFont="1" applyAlignment="1">
      <alignment horizontal="left" wrapText="1"/>
    </xf>
    <xf numFmtId="170" fontId="23" fillId="5" borderId="29" xfId="0" applyFont="1" applyFill="1" applyBorder="1" applyAlignment="1" applyProtection="1">
      <alignment horizontal="justify" vertical="center" wrapText="1"/>
      <protection locked="0"/>
    </xf>
    <xf numFmtId="170" fontId="113" fillId="0" borderId="30" xfId="0" applyFont="1" applyBorder="1" applyAlignment="1">
      <alignment horizontal="justify" vertical="center" wrapText="1"/>
    </xf>
    <xf numFmtId="170" fontId="113" fillId="0" borderId="31" xfId="0" applyFont="1" applyBorder="1" applyAlignment="1">
      <alignment horizontal="justify" vertical="center" wrapText="1"/>
    </xf>
    <xf numFmtId="170" fontId="23" fillId="5" borderId="30" xfId="0" applyFont="1" applyFill="1" applyBorder="1" applyAlignment="1" applyProtection="1">
      <alignment horizontal="justify" vertical="center" wrapText="1"/>
      <protection locked="0"/>
    </xf>
    <xf numFmtId="170" fontId="23" fillId="5" borderId="31" xfId="0" applyFont="1" applyFill="1" applyBorder="1" applyAlignment="1" applyProtection="1">
      <alignment horizontal="justify" vertical="center" wrapText="1"/>
      <protection locked="0"/>
    </xf>
    <xf numFmtId="170" fontId="0" fillId="0" borderId="135" xfId="0" applyFill="1" applyBorder="1" applyAlignment="1" applyProtection="1">
      <alignment horizontal="center" vertical="center"/>
    </xf>
    <xf numFmtId="170" fontId="0" fillId="0" borderId="136" xfId="0" applyFill="1" applyBorder="1" applyAlignment="1" applyProtection="1">
      <alignment horizontal="center" vertical="center"/>
    </xf>
    <xf numFmtId="170" fontId="0" fillId="0" borderId="137" xfId="0" applyFill="1" applyBorder="1" applyAlignment="1" applyProtection="1">
      <alignment horizontal="center" vertical="center"/>
    </xf>
    <xf numFmtId="164" fontId="7" fillId="0" borderId="0" xfId="0" applyNumberFormat="1" applyFont="1" applyAlignment="1">
      <alignment horizontal="center"/>
    </xf>
    <xf numFmtId="170" fontId="7" fillId="0" borderId="0" xfId="0" applyFont="1" applyBorder="1" applyAlignment="1">
      <alignment horizontal="center"/>
    </xf>
    <xf numFmtId="164" fontId="45" fillId="17" borderId="0" xfId="13" applyFont="1" applyFill="1" applyAlignment="1">
      <alignment horizontal="center" vertical="center"/>
    </xf>
    <xf numFmtId="164" fontId="8" fillId="16" borderId="0" xfId="20" applyFont="1" applyFill="1" applyBorder="1" applyAlignment="1" applyProtection="1">
      <alignment horizontal="center"/>
    </xf>
    <xf numFmtId="170" fontId="88" fillId="0" borderId="0" xfId="0" applyFont="1" applyAlignment="1">
      <alignment horizontal="center"/>
    </xf>
    <xf numFmtId="164" fontId="21" fillId="0" borderId="0" xfId="0" applyNumberFormat="1" applyFont="1" applyAlignment="1">
      <alignment horizontal="right"/>
    </xf>
    <xf numFmtId="164" fontId="21" fillId="0" borderId="0" xfId="0" applyNumberFormat="1" applyFont="1" applyAlignment="1">
      <alignment horizontal="left"/>
    </xf>
    <xf numFmtId="15" fontId="21" fillId="0" borderId="0" xfId="0" applyNumberFormat="1" applyFont="1" applyAlignment="1">
      <alignment horizontal="right"/>
    </xf>
    <xf numFmtId="170" fontId="0" fillId="0" borderId="152" xfId="0" applyBorder="1" applyAlignment="1" applyProtection="1">
      <alignment horizontal="center"/>
    </xf>
    <xf numFmtId="170" fontId="0" fillId="0" borderId="44" xfId="0" applyBorder="1" applyAlignment="1" applyProtection="1">
      <alignment horizontal="center"/>
    </xf>
    <xf numFmtId="170" fontId="94" fillId="0" borderId="153" xfId="0" applyFont="1" applyFill="1" applyBorder="1" applyAlignment="1" applyProtection="1">
      <alignment horizontal="left" wrapText="1"/>
    </xf>
    <xf numFmtId="170" fontId="94" fillId="0" borderId="154" xfId="0" applyFont="1" applyFill="1" applyBorder="1" applyAlignment="1" applyProtection="1">
      <alignment horizontal="left" wrapText="1"/>
    </xf>
    <xf numFmtId="164" fontId="30" fillId="0" borderId="0" xfId="0" applyNumberFormat="1" applyFont="1" applyAlignment="1" applyProtection="1">
      <alignment wrapText="1"/>
    </xf>
    <xf numFmtId="170" fontId="88" fillId="0" borderId="0" xfId="0" applyFont="1" applyAlignment="1" applyProtection="1">
      <alignment horizontal="center"/>
    </xf>
    <xf numFmtId="170" fontId="94" fillId="0" borderId="155" xfId="0" applyFont="1" applyFill="1" applyBorder="1" applyAlignment="1" applyProtection="1">
      <alignment horizontal="left" wrapText="1"/>
    </xf>
    <xf numFmtId="170" fontId="94" fillId="0" borderId="70" xfId="0" applyFont="1" applyFill="1" applyBorder="1" applyAlignment="1" applyProtection="1">
      <alignment horizontal="left" wrapText="1"/>
    </xf>
    <xf numFmtId="164" fontId="30" fillId="0" borderId="0" xfId="0" applyNumberFormat="1" applyFont="1" applyBorder="1" applyAlignment="1" applyProtection="1">
      <alignment wrapText="1"/>
    </xf>
    <xf numFmtId="164" fontId="87" fillId="0" borderId="120" xfId="0" applyNumberFormat="1" applyFont="1" applyBorder="1" applyAlignment="1" applyProtection="1">
      <alignment horizontal="center" vertical="center" wrapText="1"/>
    </xf>
    <xf numFmtId="164" fontId="87" fillId="0" borderId="121" xfId="0" applyNumberFormat="1" applyFont="1" applyBorder="1" applyAlignment="1" applyProtection="1">
      <alignment horizontal="center" vertical="center" wrapText="1"/>
    </xf>
    <xf numFmtId="164" fontId="87" fillId="0" borderId="122" xfId="0" applyNumberFormat="1" applyFont="1" applyBorder="1" applyAlignment="1" applyProtection="1">
      <alignment horizontal="center" vertical="center" wrapText="1"/>
    </xf>
    <xf numFmtId="170" fontId="113" fillId="0" borderId="30" xfId="0" applyFont="1" applyBorder="1" applyAlignment="1" applyProtection="1">
      <alignment horizontal="justify" vertical="center" wrapText="1"/>
      <protection locked="0"/>
    </xf>
    <xf numFmtId="170" fontId="113" fillId="0" borderId="31" xfId="0" applyFont="1" applyBorder="1" applyAlignment="1" applyProtection="1">
      <alignment horizontal="justify" vertical="center" wrapText="1"/>
      <protection locked="0"/>
    </xf>
    <xf numFmtId="170" fontId="123" fillId="5" borderId="29" xfId="0" applyFont="1" applyFill="1" applyBorder="1" applyAlignment="1" applyProtection="1">
      <alignment horizontal="justify" vertical="center" wrapText="1"/>
      <protection locked="0"/>
    </xf>
    <xf numFmtId="170" fontId="124" fillId="0" borderId="30" xfId="0" applyFont="1" applyBorder="1" applyAlignment="1" applyProtection="1">
      <alignment horizontal="justify" vertical="center" wrapText="1"/>
      <protection locked="0"/>
    </xf>
    <xf numFmtId="170" fontId="124" fillId="0" borderId="31" xfId="0" applyFont="1" applyBorder="1" applyAlignment="1" applyProtection="1">
      <alignment horizontal="justify" vertical="center" wrapText="1"/>
      <protection locked="0"/>
    </xf>
    <xf numFmtId="164" fontId="120" fillId="17" borderId="0" xfId="4" applyFont="1" applyFill="1" applyAlignment="1" applyProtection="1">
      <alignment horizontal="center" vertical="center"/>
    </xf>
    <xf numFmtId="164" fontId="7" fillId="0" borderId="0" xfId="0" applyNumberFormat="1" applyFont="1" applyAlignment="1" applyProtection="1">
      <alignment horizontal="center" wrapText="1"/>
    </xf>
    <xf numFmtId="164" fontId="21" fillId="0" borderId="0" xfId="0" applyNumberFormat="1" applyFont="1" applyAlignment="1" applyProtection="1">
      <alignment horizontal="right"/>
    </xf>
    <xf numFmtId="15" fontId="21" fillId="0" borderId="0" xfId="0" applyNumberFormat="1" applyFont="1" applyAlignment="1" applyProtection="1">
      <alignment horizontal="right"/>
    </xf>
    <xf numFmtId="164" fontId="7" fillId="0" borderId="0" xfId="0" applyNumberFormat="1" applyFont="1" applyAlignment="1" applyProtection="1">
      <alignment horizontal="center"/>
    </xf>
    <xf numFmtId="164" fontId="21" fillId="0" borderId="0" xfId="0" applyNumberFormat="1" applyFont="1" applyAlignment="1" applyProtection="1">
      <alignment horizontal="left"/>
    </xf>
    <xf numFmtId="170" fontId="23" fillId="5" borderId="29" xfId="0" applyFont="1" applyFill="1" applyBorder="1" applyAlignment="1" applyProtection="1">
      <alignment horizontal="justify" vertical="top" wrapText="1"/>
      <protection locked="0"/>
    </xf>
    <xf numFmtId="170" fontId="23" fillId="5" borderId="30" xfId="0" applyFont="1" applyFill="1" applyBorder="1" applyAlignment="1" applyProtection="1">
      <alignment horizontal="justify" vertical="top" wrapText="1"/>
      <protection locked="0"/>
    </xf>
    <xf numFmtId="170" fontId="23" fillId="5" borderId="31" xfId="0" applyFont="1" applyFill="1" applyBorder="1" applyAlignment="1" applyProtection="1">
      <alignment horizontal="justify" vertical="top" wrapText="1"/>
      <protection locked="0"/>
    </xf>
    <xf numFmtId="170" fontId="113" fillId="0" borderId="30" xfId="0" applyFont="1" applyBorder="1" applyAlignment="1">
      <alignment horizontal="justify" vertical="top" wrapText="1"/>
    </xf>
    <xf numFmtId="170" fontId="113" fillId="0" borderId="31" xfId="0" applyFont="1" applyBorder="1" applyAlignment="1">
      <alignment horizontal="justify" vertical="top" wrapText="1"/>
    </xf>
    <xf numFmtId="170" fontId="27" fillId="0" borderId="111" xfId="0" applyFont="1" applyBorder="1" applyAlignment="1" applyProtection="1">
      <alignment horizontal="center" vertical="center" wrapText="1"/>
    </xf>
    <xf numFmtId="164" fontId="21" fillId="0" borderId="0" xfId="0" applyNumberFormat="1" applyFont="1" applyAlignment="1" applyProtection="1">
      <alignment horizontal="right" wrapText="1"/>
    </xf>
    <xf numFmtId="170" fontId="27" fillId="3" borderId="111" xfId="0" applyFont="1" applyFill="1" applyBorder="1" applyAlignment="1" applyProtection="1">
      <alignment horizontal="left"/>
    </xf>
    <xf numFmtId="170" fontId="27" fillId="3" borderId="111" xfId="0" applyFont="1" applyFill="1" applyBorder="1" applyAlignment="1" applyProtection="1">
      <alignment horizontal="left" vertical="center" wrapText="1"/>
    </xf>
    <xf numFmtId="170" fontId="21" fillId="0" borderId="29" xfId="0" applyFont="1" applyBorder="1" applyAlignment="1" applyProtection="1">
      <alignment horizontal="justify" vertical="center" wrapText="1"/>
    </xf>
    <xf numFmtId="170" fontId="21" fillId="0" borderId="30" xfId="0" applyFont="1" applyBorder="1" applyAlignment="1" applyProtection="1">
      <alignment horizontal="justify" vertical="center" wrapText="1"/>
    </xf>
    <xf numFmtId="170" fontId="21" fillId="0" borderId="31" xfId="0" applyFont="1" applyBorder="1" applyAlignment="1" applyProtection="1">
      <alignment horizontal="justify" vertical="center" wrapText="1"/>
    </xf>
    <xf numFmtId="170" fontId="27" fillId="0" borderId="2" xfId="0" applyFont="1" applyBorder="1" applyAlignment="1" applyProtection="1">
      <alignment vertical="center" wrapText="1"/>
    </xf>
    <xf numFmtId="176" fontId="21" fillId="0" borderId="29" xfId="19" applyNumberFormat="1" applyFont="1" applyBorder="1" applyAlignment="1" applyProtection="1">
      <alignment horizontal="center" vertical="center" wrapText="1"/>
    </xf>
    <xf numFmtId="176" fontId="21" fillId="0" borderId="30" xfId="19" applyNumberFormat="1" applyFont="1" applyBorder="1" applyAlignment="1" applyProtection="1">
      <alignment horizontal="center" vertical="center" wrapText="1"/>
    </xf>
    <xf numFmtId="176" fontId="21" fillId="0" borderId="31" xfId="19" applyNumberFormat="1" applyFont="1" applyBorder="1" applyAlignment="1" applyProtection="1">
      <alignment horizontal="center" vertical="center" wrapText="1"/>
    </xf>
    <xf numFmtId="170" fontId="21" fillId="0" borderId="2" xfId="0" applyFont="1" applyBorder="1" applyAlignment="1" applyProtection="1">
      <alignment horizontal="justify" vertical="center" wrapText="1"/>
    </xf>
    <xf numFmtId="170" fontId="27" fillId="3" borderId="156" xfId="0" applyFont="1" applyFill="1" applyBorder="1" applyAlignment="1" applyProtection="1">
      <alignment horizontal="left"/>
      <protection locked="0"/>
    </xf>
    <xf numFmtId="170" fontId="27" fillId="3" borderId="0" xfId="0" applyFont="1" applyFill="1" applyBorder="1" applyAlignment="1" applyProtection="1">
      <alignment horizontal="left"/>
      <protection locked="0"/>
    </xf>
    <xf numFmtId="9" fontId="23" fillId="5" borderId="29" xfId="19" applyFont="1" applyFill="1" applyBorder="1" applyAlignment="1" applyProtection="1">
      <alignment horizontal="justify" vertical="center" wrapText="1"/>
      <protection locked="0"/>
    </xf>
    <xf numFmtId="9" fontId="23" fillId="5" borderId="30" xfId="19" applyFont="1" applyFill="1" applyBorder="1" applyAlignment="1" applyProtection="1">
      <alignment horizontal="justify" vertical="center" wrapText="1"/>
      <protection locked="0"/>
    </xf>
    <xf numFmtId="9" fontId="23" fillId="5" borderId="31" xfId="19" applyFont="1" applyFill="1" applyBorder="1" applyAlignment="1" applyProtection="1">
      <alignment horizontal="justify" vertical="center" wrapText="1"/>
      <protection locked="0"/>
    </xf>
    <xf numFmtId="9" fontId="23" fillId="5" borderId="29" xfId="19" applyFont="1" applyFill="1" applyBorder="1" applyAlignment="1" applyProtection="1">
      <alignment horizontal="left" vertical="center" wrapText="1"/>
      <protection locked="0"/>
    </xf>
    <xf numFmtId="9" fontId="23" fillId="5" borderId="30" xfId="19" applyFont="1" applyFill="1" applyBorder="1" applyAlignment="1" applyProtection="1">
      <alignment horizontal="left" vertical="center" wrapText="1"/>
      <protection locked="0"/>
    </xf>
    <xf numFmtId="9" fontId="23" fillId="5" borderId="31" xfId="19" applyFont="1" applyFill="1" applyBorder="1" applyAlignment="1" applyProtection="1">
      <alignment horizontal="left" vertical="center" wrapText="1"/>
      <protection locked="0"/>
    </xf>
    <xf numFmtId="170" fontId="23" fillId="3" borderId="0" xfId="0" applyFont="1" applyFill="1" applyBorder="1" applyAlignment="1" applyProtection="1">
      <alignment horizontal="left"/>
    </xf>
    <xf numFmtId="9" fontId="23" fillId="5" borderId="2" xfId="19" applyFont="1" applyFill="1" applyBorder="1" applyAlignment="1" applyProtection="1">
      <alignment horizontal="justify" vertical="center" wrapText="1"/>
      <protection locked="0"/>
    </xf>
    <xf numFmtId="170" fontId="26" fillId="0" borderId="75" xfId="0" applyFont="1" applyBorder="1" applyAlignment="1" applyProtection="1">
      <alignment horizontal="center"/>
    </xf>
    <xf numFmtId="170" fontId="27" fillId="0" borderId="2" xfId="0" applyFont="1" applyBorder="1" applyAlignment="1" applyProtection="1">
      <alignment horizontal="center" vertical="center" wrapText="1"/>
    </xf>
    <xf numFmtId="170" fontId="27" fillId="3" borderId="0" xfId="0" applyFont="1" applyFill="1" applyAlignment="1" applyProtection="1">
      <alignment horizontal="center" vertical="center" wrapText="1"/>
    </xf>
    <xf numFmtId="170" fontId="27" fillId="3" borderId="0" xfId="0" applyFont="1" applyFill="1" applyAlignment="1" applyProtection="1">
      <alignment horizontal="left"/>
      <protection locked="0"/>
    </xf>
    <xf numFmtId="170" fontId="27" fillId="3" borderId="27" xfId="0" applyFont="1" applyFill="1" applyBorder="1" applyAlignment="1" applyProtection="1">
      <alignment horizontal="left"/>
      <protection locked="0"/>
    </xf>
    <xf numFmtId="9" fontId="21" fillId="0" borderId="29" xfId="19" applyFont="1" applyBorder="1" applyAlignment="1" applyProtection="1">
      <alignment horizontal="center" vertical="center" wrapText="1"/>
    </xf>
    <xf numFmtId="9" fontId="21" fillId="0" borderId="30" xfId="19" applyFont="1" applyBorder="1" applyAlignment="1" applyProtection="1">
      <alignment horizontal="center" vertical="center" wrapText="1"/>
    </xf>
    <xf numFmtId="9" fontId="21" fillId="0" borderId="31" xfId="19" applyFont="1" applyBorder="1" applyAlignment="1" applyProtection="1">
      <alignment horizontal="center" vertical="center" wrapText="1"/>
    </xf>
    <xf numFmtId="170" fontId="27" fillId="0" borderId="29" xfId="0" applyFont="1" applyBorder="1" applyAlignment="1" applyProtection="1">
      <alignment horizontal="center" vertical="center"/>
    </xf>
    <xf numFmtId="170" fontId="27" fillId="0" borderId="30" xfId="0" applyFont="1" applyBorder="1" applyAlignment="1" applyProtection="1">
      <alignment horizontal="center" vertical="center"/>
    </xf>
    <xf numFmtId="170" fontId="27" fillId="0" borderId="31" xfId="0" applyFont="1" applyBorder="1" applyAlignment="1" applyProtection="1">
      <alignment horizontal="center" vertical="center"/>
    </xf>
    <xf numFmtId="9" fontId="30" fillId="18" borderId="29" xfId="19" applyFont="1" applyFill="1" applyBorder="1" applyAlignment="1" applyProtection="1">
      <alignment horizontal="center" vertical="center" wrapText="1"/>
    </xf>
    <xf numFmtId="9" fontId="30" fillId="18" borderId="31" xfId="19" applyFont="1" applyFill="1" applyBorder="1" applyAlignment="1" applyProtection="1">
      <alignment horizontal="center" vertical="center" wrapText="1"/>
    </xf>
    <xf numFmtId="9" fontId="30" fillId="21" borderId="29" xfId="19" applyFont="1" applyFill="1" applyBorder="1" applyAlignment="1" applyProtection="1">
      <alignment horizontal="center" vertical="center" wrapText="1"/>
    </xf>
    <xf numFmtId="9" fontId="30" fillId="21" borderId="31" xfId="19" applyFont="1" applyFill="1" applyBorder="1" applyAlignment="1" applyProtection="1">
      <alignment horizontal="center" vertical="center" wrapText="1"/>
    </xf>
    <xf numFmtId="164" fontId="45" fillId="17" borderId="0" xfId="13" applyFont="1" applyFill="1" applyAlignment="1" applyProtection="1">
      <alignment horizontal="center" vertical="center"/>
    </xf>
    <xf numFmtId="174" fontId="27" fillId="0" borderId="111" xfId="0" applyNumberFormat="1" applyFont="1" applyBorder="1" applyAlignment="1" applyProtection="1">
      <alignment horizontal="center" vertical="center" wrapText="1"/>
    </xf>
    <xf numFmtId="164" fontId="88" fillId="0" borderId="0" xfId="0" applyNumberFormat="1" applyFont="1" applyAlignment="1" applyProtection="1">
      <alignment horizontal="center"/>
    </xf>
    <xf numFmtId="164" fontId="26" fillId="0" borderId="0" xfId="0" applyNumberFormat="1" applyFont="1" applyAlignment="1" applyProtection="1">
      <alignment horizontal="center"/>
    </xf>
    <xf numFmtId="164" fontId="8" fillId="16" borderId="0" xfId="21" applyFont="1" applyFill="1" applyBorder="1" applyAlignment="1" applyProtection="1">
      <alignment horizontal="center"/>
    </xf>
    <xf numFmtId="170" fontId="2" fillId="5" borderId="236" xfId="0" applyFont="1" applyFill="1" applyBorder="1" applyAlignment="1" applyProtection="1">
      <alignment horizontal="justify" vertical="top" wrapText="1"/>
      <protection locked="0"/>
    </xf>
    <xf numFmtId="170" fontId="113" fillId="0" borderId="237" xfId="0" applyFont="1" applyBorder="1" applyAlignment="1">
      <alignment horizontal="justify" vertical="top" wrapText="1"/>
    </xf>
    <xf numFmtId="170" fontId="113" fillId="0" borderId="238" xfId="0" applyFont="1" applyBorder="1" applyAlignment="1">
      <alignment horizontal="justify" vertical="top" wrapText="1"/>
    </xf>
    <xf numFmtId="9" fontId="2" fillId="0" borderId="193" xfId="19" applyNumberFormat="1" applyFont="1" applyFill="1" applyBorder="1" applyAlignment="1" applyProtection="1">
      <alignment horizontal="justify" vertical="center" wrapText="1"/>
    </xf>
    <xf numFmtId="170" fontId="2" fillId="0" borderId="178" xfId="19" applyNumberFormat="1" applyFont="1" applyFill="1" applyBorder="1" applyAlignment="1" applyProtection="1">
      <alignment horizontal="justify" vertical="center" wrapText="1"/>
    </xf>
    <xf numFmtId="170" fontId="2" fillId="0" borderId="194" xfId="19" applyNumberFormat="1" applyFont="1" applyFill="1" applyBorder="1" applyAlignment="1" applyProtection="1">
      <alignment horizontal="justify" vertical="center" wrapText="1"/>
    </xf>
    <xf numFmtId="170" fontId="44" fillId="5" borderId="195" xfId="0" applyFont="1" applyFill="1" applyBorder="1" applyAlignment="1" applyProtection="1">
      <alignment horizontal="center" vertical="center"/>
    </xf>
    <xf numFmtId="170" fontId="44" fillId="5" borderId="196" xfId="0" applyFont="1" applyFill="1" applyBorder="1" applyAlignment="1" applyProtection="1">
      <alignment horizontal="center" vertical="center"/>
    </xf>
    <xf numFmtId="170" fontId="44" fillId="5" borderId="197" xfId="0" applyFont="1" applyFill="1" applyBorder="1" applyAlignment="1" applyProtection="1">
      <alignment horizontal="center" vertical="center"/>
    </xf>
    <xf numFmtId="170" fontId="2" fillId="0" borderId="198" xfId="0" applyNumberFormat="1" applyFont="1" applyFill="1" applyBorder="1" applyAlignment="1" applyProtection="1">
      <alignment horizontal="justify" vertical="center" wrapText="1"/>
    </xf>
    <xf numFmtId="170" fontId="2" fillId="0" borderId="199" xfId="0" applyNumberFormat="1" applyFont="1" applyFill="1" applyBorder="1" applyAlignment="1" applyProtection="1">
      <alignment horizontal="justify" vertical="center" wrapText="1"/>
    </xf>
    <xf numFmtId="170" fontId="2" fillId="0" borderId="200" xfId="0" applyNumberFormat="1" applyFont="1" applyFill="1" applyBorder="1" applyAlignment="1" applyProtection="1">
      <alignment horizontal="justify" vertical="center" wrapText="1"/>
    </xf>
    <xf numFmtId="170" fontId="2" fillId="5" borderId="159" xfId="0" applyFont="1" applyFill="1" applyBorder="1" applyAlignment="1" applyProtection="1">
      <alignment horizontal="justify" vertical="top" wrapText="1"/>
      <protection locked="0"/>
    </xf>
    <xf numFmtId="170" fontId="113" fillId="0" borderId="82" xfId="0" applyFont="1" applyBorder="1" applyAlignment="1">
      <alignment horizontal="justify" vertical="top" wrapText="1"/>
    </xf>
    <xf numFmtId="170" fontId="113" fillId="0" borderId="160" xfId="0" applyFont="1" applyBorder="1" applyAlignment="1">
      <alignment horizontal="justify" vertical="top" wrapText="1"/>
    </xf>
    <xf numFmtId="170" fontId="2" fillId="0" borderId="193" xfId="19" applyNumberFormat="1" applyFont="1" applyFill="1" applyBorder="1" applyAlignment="1" applyProtection="1">
      <alignment horizontal="justify" vertical="center" wrapText="1"/>
    </xf>
    <xf numFmtId="170" fontId="101" fillId="6" borderId="186" xfId="0" applyFont="1" applyFill="1" applyBorder="1" applyAlignment="1" applyProtection="1">
      <alignment horizontal="center" vertical="center"/>
    </xf>
    <xf numFmtId="170" fontId="101" fillId="6" borderId="187" xfId="0" applyFont="1" applyFill="1" applyBorder="1" applyAlignment="1" applyProtection="1">
      <alignment horizontal="center" vertical="center"/>
    </xf>
    <xf numFmtId="170" fontId="101" fillId="6" borderId="188" xfId="0" applyFont="1" applyFill="1" applyBorder="1" applyAlignment="1" applyProtection="1">
      <alignment horizontal="center" vertical="center"/>
    </xf>
    <xf numFmtId="170" fontId="2" fillId="0" borderId="30" xfId="0" applyNumberFormat="1" applyFont="1" applyFill="1" applyBorder="1" applyAlignment="1" applyProtection="1">
      <alignment horizontal="justify" vertical="center" wrapText="1"/>
    </xf>
    <xf numFmtId="170" fontId="2" fillId="0" borderId="183" xfId="0" applyNumberFormat="1" applyFont="1" applyFill="1" applyBorder="1" applyAlignment="1" applyProtection="1">
      <alignment horizontal="justify" vertical="center" wrapText="1"/>
    </xf>
    <xf numFmtId="170" fontId="2" fillId="0" borderId="191" xfId="0" applyNumberFormat="1" applyFont="1" applyFill="1" applyBorder="1" applyAlignment="1" applyProtection="1">
      <alignment horizontal="justify" vertical="center" wrapText="1"/>
    </xf>
    <xf numFmtId="170" fontId="2" fillId="0" borderId="192" xfId="0" applyNumberFormat="1" applyFont="1" applyFill="1" applyBorder="1" applyAlignment="1" applyProtection="1">
      <alignment horizontal="justify" vertical="center" wrapText="1"/>
    </xf>
    <xf numFmtId="170" fontId="128" fillId="0" borderId="0" xfId="0" applyFont="1" applyFill="1" applyBorder="1" applyAlignment="1" applyProtection="1">
      <alignment horizontal="center"/>
    </xf>
    <xf numFmtId="170" fontId="128" fillId="0" borderId="177" xfId="0" applyFont="1" applyFill="1" applyBorder="1" applyAlignment="1" applyProtection="1">
      <alignment horizontal="center"/>
    </xf>
    <xf numFmtId="170" fontId="2" fillId="0" borderId="162" xfId="0" applyNumberFormat="1" applyFont="1" applyFill="1" applyBorder="1" applyAlignment="1" applyProtection="1">
      <alignment horizontal="justify" vertical="center" wrapText="1"/>
    </xf>
    <xf numFmtId="170" fontId="2" fillId="0" borderId="163" xfId="0" applyNumberFormat="1" applyFont="1" applyFill="1" applyBorder="1" applyAlignment="1" applyProtection="1">
      <alignment horizontal="justify" vertical="center" wrapText="1"/>
    </xf>
    <xf numFmtId="170" fontId="58" fillId="2" borderId="4" xfId="0" applyFont="1" applyFill="1" applyBorder="1" applyAlignment="1" applyProtection="1">
      <alignment horizontal="center" vertical="center"/>
    </xf>
    <xf numFmtId="170" fontId="88" fillId="0" borderId="0" xfId="0" applyFont="1" applyBorder="1" applyAlignment="1" applyProtection="1">
      <alignment horizontal="center"/>
    </xf>
    <xf numFmtId="49" fontId="2" fillId="9" borderId="189"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90" xfId="0" applyNumberFormat="1" applyFont="1" applyFill="1" applyBorder="1" applyAlignment="1" applyProtection="1">
      <alignment horizontal="center" vertical="center"/>
      <protection locked="0"/>
    </xf>
    <xf numFmtId="170" fontId="2" fillId="6" borderId="173" xfId="0" applyFont="1" applyFill="1" applyBorder="1" applyAlignment="1" applyProtection="1">
      <alignment horizontal="center" vertical="center" wrapText="1"/>
      <protection locked="0"/>
    </xf>
    <xf numFmtId="170" fontId="2" fillId="6" borderId="174" xfId="0" applyFont="1" applyFill="1" applyBorder="1" applyAlignment="1" applyProtection="1">
      <alignment horizontal="center" vertical="center" wrapText="1"/>
      <protection locked="0"/>
    </xf>
    <xf numFmtId="170" fontId="2" fillId="6" borderId="175" xfId="0" applyFont="1" applyFill="1" applyBorder="1" applyAlignment="1" applyProtection="1">
      <alignment horizontal="center" vertical="center" wrapText="1"/>
      <protection locked="0"/>
    </xf>
    <xf numFmtId="170" fontId="44" fillId="9" borderId="164" xfId="0" applyFont="1" applyFill="1" applyBorder="1" applyAlignment="1" applyProtection="1">
      <alignment horizontal="center" vertical="center"/>
    </xf>
    <xf numFmtId="170" fontId="44" fillId="9" borderId="165" xfId="0" applyFont="1" applyFill="1" applyBorder="1" applyAlignment="1" applyProtection="1">
      <alignment horizontal="center" vertical="center"/>
    </xf>
    <xf numFmtId="170" fontId="44" fillId="9" borderId="166" xfId="0" applyFont="1" applyFill="1" applyBorder="1" applyAlignment="1" applyProtection="1">
      <alignment horizontal="center" vertical="center"/>
    </xf>
    <xf numFmtId="170" fontId="2" fillId="6" borderId="167" xfId="0" applyFont="1" applyFill="1" applyBorder="1" applyAlignment="1" applyProtection="1">
      <alignment horizontal="center" vertical="center" wrapText="1"/>
      <protection locked="0"/>
    </xf>
    <xf numFmtId="170" fontId="2" fillId="6" borderId="168" xfId="0" applyFont="1" applyFill="1" applyBorder="1" applyAlignment="1" applyProtection="1">
      <alignment horizontal="center" vertical="center" wrapText="1"/>
      <protection locked="0"/>
    </xf>
    <xf numFmtId="170" fontId="2" fillId="6" borderId="169" xfId="0" applyFont="1" applyFill="1" applyBorder="1" applyAlignment="1" applyProtection="1">
      <alignment horizontal="center" vertical="center" wrapText="1"/>
      <protection locked="0"/>
    </xf>
    <xf numFmtId="170" fontId="2" fillId="6" borderId="170" xfId="0" applyFont="1" applyFill="1" applyBorder="1" applyAlignment="1" applyProtection="1">
      <alignment horizontal="center" vertical="center" wrapText="1"/>
      <protection locked="0"/>
    </xf>
    <xf numFmtId="170" fontId="2" fillId="6" borderId="171" xfId="0" applyFont="1" applyFill="1" applyBorder="1" applyAlignment="1" applyProtection="1">
      <alignment horizontal="center" vertical="center" wrapText="1"/>
      <protection locked="0"/>
    </xf>
    <xf numFmtId="170" fontId="2" fillId="6" borderId="172" xfId="0" applyFont="1" applyFill="1" applyBorder="1" applyAlignment="1" applyProtection="1">
      <alignment horizontal="center" vertical="center" wrapText="1"/>
      <protection locked="0"/>
    </xf>
    <xf numFmtId="170" fontId="128" fillId="0" borderId="176" xfId="0" applyFont="1" applyFill="1" applyBorder="1" applyAlignment="1" applyProtection="1">
      <alignment horizontal="center"/>
    </xf>
    <xf numFmtId="170" fontId="57" fillId="0" borderId="0" xfId="0" applyFont="1" applyFill="1" applyBorder="1" applyAlignment="1" applyProtection="1">
      <alignment horizontal="center"/>
    </xf>
    <xf numFmtId="170" fontId="57" fillId="0" borderId="176" xfId="0" applyFont="1" applyFill="1" applyBorder="1" applyAlignment="1" applyProtection="1">
      <alignment horizontal="center"/>
    </xf>
    <xf numFmtId="49" fontId="2" fillId="9" borderId="180" xfId="0" applyNumberFormat="1" applyFont="1" applyFill="1" applyBorder="1" applyAlignment="1" applyProtection="1">
      <alignment horizontal="center" vertical="center"/>
      <protection locked="0"/>
    </xf>
    <xf numFmtId="49" fontId="2" fillId="9" borderId="181" xfId="0" applyNumberFormat="1" applyFont="1" applyFill="1" applyBorder="1" applyAlignment="1" applyProtection="1">
      <alignment horizontal="center" vertical="center"/>
      <protection locked="0"/>
    </xf>
    <xf numFmtId="49" fontId="2" fillId="9" borderId="182" xfId="0" applyNumberFormat="1" applyFont="1" applyFill="1" applyBorder="1" applyAlignment="1" applyProtection="1">
      <alignment horizontal="center" vertical="center"/>
      <protection locked="0"/>
    </xf>
    <xf numFmtId="170" fontId="2" fillId="0" borderId="179" xfId="0" applyNumberFormat="1" applyFont="1" applyFill="1" applyBorder="1" applyAlignment="1" applyProtection="1">
      <alignment horizontal="justify" vertical="center" wrapText="1"/>
    </xf>
    <xf numFmtId="170" fontId="101" fillId="6" borderId="184" xfId="0" applyFont="1" applyFill="1" applyBorder="1" applyAlignment="1" applyProtection="1">
      <alignment horizontal="center" vertical="center"/>
    </xf>
    <xf numFmtId="170" fontId="101" fillId="6" borderId="185" xfId="0" applyFont="1" applyFill="1" applyBorder="1" applyAlignment="1" applyProtection="1">
      <alignment horizontal="center" vertical="center"/>
    </xf>
    <xf numFmtId="170" fontId="113" fillId="0" borderId="185" xfId="0" applyFont="1" applyBorder="1" applyAlignment="1">
      <alignment horizontal="center" vertical="center"/>
    </xf>
    <xf numFmtId="170" fontId="2" fillId="0" borderId="157" xfId="0" applyNumberFormat="1" applyFont="1" applyFill="1" applyBorder="1" applyAlignment="1" applyProtection="1">
      <alignment horizontal="justify" vertical="center" wrapText="1"/>
    </xf>
    <xf numFmtId="170" fontId="2" fillId="0" borderId="158" xfId="0" applyNumberFormat="1" applyFont="1" applyFill="1" applyBorder="1" applyAlignment="1" applyProtection="1">
      <alignment horizontal="justify" vertical="center" wrapText="1"/>
    </xf>
    <xf numFmtId="170" fontId="2" fillId="0" borderId="6" xfId="0" applyNumberFormat="1" applyFont="1" applyFill="1" applyBorder="1" applyAlignment="1" applyProtection="1">
      <alignment horizontal="justify" vertical="center" wrapText="1"/>
    </xf>
    <xf numFmtId="170" fontId="2" fillId="0" borderId="190" xfId="0" applyNumberFormat="1" applyFont="1" applyFill="1" applyBorder="1" applyAlignment="1" applyProtection="1">
      <alignment horizontal="justify" vertical="center" wrapText="1"/>
    </xf>
    <xf numFmtId="170" fontId="113" fillId="5" borderId="112" xfId="0" applyFont="1" applyFill="1" applyBorder="1" applyAlignment="1" applyProtection="1">
      <alignment horizontal="justify" vertical="top" wrapText="1"/>
      <protection locked="0"/>
    </xf>
    <xf numFmtId="170" fontId="113" fillId="5" borderId="111" xfId="0" applyFont="1" applyFill="1" applyBorder="1" applyAlignment="1" applyProtection="1">
      <alignment horizontal="justify" vertical="top" wrapText="1"/>
      <protection locked="0"/>
    </xf>
    <xf numFmtId="170" fontId="113" fillId="5" borderId="113" xfId="0" applyFont="1" applyFill="1" applyBorder="1" applyAlignment="1" applyProtection="1">
      <alignment horizontal="justify" vertical="top" wrapText="1"/>
      <protection locked="0"/>
    </xf>
    <xf numFmtId="170" fontId="113" fillId="5" borderId="114" xfId="0" applyFont="1" applyFill="1" applyBorder="1" applyAlignment="1" applyProtection="1">
      <alignment horizontal="justify" vertical="top" wrapText="1"/>
      <protection locked="0"/>
    </xf>
    <xf numFmtId="170" fontId="113" fillId="5" borderId="75" xfId="0" applyFont="1" applyFill="1" applyBorder="1" applyAlignment="1" applyProtection="1">
      <alignment horizontal="justify" vertical="top" wrapText="1"/>
      <protection locked="0"/>
    </xf>
    <xf numFmtId="170" fontId="113" fillId="5" borderId="77" xfId="0" applyFont="1" applyFill="1" applyBorder="1" applyAlignment="1" applyProtection="1">
      <alignment horizontal="justify" vertical="top" wrapText="1"/>
      <protection locked="0"/>
    </xf>
    <xf numFmtId="170" fontId="56" fillId="4" borderId="5" xfId="18" applyNumberFormat="1" applyFont="1" applyFill="1" applyBorder="1" applyAlignment="1">
      <alignment horizontal="center" vertical="center" wrapText="1"/>
    </xf>
    <xf numFmtId="170" fontId="56" fillId="4" borderId="230" xfId="18" applyNumberFormat="1" applyFont="1" applyFill="1" applyBorder="1" applyAlignment="1">
      <alignment horizontal="center" vertical="center" wrapText="1"/>
    </xf>
    <xf numFmtId="170" fontId="56" fillId="4" borderId="220" xfId="18" applyNumberFormat="1" applyFont="1" applyFill="1" applyBorder="1" applyAlignment="1">
      <alignment horizontal="center" vertical="center" wrapText="1"/>
    </xf>
    <xf numFmtId="170" fontId="14" fillId="0" borderId="207" xfId="0" applyFont="1" applyFill="1" applyBorder="1" applyAlignment="1" applyProtection="1">
      <alignment horizontal="left"/>
      <protection locked="0"/>
    </xf>
    <xf numFmtId="170" fontId="14" fillId="0" borderId="201" xfId="0" applyFont="1" applyFill="1" applyBorder="1" applyAlignment="1" applyProtection="1">
      <alignment horizontal="left"/>
      <protection locked="0"/>
    </xf>
    <xf numFmtId="170" fontId="14" fillId="0" borderId="208" xfId="0" applyFont="1" applyFill="1" applyBorder="1" applyAlignment="1" applyProtection="1">
      <alignment horizontal="left"/>
      <protection locked="0"/>
    </xf>
    <xf numFmtId="170" fontId="14" fillId="0" borderId="209" xfId="0" applyFont="1" applyFill="1" applyBorder="1" applyAlignment="1" applyProtection="1">
      <alignment horizontal="left"/>
      <protection locked="0"/>
    </xf>
    <xf numFmtId="170" fontId="26" fillId="0" borderId="0" xfId="0" applyFont="1" applyAlignment="1">
      <alignment horizontal="center"/>
    </xf>
    <xf numFmtId="170" fontId="56" fillId="4" borderId="204" xfId="18" applyNumberFormat="1" applyFont="1" applyFill="1" applyBorder="1" applyAlignment="1">
      <alignment horizontal="center" vertical="center" wrapText="1"/>
    </xf>
    <xf numFmtId="170" fontId="56" fillId="4" borderId="205" xfId="18" applyNumberFormat="1" applyFont="1" applyFill="1" applyBorder="1" applyAlignment="1">
      <alignment horizontal="center" vertical="center" wrapText="1"/>
    </xf>
    <xf numFmtId="170" fontId="56" fillId="4" borderId="206" xfId="18" applyNumberFormat="1" applyFont="1" applyFill="1" applyBorder="1" applyAlignment="1">
      <alignment horizontal="center" vertical="center" wrapText="1"/>
    </xf>
    <xf numFmtId="170" fontId="14" fillId="0" borderId="201" xfId="0" applyFont="1" applyBorder="1" applyAlignment="1" applyProtection="1">
      <alignment horizontal="left"/>
      <protection locked="0"/>
    </xf>
    <xf numFmtId="164" fontId="8" fillId="16" borderId="0" xfId="22" applyFont="1" applyFill="1" applyBorder="1" applyAlignment="1" applyProtection="1">
      <alignment horizontal="center"/>
      <protection locked="0"/>
    </xf>
    <xf numFmtId="170" fontId="14" fillId="0" borderId="22" xfId="0" applyFont="1" applyFill="1" applyBorder="1" applyAlignment="1" applyProtection="1">
      <alignment horizontal="left"/>
      <protection locked="0"/>
    </xf>
    <xf numFmtId="170" fontId="14" fillId="0" borderId="203" xfId="0" applyFont="1" applyFill="1" applyBorder="1" applyAlignment="1" applyProtection="1">
      <alignment horizontal="left"/>
      <protection locked="0"/>
    </xf>
    <xf numFmtId="170" fontId="14" fillId="0" borderId="202" xfId="0" applyFont="1" applyFill="1" applyBorder="1" applyAlignment="1" applyProtection="1">
      <alignment horizontal="left"/>
      <protection locked="0"/>
    </xf>
    <xf numFmtId="170" fontId="14" fillId="0" borderId="218" xfId="0" applyFont="1" applyBorder="1" applyAlignment="1" applyProtection="1">
      <alignment horizontal="left"/>
      <protection locked="0"/>
    </xf>
    <xf numFmtId="170" fontId="14" fillId="0" borderId="22" xfId="0" applyFont="1" applyBorder="1" applyAlignment="1" applyProtection="1">
      <alignment horizontal="left"/>
      <protection locked="0"/>
    </xf>
    <xf numFmtId="170" fontId="14" fillId="0" borderId="207" xfId="0" applyFont="1" applyBorder="1" applyAlignment="1" applyProtection="1">
      <alignment horizontal="left"/>
      <protection locked="0"/>
    </xf>
    <xf numFmtId="170" fontId="76" fillId="4" borderId="110" xfId="0" applyFont="1" applyFill="1" applyBorder="1" applyAlignment="1">
      <alignment horizontal="center" vertical="center" textRotation="90"/>
    </xf>
    <xf numFmtId="170" fontId="0" fillId="4" borderId="68" xfId="0" applyFill="1" applyBorder="1" applyAlignment="1">
      <alignment horizontal="center" vertical="center" textRotation="90"/>
    </xf>
    <xf numFmtId="170" fontId="0" fillId="4" borderId="78" xfId="0" applyFill="1" applyBorder="1" applyAlignment="1">
      <alignment horizontal="center" vertical="center" textRotation="90"/>
    </xf>
    <xf numFmtId="170" fontId="14" fillId="0" borderId="227" xfId="0" applyFont="1" applyFill="1" applyBorder="1" applyAlignment="1" applyProtection="1">
      <alignment horizontal="justify" vertical="center" wrapText="1"/>
      <protection locked="0"/>
    </xf>
    <xf numFmtId="170" fontId="14" fillId="0" borderId="224" xfId="0" applyFont="1" applyFill="1" applyBorder="1" applyAlignment="1" applyProtection="1">
      <alignment horizontal="justify" vertical="center" wrapText="1"/>
      <protection locked="0"/>
    </xf>
    <xf numFmtId="170" fontId="14" fillId="0" borderId="228" xfId="0" applyFont="1" applyFill="1" applyBorder="1" applyAlignment="1" applyProtection="1">
      <alignment horizontal="justify" vertical="center" wrapText="1"/>
      <protection locked="0"/>
    </xf>
    <xf numFmtId="170" fontId="14" fillId="0" borderId="229" xfId="0" applyFont="1" applyFill="1" applyBorder="1" applyAlignment="1" applyProtection="1">
      <alignment horizontal="justify" vertical="center" wrapText="1"/>
      <protection locked="0"/>
    </xf>
    <xf numFmtId="170" fontId="14" fillId="0" borderId="181" xfId="0" applyFont="1" applyFill="1" applyBorder="1" applyAlignment="1" applyProtection="1">
      <alignment horizontal="justify" vertical="center" wrapText="1"/>
      <protection locked="0"/>
    </xf>
    <xf numFmtId="170" fontId="14" fillId="0" borderId="217" xfId="0" applyFont="1" applyFill="1" applyBorder="1" applyAlignment="1" applyProtection="1">
      <alignment horizontal="justify" vertical="center" wrapText="1"/>
      <protection locked="0"/>
    </xf>
    <xf numFmtId="170" fontId="14" fillId="0" borderId="178" xfId="0" applyFont="1" applyFill="1" applyBorder="1" applyAlignment="1" applyProtection="1">
      <alignment horizontal="left" vertical="center" wrapText="1"/>
      <protection locked="0"/>
    </xf>
    <xf numFmtId="170" fontId="14" fillId="0" borderId="210" xfId="0" applyFont="1" applyFill="1" applyBorder="1" applyAlignment="1" applyProtection="1">
      <alignment horizontal="left" vertical="center" wrapText="1"/>
      <protection locked="0"/>
    </xf>
    <xf numFmtId="170" fontId="14" fillId="0" borderId="211" xfId="0" applyFont="1" applyFill="1" applyBorder="1" applyAlignment="1" applyProtection="1">
      <alignment horizontal="left" vertical="center" wrapText="1"/>
      <protection locked="0"/>
    </xf>
    <xf numFmtId="170" fontId="14" fillId="0" borderId="212" xfId="0" applyFont="1" applyFill="1" applyBorder="1" applyAlignment="1" applyProtection="1">
      <alignment horizontal="left" vertical="center" wrapText="1"/>
      <protection locked="0"/>
    </xf>
    <xf numFmtId="170" fontId="14" fillId="0" borderId="218" xfId="0" applyFont="1" applyFill="1" applyBorder="1" applyAlignment="1" applyProtection="1">
      <alignment horizontal="left"/>
      <protection locked="0"/>
    </xf>
    <xf numFmtId="170" fontId="14" fillId="0" borderId="231" xfId="0" applyFont="1" applyFill="1" applyBorder="1" applyAlignment="1" applyProtection="1">
      <alignment horizontal="justify" vertical="center" wrapText="1"/>
      <protection locked="0"/>
    </xf>
    <xf numFmtId="170" fontId="14" fillId="0" borderId="214" xfId="0" applyFont="1" applyFill="1" applyBorder="1" applyAlignment="1" applyProtection="1">
      <alignment horizontal="justify" vertical="center" wrapText="1"/>
      <protection locked="0"/>
    </xf>
    <xf numFmtId="170" fontId="14" fillId="0" borderId="215" xfId="0" applyFont="1" applyFill="1" applyBorder="1" applyAlignment="1" applyProtection="1">
      <alignment horizontal="justify" vertical="center" wrapText="1"/>
      <protection locked="0"/>
    </xf>
    <xf numFmtId="170" fontId="14" fillId="0" borderId="209" xfId="0" applyFont="1" applyBorder="1" applyAlignment="1" applyProtection="1">
      <alignment horizontal="left"/>
      <protection locked="0"/>
    </xf>
    <xf numFmtId="170" fontId="14" fillId="0" borderId="223" xfId="0" applyFont="1" applyFill="1" applyBorder="1" applyAlignment="1" applyProtection="1">
      <alignment horizontal="left" vertical="top" wrapText="1"/>
      <protection locked="0"/>
    </xf>
    <xf numFmtId="170" fontId="14" fillId="0" borderId="224" xfId="0" applyFont="1" applyFill="1" applyBorder="1" applyAlignment="1" applyProtection="1">
      <alignment horizontal="left" vertical="top" wrapText="1"/>
      <protection locked="0"/>
    </xf>
    <xf numFmtId="170" fontId="14" fillId="0" borderId="225" xfId="0" applyFont="1" applyFill="1" applyBorder="1" applyAlignment="1" applyProtection="1">
      <alignment horizontal="left" vertical="top" wrapText="1"/>
      <protection locked="0"/>
    </xf>
    <xf numFmtId="170" fontId="14" fillId="0" borderId="216" xfId="0" applyFont="1" applyFill="1" applyBorder="1" applyAlignment="1" applyProtection="1">
      <alignment horizontal="left" vertical="top" wrapText="1"/>
      <protection locked="0"/>
    </xf>
    <xf numFmtId="170" fontId="14" fillId="0" borderId="181" xfId="0" applyFont="1" applyFill="1" applyBorder="1" applyAlignment="1" applyProtection="1">
      <alignment horizontal="left" vertical="top" wrapText="1"/>
      <protection locked="0"/>
    </xf>
    <xf numFmtId="170" fontId="14" fillId="0" borderId="226" xfId="0" applyFont="1" applyFill="1" applyBorder="1" applyAlignment="1" applyProtection="1">
      <alignment horizontal="left" vertical="top" wrapText="1"/>
      <protection locked="0"/>
    </xf>
    <xf numFmtId="170" fontId="14" fillId="0" borderId="219" xfId="0" applyFont="1" applyFill="1" applyBorder="1" applyAlignment="1" applyProtection="1">
      <alignment horizontal="left"/>
      <protection locked="0"/>
    </xf>
    <xf numFmtId="170" fontId="14" fillId="0" borderId="202" xfId="0" applyFont="1" applyBorder="1" applyAlignment="1" applyProtection="1">
      <alignment horizontal="left"/>
      <protection locked="0"/>
    </xf>
    <xf numFmtId="170" fontId="14" fillId="0" borderId="219" xfId="0" applyFont="1" applyBorder="1" applyAlignment="1" applyProtection="1">
      <alignment horizontal="left"/>
      <protection locked="0"/>
    </xf>
    <xf numFmtId="170" fontId="14" fillId="0" borderId="203" xfId="0" applyFont="1" applyBorder="1" applyAlignment="1" applyProtection="1">
      <alignment horizontal="left"/>
      <protection locked="0"/>
    </xf>
    <xf numFmtId="170" fontId="14" fillId="0" borderId="221" xfId="0" applyFont="1" applyFill="1" applyBorder="1" applyAlignment="1" applyProtection="1">
      <alignment horizontal="left"/>
      <protection locked="0"/>
    </xf>
    <xf numFmtId="170" fontId="14" fillId="0" borderId="178" xfId="0" applyFont="1" applyFill="1" applyBorder="1" applyAlignment="1" applyProtection="1">
      <alignment horizontal="left"/>
      <protection locked="0"/>
    </xf>
    <xf numFmtId="170" fontId="14" fillId="0" borderId="210" xfId="0" applyFont="1" applyFill="1" applyBorder="1" applyAlignment="1" applyProtection="1">
      <alignment horizontal="left"/>
      <protection locked="0"/>
    </xf>
    <xf numFmtId="170" fontId="14" fillId="0" borderId="222" xfId="0" applyFont="1" applyFill="1" applyBorder="1" applyAlignment="1" applyProtection="1">
      <alignment horizontal="left"/>
      <protection locked="0"/>
    </xf>
    <xf numFmtId="170" fontId="14" fillId="0" borderId="211" xfId="0" applyFont="1" applyFill="1" applyBorder="1" applyAlignment="1" applyProtection="1">
      <alignment horizontal="left"/>
      <protection locked="0"/>
    </xf>
    <xf numFmtId="170" fontId="14" fillId="0" borderId="212" xfId="0" applyFont="1" applyFill="1" applyBorder="1" applyAlignment="1" applyProtection="1">
      <alignment horizontal="left"/>
      <protection locked="0"/>
    </xf>
    <xf numFmtId="170" fontId="14" fillId="0" borderId="208" xfId="0" applyFont="1" applyBorder="1" applyAlignment="1" applyProtection="1">
      <alignment horizontal="left"/>
      <protection locked="0"/>
    </xf>
    <xf numFmtId="170" fontId="14" fillId="0" borderId="213" xfId="0" applyFont="1" applyFill="1" applyBorder="1" applyAlignment="1" applyProtection="1">
      <alignment horizontal="left" vertical="top" wrapText="1"/>
      <protection locked="0"/>
    </xf>
    <xf numFmtId="170" fontId="14" fillId="0" borderId="214" xfId="0" applyFont="1" applyFill="1" applyBorder="1" applyAlignment="1" applyProtection="1">
      <alignment horizontal="left" vertical="top" wrapText="1"/>
      <protection locked="0"/>
    </xf>
    <xf numFmtId="170" fontId="14" fillId="0" borderId="215" xfId="0" applyFont="1" applyFill="1" applyBorder="1" applyAlignment="1" applyProtection="1">
      <alignment horizontal="left" vertical="top" wrapText="1"/>
      <protection locked="0"/>
    </xf>
    <xf numFmtId="170" fontId="14" fillId="0" borderId="217" xfId="0" applyFont="1" applyFill="1" applyBorder="1" applyAlignment="1" applyProtection="1">
      <alignment horizontal="left" vertical="top" wrapText="1"/>
      <protection locked="0"/>
    </xf>
    <xf numFmtId="164" fontId="10" fillId="17" borderId="0" xfId="4" applyFont="1" applyFill="1" applyAlignment="1">
      <alignment horizontal="center" vertical="center"/>
    </xf>
  </cellXfs>
  <cellStyles count="24">
    <cellStyle name="Comma" xfId="1" builtinId="3"/>
    <cellStyle name="Euro" xfId="2"/>
    <cellStyle name="Millares 2" xfId="3"/>
    <cellStyle name="Normal" xfId="0" builtinId="0"/>
    <cellStyle name="Normal 2" xfId="4"/>
    <cellStyle name="Normal 2 2" xfId="5"/>
    <cellStyle name="Normal 2 3" xfId="6"/>
    <cellStyle name="Normal 2 4" xfId="7"/>
    <cellStyle name="Normal 2 5" xfId="8"/>
    <cellStyle name="Normal 2 6" xfId="9"/>
    <cellStyle name="Normal 2 7" xfId="10"/>
    <cellStyle name="Normal 2 8" xfId="11"/>
    <cellStyle name="Normal 2_Dashboard ver 2.2 ES" xfId="12"/>
    <cellStyle name="Normal 2_Prototipo" xfId="13"/>
    <cellStyle name="Normal 3" xfId="14"/>
    <cellStyle name="Normal 4" xfId="15"/>
    <cellStyle name="Normal 5" xfId="16"/>
    <cellStyle name="Normal 6" xfId="17"/>
    <cellStyle name="Normal_TZ_R3HIV_Phase_2_21_August_08" xfId="18"/>
    <cellStyle name="Percent" xfId="19" builtinId="5"/>
    <cellStyle name="Título 3 3" xfId="20"/>
    <cellStyle name="Título 3 3_Prototipo" xfId="21"/>
    <cellStyle name="Título 3 3_PrototipoRep1" xfId="22"/>
    <cellStyle name="Título 3 7" xfId="23"/>
  </cellStyles>
  <dxfs count="45">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9364260664769759"/>
                  <c:y val="-0.312373870218807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manualLayout>
                      <c:w val="0.25268041237113403"/>
                      <c:h val="0.19032520325203253"/>
                    </c:manualLayout>
                  </c15:layout>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#,##0</c:formatCode>
                <c:ptCount val="1"/>
                <c:pt idx="0">
                  <c:v>6</c:v>
                </c:pt>
              </c:numCache>
            </c:numRef>
          </c:val>
        </c:ser>
        <c:dLbls>
          <c:showLegendKey val="0"/>
          <c:showVal val="0"/>
          <c:showCatName val="0"/>
          <c:showSerName val="0"/>
          <c:showPercent val="0"/>
          <c:showBubbleSize val="0"/>
        </c:dLbls>
        <c:gapWidth val="79"/>
        <c:overlap val="100"/>
        <c:axId val="252284592"/>
        <c:axId val="226410456"/>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datelor'!$D$79</c:f>
              <c:numCache>
                <c:formatCode>#,##0</c:formatCode>
                <c:ptCount val="1"/>
                <c:pt idx="0">
                  <c:v>6</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datelor'!$E$79</c:f>
              <c:numCache>
                <c:formatCode>#,##0</c:formatCode>
                <c:ptCount val="1"/>
                <c:pt idx="0">
                  <c:v>0</c:v>
                </c:pt>
              </c:numCache>
            </c:numRef>
          </c:val>
        </c:ser>
        <c:dLbls>
          <c:showLegendKey val="0"/>
          <c:showVal val="0"/>
          <c:showCatName val="0"/>
          <c:showSerName val="0"/>
          <c:showPercent val="0"/>
          <c:showBubbleSize val="0"/>
        </c:dLbls>
        <c:gapWidth val="191"/>
        <c:overlap val="100"/>
        <c:axId val="253320248"/>
        <c:axId val="254545472"/>
      </c:barChart>
      <c:catAx>
        <c:axId val="252284592"/>
        <c:scaling>
          <c:orientation val="minMax"/>
        </c:scaling>
        <c:delete val="1"/>
        <c:axPos val="l"/>
        <c:majorTickMark val="out"/>
        <c:minorTickMark val="none"/>
        <c:tickLblPos val="none"/>
        <c:crossAx val="226410456"/>
        <c:crosses val="autoZero"/>
        <c:auto val="1"/>
        <c:lblAlgn val="ctr"/>
        <c:lblOffset val="100"/>
        <c:noMultiLvlLbl val="0"/>
      </c:catAx>
      <c:valAx>
        <c:axId val="22641045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52284592"/>
        <c:crosses val="max"/>
        <c:crossBetween val="between"/>
      </c:valAx>
      <c:catAx>
        <c:axId val="253320248"/>
        <c:scaling>
          <c:orientation val="minMax"/>
        </c:scaling>
        <c:delete val="1"/>
        <c:axPos val="l"/>
        <c:majorTickMark val="out"/>
        <c:minorTickMark val="none"/>
        <c:tickLblPos val="none"/>
        <c:crossAx val="254545472"/>
        <c:crosses val="autoZero"/>
        <c:auto val="0"/>
        <c:lblAlgn val="ctr"/>
        <c:lblOffset val="100"/>
        <c:noMultiLvlLbl val="0"/>
      </c:catAx>
      <c:valAx>
        <c:axId val="254545472"/>
        <c:scaling>
          <c:orientation val="minMax"/>
        </c:scaling>
        <c:delete val="0"/>
        <c:axPos val="b"/>
        <c:numFmt formatCode="0%" sourceLinked="1"/>
        <c:majorTickMark val="none"/>
        <c:minorTickMark val="none"/>
        <c:tickLblPos val="none"/>
        <c:spPr>
          <a:ln w="3175">
            <a:solidFill>
              <a:srgbClr val="000000"/>
            </a:solidFill>
            <a:prstDash val="solid"/>
          </a:ln>
        </c:spPr>
        <c:crossAx val="253320248"/>
        <c:crosses val="autoZero"/>
        <c:crossBetween val="between"/>
      </c:valAx>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18251347613808"/>
          <c:y val="8.9552612741589155E-2"/>
          <c:w val="0.83314004319329704"/>
          <c:h val="0.65320736566206339"/>
        </c:manualLayout>
      </c:layout>
      <c:barChart>
        <c:barDir val="col"/>
        <c:grouping val="clustered"/>
        <c:varyColors val="0"/>
        <c:ser>
          <c:idx val="0"/>
          <c:order val="0"/>
          <c:tx>
            <c:strRef>
              <c:f>'Introducerea datelor'!$G$122</c:f>
              <c:strCache>
                <c:ptCount val="1"/>
                <c:pt idx="0">
                  <c:v>Ținta</c:v>
                </c:pt>
              </c:strCache>
            </c:strRef>
          </c:tx>
          <c:spPr>
            <a:solidFill>
              <a:srgbClr val="0066CC"/>
            </a:solidFill>
            <a:ln w="25400">
              <a:noFill/>
            </a:ln>
          </c:spPr>
          <c:invertIfNegative val="0"/>
          <c:val>
            <c:numRef>
              <c:f>'Introducerea datelor'!$H$122:$S$122</c:f>
              <c:numCache>
                <c:formatCode>0.0</c:formatCode>
                <c:ptCount val="12"/>
                <c:pt idx="0">
                  <c:v>24</c:v>
                </c:pt>
                <c:pt idx="1">
                  <c:v>22</c:v>
                </c:pt>
                <c:pt idx="2">
                  <c:v>22</c:v>
                </c:pt>
              </c:numCache>
            </c:numRef>
          </c:val>
        </c:ser>
        <c:ser>
          <c:idx val="1"/>
          <c:order val="1"/>
          <c:tx>
            <c:strRef>
              <c:f>'Introducerea datelor'!$G$123</c:f>
              <c:strCache>
                <c:ptCount val="1"/>
                <c:pt idx="0">
                  <c:v>Rezultat</c:v>
                </c:pt>
              </c:strCache>
            </c:strRef>
          </c:tx>
          <c:spPr>
            <a:solidFill>
              <a:srgbClr val="00CCFF"/>
            </a:solidFill>
            <a:ln w="12700">
              <a:solidFill>
                <a:srgbClr val="000000"/>
              </a:solidFill>
              <a:prstDash val="solid"/>
            </a:ln>
          </c:spPr>
          <c:invertIfNegative val="0"/>
          <c:val>
            <c:numRef>
              <c:f>'Introducerea datelor'!$H$123:$S$123</c:f>
              <c:numCache>
                <c:formatCode>0.0</c:formatCode>
                <c:ptCount val="12"/>
                <c:pt idx="0">
                  <c:v>23.7</c:v>
                </c:pt>
                <c:pt idx="1">
                  <c:v>24.8</c:v>
                </c:pt>
                <c:pt idx="2">
                  <c:v>25.53</c:v>
                </c:pt>
              </c:numCache>
            </c:numRef>
          </c:val>
        </c:ser>
        <c:dLbls>
          <c:showLegendKey val="0"/>
          <c:showVal val="0"/>
          <c:showCatName val="0"/>
          <c:showSerName val="0"/>
          <c:showPercent val="0"/>
          <c:showBubbleSize val="0"/>
        </c:dLbls>
        <c:gapWidth val="150"/>
        <c:axId val="254688080"/>
        <c:axId val="254688472"/>
      </c:barChart>
      <c:catAx>
        <c:axId val="254688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54688472"/>
        <c:crosses val="autoZero"/>
        <c:auto val="1"/>
        <c:lblAlgn val="ctr"/>
        <c:lblOffset val="100"/>
        <c:tickLblSkip val="1"/>
        <c:tickMarkSkip val="1"/>
        <c:noMultiLvlLbl val="0"/>
      </c:catAx>
      <c:valAx>
        <c:axId val="254688472"/>
        <c:scaling>
          <c:orientation val="minMax"/>
          <c:min val="2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54688080"/>
        <c:crosses val="autoZero"/>
        <c:crossBetween val="between"/>
      </c:valAx>
      <c:spPr>
        <a:noFill/>
        <a:ln w="25400">
          <a:noFill/>
        </a:ln>
      </c:spPr>
    </c:plotArea>
    <c:legend>
      <c:legendPos val="r"/>
      <c:layout>
        <c:manualLayout>
          <c:xMode val="edge"/>
          <c:yMode val="edge"/>
          <c:x val="0.18466890563410759"/>
          <c:y val="0.91099498926270572"/>
          <c:w val="0.57491302834457536"/>
          <c:h val="7.329873538534958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704"/>
          <c:h val="0.65320736566206339"/>
        </c:manualLayout>
      </c:layout>
      <c:barChart>
        <c:barDir val="col"/>
        <c:grouping val="clustered"/>
        <c:varyColors val="0"/>
        <c:ser>
          <c:idx val="0"/>
          <c:order val="0"/>
          <c:tx>
            <c:strRef>
              <c:f>'Introducerea datelor'!$G$118</c:f>
              <c:strCache>
                <c:ptCount val="1"/>
                <c:pt idx="0">
                  <c:v>Ținta</c:v>
                </c:pt>
              </c:strCache>
            </c:strRef>
          </c:tx>
          <c:spPr>
            <a:solidFill>
              <a:srgbClr val="0066CC"/>
            </a:solidFill>
            <a:ln w="25400">
              <a:noFill/>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datelor'!$H$118:$S$118</c:f>
              <c:numCache>
                <c:formatCode>0.0</c:formatCode>
                <c:ptCount val="12"/>
                <c:pt idx="0">
                  <c:v>12.7</c:v>
                </c:pt>
                <c:pt idx="1">
                  <c:v>11.6</c:v>
                </c:pt>
                <c:pt idx="2">
                  <c:v>11.6</c:v>
                </c:pt>
              </c:numCache>
            </c:numRef>
          </c:val>
        </c:ser>
        <c:ser>
          <c:idx val="1"/>
          <c:order val="1"/>
          <c:tx>
            <c:strRef>
              <c:f>'Introducerea datelor'!$G$119</c:f>
              <c:strCache>
                <c:ptCount val="1"/>
                <c:pt idx="0">
                  <c:v>Rezultat</c:v>
                </c:pt>
              </c:strCache>
            </c:strRef>
          </c:tx>
          <c:spPr>
            <a:solidFill>
              <a:srgbClr val="00CCFF"/>
            </a:solidFill>
            <a:ln w="12700">
              <a:solidFill>
                <a:srgbClr val="000000"/>
              </a:solidFill>
              <a:prstDash val="solid"/>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datelor'!$H$119:$S$119</c:f>
              <c:numCache>
                <c:formatCode>0.0</c:formatCode>
                <c:ptCount val="12"/>
                <c:pt idx="0">
                  <c:v>14.4</c:v>
                </c:pt>
                <c:pt idx="1">
                  <c:v>11.14</c:v>
                </c:pt>
                <c:pt idx="2">
                  <c:v>11.22</c:v>
                </c:pt>
              </c:numCache>
            </c:numRef>
          </c:val>
        </c:ser>
        <c:dLbls>
          <c:showLegendKey val="0"/>
          <c:showVal val="0"/>
          <c:showCatName val="0"/>
          <c:showSerName val="0"/>
          <c:showPercent val="0"/>
          <c:showBubbleSize val="0"/>
        </c:dLbls>
        <c:gapWidth val="150"/>
        <c:axId val="255392144"/>
        <c:axId val="255392536"/>
      </c:barChart>
      <c:catAx>
        <c:axId val="255392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55392536"/>
        <c:crosses val="autoZero"/>
        <c:auto val="1"/>
        <c:lblAlgn val="ctr"/>
        <c:lblOffset val="100"/>
        <c:tickLblSkip val="1"/>
        <c:tickMarkSkip val="1"/>
        <c:noMultiLvlLbl val="0"/>
      </c:catAx>
      <c:valAx>
        <c:axId val="2553925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55392144"/>
        <c:crosses val="autoZero"/>
        <c:crossBetween val="between"/>
      </c:valAx>
      <c:spPr>
        <a:noFill/>
        <a:ln w="25400">
          <a:noFill/>
        </a:ln>
      </c:spPr>
    </c:plotArea>
    <c:legend>
      <c:legendPos val="r"/>
      <c:layout>
        <c:manualLayout>
          <c:xMode val="edge"/>
          <c:yMode val="edge"/>
          <c:x val="0.1824568771008887"/>
          <c:y val="0.91237155700365058"/>
          <c:w val="0.57894921029608171"/>
          <c:h val="7.216580686034936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9172167.4499999993</c:v>
                </c:pt>
                <c:pt idx="1">
                  <c:v>10668150.789999999</c:v>
                </c:pt>
                <c:pt idx="2">
                  <c:v>12040591.76</c:v>
                </c:pt>
                <c:pt idx="3">
                  <c:v>0</c:v>
                </c:pt>
                <c:pt idx="4">
                  <c:v>0</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9932743.2899999991</c:v>
                </c:pt>
                <c:pt idx="1">
                  <c:v>12370937.68</c:v>
                </c:pt>
                <c:pt idx="2">
                  <c:v>12370937.68</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255393320"/>
        <c:axId val="255393712"/>
      </c:areaChart>
      <c:catAx>
        <c:axId val="255393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55393712"/>
        <c:crosses val="autoZero"/>
        <c:auto val="1"/>
        <c:lblAlgn val="ctr"/>
        <c:lblOffset val="100"/>
        <c:tickLblSkip val="8"/>
        <c:tickMarkSkip val="1"/>
        <c:noMultiLvlLbl val="0"/>
      </c:catAx>
      <c:valAx>
        <c:axId val="25539371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5539332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datelor'!$C$84</c:f>
              <c:numCache>
                <c:formatCode>#,##0</c:formatCode>
                <c:ptCount val="1"/>
                <c:pt idx="0">
                  <c:v>0</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datelor'!$D$84</c:f>
              <c:numCache>
                <c:formatCode>#,##0</c:formatCode>
                <c:ptCount val="1"/>
                <c:pt idx="0">
                  <c:v>0</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datelor'!$E$84</c:f>
              <c:numCache>
                <c:formatCode>#,##0</c:formatCode>
                <c:ptCount val="1"/>
                <c:pt idx="0">
                  <c:v>0</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datelor'!$F$84</c:f>
              <c:numCache>
                <c:formatCode>#,##0</c:formatCode>
                <c:ptCount val="1"/>
                <c:pt idx="0">
                  <c:v>0</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datelor'!$G$84</c:f>
              <c:numCache>
                <c:formatCode>#,##0</c:formatCode>
                <c:ptCount val="1"/>
                <c:pt idx="0">
                  <c:v>0</c:v>
                </c:pt>
              </c:numCache>
            </c:numRef>
          </c:val>
        </c:ser>
        <c:dLbls>
          <c:showLegendKey val="0"/>
          <c:showVal val="0"/>
          <c:showCatName val="0"/>
          <c:showSerName val="0"/>
          <c:showPercent val="0"/>
          <c:showBubbleSize val="0"/>
        </c:dLbls>
        <c:gapWidth val="150"/>
        <c:overlap val="-20"/>
        <c:axId val="254401000"/>
        <c:axId val="254811312"/>
      </c:barChart>
      <c:catAx>
        <c:axId val="254401000"/>
        <c:scaling>
          <c:orientation val="minMax"/>
        </c:scaling>
        <c:delete val="0"/>
        <c:axPos val="b"/>
        <c:majorTickMark val="none"/>
        <c:minorTickMark val="none"/>
        <c:tickLblPos val="none"/>
        <c:spPr>
          <a:ln w="3175">
            <a:solidFill>
              <a:srgbClr val="000000"/>
            </a:solidFill>
            <a:prstDash val="solid"/>
          </a:ln>
        </c:spPr>
        <c:crossAx val="254811312"/>
        <c:crosses val="autoZero"/>
        <c:auto val="0"/>
        <c:lblAlgn val="ctr"/>
        <c:lblOffset val="100"/>
        <c:tickMarkSkip val="1"/>
        <c:noMultiLvlLbl val="0"/>
      </c:catAx>
      <c:valAx>
        <c:axId val="254811312"/>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54401000"/>
        <c:crosses val="autoZero"/>
        <c:crossBetween val="between"/>
      </c:valAx>
      <c:spPr>
        <a:noFill/>
        <a:ln w="25400">
          <a:noFill/>
        </a:ln>
      </c:spPr>
    </c:plotArea>
    <c:legend>
      <c:legendPos val="r"/>
      <c:layout>
        <c:manualLayout>
          <c:xMode val="edge"/>
          <c:yMode val="edge"/>
          <c:x val="7.7323741939664972E-2"/>
          <c:y val="0.79538490678355922"/>
          <c:w val="0.85290509056738295"/>
          <c:h val="8.8396244283897502E-2"/>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4</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numCache>
            </c:numRef>
          </c:val>
        </c:ser>
        <c:dLbls>
          <c:showLegendKey val="0"/>
          <c:showVal val="0"/>
          <c:showCatName val="0"/>
          <c:showSerName val="0"/>
          <c:showPercent val="0"/>
          <c:showBubbleSize val="0"/>
        </c:dLbls>
        <c:gapWidth val="70"/>
        <c:overlap val="100"/>
        <c:axId val="254613016"/>
        <c:axId val="254613400"/>
      </c:barChart>
      <c:catAx>
        <c:axId val="2546130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54613400"/>
        <c:crosses val="autoZero"/>
        <c:auto val="1"/>
        <c:lblAlgn val="ctr"/>
        <c:lblOffset val="100"/>
        <c:tickLblSkip val="1"/>
        <c:tickMarkSkip val="1"/>
        <c:noMultiLvlLbl val="0"/>
      </c:catAx>
      <c:valAx>
        <c:axId val="25461340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54613016"/>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către SR</c:v>
                </c:pt>
                <c:pt idx="1">
                  <c:v>SR către RP</c:v>
                </c:pt>
              </c:strCache>
            </c:strRef>
          </c:cat>
          <c:val>
            <c:numRef>
              <c:f>'Introducerea datelor'!$D$89:$D$90</c:f>
              <c:numCache>
                <c:formatCode>0</c:formatCode>
                <c:ptCount val="2"/>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către SR</c:v>
                </c:pt>
                <c:pt idx="1">
                  <c:v>SR către RP</c:v>
                </c:pt>
              </c:strCache>
            </c:strRef>
          </c:cat>
          <c:val>
            <c:numRef>
              <c:f>'Introducerea datelor'!$E$89:$E$90</c:f>
              <c:numCache>
                <c:formatCode>#,##0</c:formatCode>
                <c:ptCount val="2"/>
                <c:pt idx="0" formatCode="0">
                  <c:v>0</c:v>
                </c:pt>
                <c:pt idx="1">
                  <c:v>0</c:v>
                </c:pt>
              </c:numCache>
            </c:numRef>
          </c:val>
        </c:ser>
        <c:dLbls>
          <c:showLegendKey val="0"/>
          <c:showVal val="0"/>
          <c:showCatName val="0"/>
          <c:showSerName val="0"/>
          <c:showPercent val="0"/>
          <c:showBubbleSize val="0"/>
        </c:dLbls>
        <c:gapWidth val="101"/>
        <c:overlap val="100"/>
        <c:axId val="254649240"/>
        <c:axId val="254649624"/>
      </c:barChart>
      <c:catAx>
        <c:axId val="2546492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54649624"/>
        <c:crosses val="autoZero"/>
        <c:auto val="1"/>
        <c:lblAlgn val="ctr"/>
        <c:lblOffset val="100"/>
        <c:noMultiLvlLbl val="0"/>
      </c:catAx>
      <c:valAx>
        <c:axId val="25464962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54649240"/>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87"/>
          <c:y val="0.10989010989011004"/>
          <c:w val="0.81094724363350434"/>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6155290.9999999991</c:v>
                </c:pt>
                <c:pt idx="1">
                  <c:v>7390231.5099999988</c:v>
                </c:pt>
                <c:pt idx="2">
                  <c:v>8550797.9499999993</c:v>
                </c:pt>
                <c:pt idx="3">
                  <c:v>8550797.9499999993</c:v>
                </c:pt>
                <c:pt idx="4">
                  <c:v>8550797.9499999993</c:v>
                </c:pt>
                <c:pt idx="5">
                  <c:v>8550797.9499999993</c:v>
                </c:pt>
                <c:pt idx="6">
                  <c:v>8550797.9499999993</c:v>
                </c:pt>
                <c:pt idx="7">
                  <c:v>8550797.9499999993</c:v>
                </c:pt>
                <c:pt idx="8">
                  <c:v>8550797.9499999993</c:v>
                </c:pt>
                <c:pt idx="9">
                  <c:v>8550797.9499999993</c:v>
                </c:pt>
                <c:pt idx="10">
                  <c:v>8550797.9499999993</c:v>
                </c:pt>
                <c:pt idx="11">
                  <c:v>8550797.9499999993</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6226215.8600000003</c:v>
                </c:pt>
                <c:pt idx="1">
                  <c:v>7229224.0600000005</c:v>
                </c:pt>
                <c:pt idx="2">
                  <c:v>8329708.5700000003</c:v>
                </c:pt>
                <c:pt idx="3">
                  <c:v>8329708.5700000003</c:v>
                </c:pt>
                <c:pt idx="4">
                  <c:v>8329708.5700000003</c:v>
                </c:pt>
                <c:pt idx="5">
                  <c:v>8329708.5700000003</c:v>
                </c:pt>
                <c:pt idx="6">
                  <c:v>8329708.5700000003</c:v>
                </c:pt>
                <c:pt idx="7">
                  <c:v>8329708.5700000003</c:v>
                </c:pt>
                <c:pt idx="8">
                  <c:v>8329708.5700000003</c:v>
                </c:pt>
                <c:pt idx="9">
                  <c:v>8329708.5700000003</c:v>
                </c:pt>
                <c:pt idx="10">
                  <c:v>8329708.5700000003</c:v>
                </c:pt>
                <c:pt idx="11">
                  <c:v>8329708.5700000003</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5932415.0899999999</c:v>
                </c:pt>
                <c:pt idx="1">
                  <c:v>6914404.5999999996</c:v>
                </c:pt>
                <c:pt idx="2">
                  <c:v>8028417.5499999998</c:v>
                </c:pt>
                <c:pt idx="3">
                  <c:v>8028417.5499999998</c:v>
                </c:pt>
                <c:pt idx="4">
                  <c:v>8028417.5499999998</c:v>
                </c:pt>
                <c:pt idx="5">
                  <c:v>8028417.5499999998</c:v>
                </c:pt>
                <c:pt idx="6">
                  <c:v>8028417.5499999998</c:v>
                </c:pt>
                <c:pt idx="7">
                  <c:v>8028417.5499999998</c:v>
                </c:pt>
                <c:pt idx="8">
                  <c:v>8028417.5499999998</c:v>
                </c:pt>
                <c:pt idx="9">
                  <c:v>8028417.5499999998</c:v>
                </c:pt>
                <c:pt idx="10">
                  <c:v>8028417.5499999998</c:v>
                </c:pt>
                <c:pt idx="11">
                  <c:v>8028417.5499999998</c:v>
                </c:pt>
              </c:numCache>
            </c:numRef>
          </c:val>
          <c:smooth val="0"/>
        </c:ser>
        <c:dLbls>
          <c:showLegendKey val="0"/>
          <c:showVal val="0"/>
          <c:showCatName val="0"/>
          <c:showSerName val="0"/>
          <c:showPercent val="0"/>
          <c:showBubbleSize val="0"/>
        </c:dLbls>
        <c:marker val="1"/>
        <c:smooth val="0"/>
        <c:axId val="254681416"/>
        <c:axId val="254681808"/>
      </c:lineChart>
      <c:catAx>
        <c:axId val="254681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254681808"/>
        <c:crosses val="autoZero"/>
        <c:auto val="1"/>
        <c:lblAlgn val="ctr"/>
        <c:lblOffset val="100"/>
        <c:tickLblSkip val="1"/>
        <c:tickMarkSkip val="1"/>
        <c:noMultiLvlLbl val="0"/>
      </c:catAx>
      <c:valAx>
        <c:axId val="2546818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254681416"/>
        <c:crosses val="autoZero"/>
        <c:crossBetween val="between"/>
      </c:valAx>
      <c:spPr>
        <a:solidFill>
          <a:srgbClr val="FFFFFF"/>
        </a:solidFill>
        <a:ln w="12700">
          <a:solidFill>
            <a:srgbClr val="808080"/>
          </a:solidFill>
          <a:prstDash val="solid"/>
        </a:ln>
      </c:spPr>
    </c:plotArea>
    <c:legend>
      <c:legendPos val="r"/>
      <c:layout>
        <c:manualLayout>
          <c:xMode val="edge"/>
          <c:yMode val="edge"/>
          <c:x val="6.7108497293917671E-2"/>
          <c:y val="0.74047715945619164"/>
          <c:w val="0.92212083911347342"/>
          <c:h val="0.17890707481789497"/>
        </c:manualLayout>
      </c:layout>
      <c:overlay val="0"/>
      <c:spPr>
        <a:noFill/>
        <a:ln w="25400">
          <a:noFill/>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416"/>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9172167.4499999993</c:v>
                </c:pt>
                <c:pt idx="1">
                  <c:v>10668150.789999999</c:v>
                </c:pt>
                <c:pt idx="2">
                  <c:v>12040591.76</c:v>
                </c:pt>
                <c:pt idx="3">
                  <c:v>0</c:v>
                </c:pt>
                <c:pt idx="4">
                  <c:v>0</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9932743.2899999991</c:v>
                </c:pt>
                <c:pt idx="1">
                  <c:v>12370937.68</c:v>
                </c:pt>
                <c:pt idx="2">
                  <c:v>12370937.68</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254682592"/>
        <c:axId val="254682984"/>
      </c:barChart>
      <c:catAx>
        <c:axId val="25468259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254682984"/>
        <c:crosses val="autoZero"/>
        <c:auto val="1"/>
        <c:lblAlgn val="ctr"/>
        <c:lblOffset val="100"/>
        <c:tickLblSkip val="1"/>
        <c:tickMarkSkip val="1"/>
        <c:noMultiLvlLbl val="0"/>
      </c:catAx>
      <c:valAx>
        <c:axId val="254682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25468259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20" b="0" i="0" u="none" strike="noStrike" baseline="0">
                <a:solidFill>
                  <a:srgbClr val="000000"/>
                </a:solidFill>
                <a:latin typeface="Arial"/>
                <a:ea typeface="Arial"/>
                <a:cs typeface="Arial"/>
              </a:defRPr>
            </a:pPr>
            <a:endParaRPr lang="en-US"/>
          </a:p>
        </c:txPr>
      </c:legendEntry>
      <c:legendEntry>
        <c:idx val="1"/>
        <c:txPr>
          <a:bodyPr/>
          <a:lstStyle/>
          <a:p>
            <a:pPr>
              <a:defRPr sz="620" b="0" i="0" u="none" strike="noStrike" baseline="0">
                <a:solidFill>
                  <a:srgbClr val="000000"/>
                </a:solidFill>
                <a:latin typeface="Arial"/>
                <a:ea typeface="Arial"/>
                <a:cs typeface="Arial"/>
              </a:defRPr>
            </a:pPr>
            <a:endParaRPr lang="en-US"/>
          </a:p>
        </c:txPr>
      </c:legendEntry>
      <c:layout>
        <c:manualLayout>
          <c:xMode val="edge"/>
          <c:yMode val="edge"/>
          <c:x val="0.141649833037886"/>
          <c:y val="0.87772925764192167"/>
          <c:w val="0.84727597531983923"/>
          <c:h val="0.10480349344978168"/>
        </c:manualLayout>
      </c:layout>
      <c:overlay val="0"/>
      <c:spPr>
        <a:solidFill>
          <a:srgbClr val="FFFFFF"/>
        </a:solidFill>
        <a:ln w="3175">
          <a:solidFill>
            <a:srgbClr val="000000"/>
          </a:solidFill>
          <a:prstDash val="solid"/>
        </a:ln>
      </c:spPr>
      <c:txPr>
        <a:bodyPr/>
        <a:lstStyle/>
        <a:p>
          <a:pPr>
            <a:defRPr sz="44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7015"/>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12370937.68</c:v>
                </c:pt>
                <c:pt idx="1">
                  <c:v>10391508.33</c:v>
                </c:pt>
                <c:pt idx="2">
                  <c:v>194116.33000000002</c:v>
                </c:pt>
                <c:pt idx="3">
                  <c:v>194116.33</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1">
                  <c:v>1340591.94</c:v>
                </c:pt>
                <c:pt idx="2">
                  <c:v>0</c:v>
                </c:pt>
                <c:pt idx="3">
                  <c:v>0</c:v>
                </c:pt>
              </c:numCache>
            </c:numRef>
          </c:val>
        </c:ser>
        <c:dLbls>
          <c:showLegendKey val="0"/>
          <c:showVal val="0"/>
          <c:showCatName val="0"/>
          <c:showSerName val="0"/>
          <c:showPercent val="0"/>
          <c:showBubbleSize val="0"/>
        </c:dLbls>
        <c:gapWidth val="150"/>
        <c:overlap val="100"/>
        <c:axId val="254683768"/>
        <c:axId val="254684160"/>
      </c:barChart>
      <c:catAx>
        <c:axId val="2546837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54684160"/>
        <c:crossesAt val="0"/>
        <c:auto val="1"/>
        <c:lblAlgn val="ctr"/>
        <c:lblOffset val="100"/>
        <c:noMultiLvlLbl val="0"/>
      </c:catAx>
      <c:valAx>
        <c:axId val="254684160"/>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25468376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Fortificarea realizării DOTS în scopul ameliorării detecţiei tuberculozei şi a managementului cazului de TB</c:v>
                </c:pt>
                <c:pt idx="1">
                  <c:v>Asigurarea accesului universal la diagnosticul şi tratamentul cazurilor de TB drog-rezistentă</c:v>
                </c:pt>
                <c:pt idx="2">
                  <c:v>Fortificarea sistemului de monitorizare şi evaluare, a managementului şi coordonării sistemului de sănătate pentru pacienţii cu TB </c:v>
                </c:pt>
                <c:pt idx="3">
                  <c:v>Creşterea informării publice despre TB şi reducerea stigmatizării </c:v>
                </c:pt>
                <c:pt idx="4">
                  <c:v>Fortificarea managementului Proiectului</c:v>
                </c:pt>
              </c:strCache>
            </c:strRef>
          </c:cat>
          <c:val>
            <c:numRef>
              <c:f>'Introducerea datelor'!$C$39:$C$43</c:f>
              <c:numCache>
                <c:formatCode>#,##0</c:formatCode>
                <c:ptCount val="5"/>
                <c:pt idx="0">
                  <c:v>699168.06999999983</c:v>
                </c:pt>
                <c:pt idx="1">
                  <c:v>9925525.6400000006</c:v>
                </c:pt>
                <c:pt idx="2">
                  <c:v>424100</c:v>
                </c:pt>
                <c:pt idx="3">
                  <c:v>104794</c:v>
                </c:pt>
                <c:pt idx="4">
                  <c:v>887004.05</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Fortificarea realizării DOTS în scopul ameliorării detecţiei tuberculozei şi a managementului cazului de TB</c:v>
                </c:pt>
                <c:pt idx="1">
                  <c:v>Asigurarea accesului universal la diagnosticul şi tratamentul cazurilor de TB drog-rezistentă</c:v>
                </c:pt>
                <c:pt idx="2">
                  <c:v>Fortificarea sistemului de monitorizare şi evaluare, a managementului şi coordonării sistemului de sănătate pentru pacienţii cu TB </c:v>
                </c:pt>
                <c:pt idx="3">
                  <c:v>Creşterea informării publice despre TB şi reducerea stigmatizării </c:v>
                </c:pt>
                <c:pt idx="4">
                  <c:v>Fortificarea managementului Proiectului</c:v>
                </c:pt>
              </c:strCache>
            </c:strRef>
          </c:cat>
          <c:val>
            <c:numRef>
              <c:f>'Introducerea datelor'!$D$39:$D$43</c:f>
              <c:numCache>
                <c:formatCode>#,##0</c:formatCode>
                <c:ptCount val="5"/>
                <c:pt idx="0">
                  <c:v>824028.54999999981</c:v>
                </c:pt>
                <c:pt idx="1">
                  <c:v>9583852.8899999987</c:v>
                </c:pt>
                <c:pt idx="2">
                  <c:v>256477.4</c:v>
                </c:pt>
                <c:pt idx="3">
                  <c:v>92909.55</c:v>
                </c:pt>
                <c:pt idx="4">
                  <c:v>909762.15</c:v>
                </c:pt>
              </c:numCache>
            </c:numRef>
          </c:val>
        </c:ser>
        <c:dLbls>
          <c:showLegendKey val="0"/>
          <c:showVal val="0"/>
          <c:showCatName val="0"/>
          <c:showSerName val="0"/>
          <c:showPercent val="0"/>
          <c:showBubbleSize val="0"/>
        </c:dLbls>
        <c:gapWidth val="150"/>
        <c:axId val="254685336"/>
        <c:axId val="254685728"/>
      </c:barChart>
      <c:catAx>
        <c:axId val="254685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254685728"/>
        <c:crosses val="autoZero"/>
        <c:auto val="1"/>
        <c:lblAlgn val="ctr"/>
        <c:lblOffset val="100"/>
        <c:tickMarkSkip val="1"/>
        <c:noMultiLvlLbl val="0"/>
      </c:catAx>
      <c:valAx>
        <c:axId val="2546857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25468533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7135069654741E-2"/>
          <c:y val="8.9552577813665157E-2"/>
          <c:w val="0.83314004319329704"/>
          <c:h val="0.65320736566206339"/>
        </c:manualLayout>
      </c:layout>
      <c:barChart>
        <c:barDir val="col"/>
        <c:grouping val="clustered"/>
        <c:varyColors val="0"/>
        <c:ser>
          <c:idx val="0"/>
          <c:order val="0"/>
          <c:tx>
            <c:strRef>
              <c:f>'Introducerea datelor'!$G$120</c:f>
              <c:strCache>
                <c:ptCount val="1"/>
                <c:pt idx="0">
                  <c:v>Ținta</c:v>
                </c:pt>
              </c:strCache>
            </c:strRef>
          </c:tx>
          <c:spPr>
            <a:solidFill>
              <a:srgbClr val="0066CC"/>
            </a:solidFill>
            <a:ln w="25400">
              <a:noFill/>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datelor'!$H$120:$S$120</c:f>
              <c:numCache>
                <c:formatCode>0.0</c:formatCode>
                <c:ptCount val="12"/>
                <c:pt idx="0">
                  <c:v>55.4</c:v>
                </c:pt>
                <c:pt idx="1">
                  <c:v>60</c:v>
                </c:pt>
                <c:pt idx="2">
                  <c:v>60</c:v>
                </c:pt>
              </c:numCache>
            </c:numRef>
          </c:val>
        </c:ser>
        <c:ser>
          <c:idx val="1"/>
          <c:order val="1"/>
          <c:tx>
            <c:strRef>
              <c:f>'Introducerea datelor'!$G$121</c:f>
              <c:strCache>
                <c:ptCount val="1"/>
                <c:pt idx="0">
                  <c:v>Rezultat</c:v>
                </c:pt>
              </c:strCache>
            </c:strRef>
          </c:tx>
          <c:spPr>
            <a:solidFill>
              <a:srgbClr val="00CCFF"/>
            </a:solidFill>
            <a:ln w="12700">
              <a:solidFill>
                <a:srgbClr val="000000"/>
              </a:solidFill>
              <a:prstDash val="solid"/>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datelor'!$H$121:$S$121</c:f>
              <c:numCache>
                <c:formatCode>0.0</c:formatCode>
                <c:ptCount val="12"/>
                <c:pt idx="0">
                  <c:v>51.53</c:v>
                </c:pt>
                <c:pt idx="1">
                  <c:v>49.3</c:v>
                </c:pt>
                <c:pt idx="2">
                  <c:v>49.3</c:v>
                </c:pt>
              </c:numCache>
            </c:numRef>
          </c:val>
        </c:ser>
        <c:dLbls>
          <c:showLegendKey val="0"/>
          <c:showVal val="0"/>
          <c:showCatName val="0"/>
          <c:showSerName val="0"/>
          <c:showPercent val="0"/>
          <c:showBubbleSize val="0"/>
        </c:dLbls>
        <c:gapWidth val="150"/>
        <c:axId val="254686904"/>
        <c:axId val="254687296"/>
      </c:barChart>
      <c:catAx>
        <c:axId val="254686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54687296"/>
        <c:crosses val="autoZero"/>
        <c:auto val="1"/>
        <c:lblAlgn val="ctr"/>
        <c:lblOffset val="100"/>
        <c:tickLblSkip val="1"/>
        <c:tickMarkSkip val="1"/>
        <c:noMultiLvlLbl val="0"/>
      </c:catAx>
      <c:valAx>
        <c:axId val="2546872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54686904"/>
        <c:crosses val="autoZero"/>
        <c:crossBetween val="between"/>
      </c:valAx>
      <c:spPr>
        <a:noFill/>
        <a:ln w="25400">
          <a:noFill/>
        </a:ln>
      </c:spPr>
    </c:plotArea>
    <c:legend>
      <c:legendPos val="r"/>
      <c:layout>
        <c:manualLayout>
          <c:xMode val="edge"/>
          <c:yMode val="edge"/>
          <c:x val="0.17957720988847514"/>
          <c:y val="0.91191949072664258"/>
          <c:w val="0.58098600490823116"/>
          <c:h val="7.253897130262033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u!A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u!A1"/><Relationship Id="rId1" Type="http://schemas.openxmlformats.org/officeDocument/2006/relationships/chart" Target="../charts/chart6.xml"/><Relationship Id="rId6" Type="http://schemas.openxmlformats.org/officeDocument/2006/relationships/image" Target="../media/image7.png"/><Relationship Id="rId5" Type="http://schemas.openxmlformats.org/officeDocument/2006/relationships/chart" Target="../charts/chart8.xml"/><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2800249"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800293"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2800250"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800290"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2800251"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80028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800283"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xdr:cNvGrpSpPr>
          <a:grpSpLocks/>
        </xdr:cNvGrpSpPr>
      </xdr:nvGrpSpPr>
      <xdr:grpSpPr bwMode="auto">
        <a:xfrm>
          <a:off x="327025" y="1903413"/>
          <a:ext cx="2143125" cy="2124075"/>
          <a:chOff x="32" y="188"/>
          <a:chExt cx="225" cy="225"/>
        </a:xfrm>
      </xdr:grpSpPr>
      <xdr:sp macro="" textlink="">
        <xdr:nvSpPr>
          <xdr:cNvPr id="2800281"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xdr:cNvGrpSpPr>
          <a:grpSpLocks/>
        </xdr:cNvGrpSpPr>
      </xdr:nvGrpSpPr>
      <xdr:grpSpPr bwMode="auto">
        <a:xfrm>
          <a:off x="5699125" y="3208338"/>
          <a:ext cx="1501775" cy="409575"/>
          <a:chOff x="578" y="328"/>
          <a:chExt cx="158" cy="43"/>
        </a:xfrm>
      </xdr:grpSpPr>
      <xdr:sp macro="" textlink="">
        <xdr:nvSpPr>
          <xdr:cNvPr id="2800277"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800273"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80026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800265"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4</xdr:col>
      <xdr:colOff>685800</xdr:colOff>
      <xdr:row>34</xdr:row>
      <xdr:rowOff>12700</xdr:rowOff>
    </xdr:from>
    <xdr:to>
      <xdr:col>6</xdr:col>
      <xdr:colOff>698500</xdr:colOff>
      <xdr:row>45</xdr:row>
      <xdr:rowOff>190500</xdr:rowOff>
    </xdr:to>
    <xdr:cxnSp macro="">
      <xdr:nvCxnSpPr>
        <xdr:cNvPr id="2305189" name="AutoShape 100"/>
        <xdr:cNvCxnSpPr>
          <a:cxnSpLocks noChangeShapeType="1"/>
        </xdr:cNvCxnSpPr>
      </xdr:nvCxnSpPr>
      <xdr:spPr bwMode="auto">
        <a:xfrm>
          <a:off x="6883400" y="5816600"/>
          <a:ext cx="2273300" cy="37592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1244600</xdr:colOff>
      <xdr:row>46</xdr:row>
      <xdr:rowOff>88900</xdr:rowOff>
    </xdr:from>
    <xdr:to>
      <xdr:col>5</xdr:col>
      <xdr:colOff>25400</xdr:colOff>
      <xdr:row>46</xdr:row>
      <xdr:rowOff>101600</xdr:rowOff>
    </xdr:to>
    <xdr:cxnSp macro="">
      <xdr:nvCxnSpPr>
        <xdr:cNvPr id="2305190" name="AutoShape 101"/>
        <xdr:cNvCxnSpPr>
          <a:cxnSpLocks noChangeShapeType="1"/>
        </xdr:cNvCxnSpPr>
      </xdr:nvCxnSpPr>
      <xdr:spPr bwMode="auto">
        <a:xfrm flipH="1">
          <a:off x="6159500" y="9677400"/>
          <a:ext cx="1155700" cy="127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142875</xdr:rowOff>
    </xdr:from>
    <xdr:to>
      <xdr:col>5</xdr:col>
      <xdr:colOff>838200</xdr:colOff>
      <xdr:row>33</xdr:row>
      <xdr:rowOff>114300</xdr:rowOff>
    </xdr:to>
    <xdr:graphicFrame macro="">
      <xdr:nvGraphicFramePr>
        <xdr:cNvPr id="2125209"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59115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219075</xdr:colOff>
      <xdr:row>9</xdr:row>
      <xdr:rowOff>85725</xdr:rowOff>
    </xdr:from>
    <xdr:to>
      <xdr:col>10</xdr:col>
      <xdr:colOff>714375</xdr:colOff>
      <xdr:row>20</xdr:row>
      <xdr:rowOff>38100</xdr:rowOff>
    </xdr:to>
    <xdr:grpSp>
      <xdr:nvGrpSpPr>
        <xdr:cNvPr id="1591155" name="Group 489"/>
        <xdr:cNvGrpSpPr>
          <a:grpSpLocks/>
        </xdr:cNvGrpSpPr>
      </xdr:nvGrpSpPr>
      <xdr:grpSpPr bwMode="auto">
        <a:xfrm>
          <a:off x="4095336" y="3241399"/>
          <a:ext cx="3228561" cy="2047875"/>
          <a:chOff x="414" y="213"/>
          <a:chExt cx="366" cy="250"/>
        </a:xfrm>
      </xdr:grpSpPr>
      <xdr:graphicFrame macro="">
        <xdr:nvGraphicFramePr>
          <xdr:cNvPr id="1591159" name="Chart 31"/>
          <xdr:cNvGraphicFramePr>
            <a:graphicFrameLocks/>
          </xdr:cNvGraphicFramePr>
        </xdr:nvGraphicFramePr>
        <xdr:xfrm>
          <a:off x="414" y="213"/>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591160" name="Picture 477" descr="one"/>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85725</xdr:rowOff>
    </xdr:from>
    <xdr:to>
      <xdr:col>6</xdr:col>
      <xdr:colOff>85725</xdr:colOff>
      <xdr:row>32</xdr:row>
      <xdr:rowOff>66675</xdr:rowOff>
    </xdr:to>
    <xdr:grpSp>
      <xdr:nvGrpSpPr>
        <xdr:cNvPr id="1591156" name="Group 490"/>
        <xdr:cNvGrpSpPr>
          <a:grpSpLocks/>
        </xdr:cNvGrpSpPr>
      </xdr:nvGrpSpPr>
      <xdr:grpSpPr bwMode="auto">
        <a:xfrm>
          <a:off x="0" y="8186116"/>
          <a:ext cx="3961986" cy="2374624"/>
          <a:chOff x="0" y="505"/>
          <a:chExt cx="407" cy="255"/>
        </a:xfrm>
      </xdr:grpSpPr>
      <xdr:graphicFrame macro="">
        <xdr:nvGraphicFramePr>
          <xdr:cNvPr id="159115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591158" name="Picture 487" descr="ok"/>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 y="738"/>
            <a:ext cx="25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47625</xdr:rowOff>
    </xdr:from>
    <xdr:to>
      <xdr:col>10</xdr:col>
      <xdr:colOff>600075</xdr:colOff>
      <xdr:row>16</xdr:row>
      <xdr:rowOff>104775</xdr:rowOff>
    </xdr:to>
    <xdr:graphicFrame macro="">
      <xdr:nvGraphicFramePr>
        <xdr:cNvPr id="21433"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619125</xdr:colOff>
      <xdr:row>9</xdr:row>
      <xdr:rowOff>85725</xdr:rowOff>
    </xdr:from>
    <xdr:to>
      <xdr:col>16</xdr:col>
      <xdr:colOff>752475</xdr:colOff>
      <xdr:row>16</xdr:row>
      <xdr:rowOff>95250</xdr:rowOff>
    </xdr:to>
    <xdr:graphicFrame macro="">
      <xdr:nvGraphicFramePr>
        <xdr:cNvPr id="21435"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542925</xdr:colOff>
      <xdr:row>9</xdr:row>
      <xdr:rowOff>19050</xdr:rowOff>
    </xdr:from>
    <xdr:to>
      <xdr:col>4</xdr:col>
      <xdr:colOff>276225</xdr:colOff>
      <xdr:row>16</xdr:row>
      <xdr:rowOff>9525</xdr:rowOff>
    </xdr:to>
    <xdr:graphicFrame macro="">
      <xdr:nvGraphicFramePr>
        <xdr:cNvPr id="21436"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xdr:cNvGrpSpPr>
          <a:grpSpLocks/>
        </xdr:cNvGrpSpPr>
      </xdr:nvGrpSpPr>
      <xdr:grpSpPr bwMode="auto">
        <a:xfrm>
          <a:off x="7226300" y="8420100"/>
          <a:ext cx="85725" cy="0"/>
          <a:chOff x="595" y="540"/>
          <a:chExt cx="9" cy="9"/>
        </a:xfrm>
      </xdr:grpSpPr>
      <xdr:sp macro="" textlink="">
        <xdr:nvSpPr>
          <xdr:cNvPr id="2514402"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xdr:cNvGrpSpPr>
          <a:grpSpLocks/>
        </xdr:cNvGrpSpPr>
      </xdr:nvGrpSpPr>
      <xdr:grpSpPr bwMode="auto">
        <a:xfrm>
          <a:off x="8207375" y="8420100"/>
          <a:ext cx="82550" cy="0"/>
          <a:chOff x="698" y="540"/>
          <a:chExt cx="9" cy="9"/>
        </a:xfrm>
      </xdr:grpSpPr>
      <xdr:sp macro="" textlink="">
        <xdr:nvSpPr>
          <xdr:cNvPr id="2514400"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xdr:cNvGrpSpPr>
          <a:grpSpLocks/>
        </xdr:cNvGrpSpPr>
      </xdr:nvGrpSpPr>
      <xdr:grpSpPr bwMode="auto">
        <a:xfrm>
          <a:off x="5175250" y="8420100"/>
          <a:ext cx="1758950" cy="0"/>
          <a:chOff x="698" y="540"/>
          <a:chExt cx="9" cy="9"/>
        </a:xfrm>
      </xdr:grpSpPr>
      <xdr:sp macro="" textlink="">
        <xdr:nvSpPr>
          <xdr:cNvPr id="2514398"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xdr:cNvGrpSpPr>
          <a:grpSpLocks/>
        </xdr:cNvGrpSpPr>
      </xdr:nvGrpSpPr>
      <xdr:grpSpPr bwMode="auto">
        <a:xfrm>
          <a:off x="1435100" y="8420100"/>
          <a:ext cx="85725" cy="0"/>
          <a:chOff x="595" y="540"/>
          <a:chExt cx="9" cy="9"/>
        </a:xfrm>
      </xdr:grpSpPr>
      <xdr:sp macro="" textlink="">
        <xdr:nvSpPr>
          <xdr:cNvPr id="2514396"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62" r="H124" connectionId="0">
    <xmlCellPr id="1" uniqueName="1">
      <xmlPr mapId="43" xpath="/ns1:Root/ns1:Prog/ns1:Target_P1_5" xmlDataType="double"/>
    </xmlCellPr>
  </singleXmlCell>
  <singleXmlCell id="663" r="I124" connectionId="0">
    <xmlCellPr id="1" uniqueName="1">
      <xmlPr mapId="43" xpath="/ns1:Root/ns1:Prog/ns1:Target_P2_5" xmlDataType="double"/>
    </xmlCellPr>
  </singleXmlCell>
  <singleXmlCell id="664" r="J124" connectionId="0">
    <xmlCellPr id="1" uniqueName="1">
      <xmlPr mapId="43" xpath="/ns1:Root/ns1:Prog/ns1:Target_P3_5" xmlDataType="double"/>
    </xmlCellPr>
  </singleXmlCell>
  <singleXmlCell id="665" r="K124" connectionId="0">
    <xmlCellPr id="1" uniqueName="1">
      <xmlPr mapId="43" xpath="/ns1:Root/ns1:Prog/ns1:Target_P4_5" xmlDataType="double"/>
    </xmlCellPr>
  </singleXmlCell>
  <singleXmlCell id="666" r="L124" connectionId="0">
    <xmlCellPr id="1" uniqueName="1">
      <xmlPr mapId="43" xpath="/ns1:Root/ns1:Prog/ns1:Target_P5_5" xmlDataType="double"/>
    </xmlCellPr>
  </singleXmlCell>
  <singleXmlCell id="667" r="M124" connectionId="0">
    <xmlCellPr id="1" uniqueName="1">
      <xmlPr mapId="43" xpath="/ns1:Root/ns1:Prog/ns1:Target_P6_5" xmlDataType="double"/>
    </xmlCellPr>
  </singleXmlCell>
  <singleXmlCell id="668" r="N124" connectionId="0">
    <xmlCellPr id="1" uniqueName="1">
      <xmlPr mapId="43" xpath="/ns1:Root/ns1:Prog/ns1:Target_P7_5" xmlDataType="double"/>
    </xmlCellPr>
  </singleXmlCell>
  <singleXmlCell id="669" r="O124" connectionId="0">
    <xmlCellPr id="1" uniqueName="1">
      <xmlPr mapId="43" xpath="/ns1:Root/ns1:Prog/ns1:Target_P8_5" xmlDataType="double"/>
    </xmlCellPr>
  </singleXmlCell>
  <singleXmlCell id="670" r="P124" connectionId="0">
    <xmlCellPr id="1" uniqueName="1">
      <xmlPr mapId="43" xpath="/ns1:Root/ns1:Prog/ns1:Target_P9_5" xmlDataType="double"/>
    </xmlCellPr>
  </singleXmlCell>
  <singleXmlCell id="671" r="Q124" connectionId="0">
    <xmlCellPr id="1" uniqueName="1">
      <xmlPr mapId="43" xpath="/ns1:Root/ns1:Prog/ns1:Target_P10_5" xmlDataType="double"/>
    </xmlCellPr>
  </singleXmlCell>
  <singleXmlCell id="672" r="R124" connectionId="0">
    <xmlCellPr id="1" uniqueName="1">
      <xmlPr mapId="43" xpath="/ns1:Root/ns1:Prog/ns1:Target_P11_5" xmlDataType="double"/>
    </xmlCellPr>
  </singleXmlCell>
  <singleXmlCell id="673" r="S124" connectionId="0">
    <xmlCellPr id="1" uniqueName="1">
      <xmlPr mapId="43" xpath="/ns1:Root/ns1:Prog/ns1:Target_P12_5" xmlDataType="double"/>
    </xmlCellPr>
  </singleXmlCell>
  <singleXmlCell id="674" r="H125" connectionId="0">
    <xmlCellPr id="1" uniqueName="1">
      <xmlPr mapId="43" xpath="/ns1:Root/ns1:Prog/ns1:Achieved__P1_5" xmlDataType="double"/>
    </xmlCellPr>
  </singleXmlCell>
  <singleXmlCell id="675" r="I125" connectionId="0">
    <xmlCellPr id="1" uniqueName="1">
      <xmlPr mapId="43" xpath="/ns1:Root/ns1:Prog/ns1:Achieved__P2_5" xmlDataType="double"/>
    </xmlCellPr>
  </singleXmlCell>
  <singleXmlCell id="676" r="J125" connectionId="0">
    <xmlCellPr id="1" uniqueName="1">
      <xmlPr mapId="43" xpath="/ns1:Root/ns1:Prog/ns1:Achieved__P3_5" xmlDataType="double"/>
    </xmlCellPr>
  </singleXmlCell>
  <singleXmlCell id="677" r="K125" connectionId="0">
    <xmlCellPr id="1" uniqueName="1">
      <xmlPr mapId="43" xpath="/ns1:Root/ns1:Prog/ns1:Achieved__P4_5" xmlDataType="double"/>
    </xmlCellPr>
  </singleXmlCell>
  <singleXmlCell id="678" r="L125" connectionId="0">
    <xmlCellPr id="1" uniqueName="1">
      <xmlPr mapId="43" xpath="/ns1:Root/ns1:Prog/ns1:Achieved__P5_5" xmlDataType="string"/>
    </xmlCellPr>
  </singleXmlCell>
  <singleXmlCell id="679" r="M125" connectionId="0">
    <xmlCellPr id="1" uniqueName="1">
      <xmlPr mapId="43" xpath="/ns1:Root/ns1:Prog/ns1:Achieved__P6_5" xmlDataType="string"/>
    </xmlCellPr>
  </singleXmlCell>
  <singleXmlCell id="680" r="N125" connectionId="0">
    <xmlCellPr id="1" uniqueName="1">
      <xmlPr mapId="43" xpath="/ns1:Root/ns1:Prog/ns1:Achieved__P7_5" xmlDataType="string"/>
    </xmlCellPr>
  </singleXmlCell>
  <singleXmlCell id="681" r="O125" connectionId="0">
    <xmlCellPr id="1" uniqueName="1">
      <xmlPr mapId="43" xpath="/ns1:Root/ns1:Prog/ns1:Achieved__P8_5" xmlDataType="string"/>
    </xmlCellPr>
  </singleXmlCell>
  <singleXmlCell id="682" r="P125" connectionId="0">
    <xmlCellPr id="1" uniqueName="1">
      <xmlPr mapId="43" xpath="/ns1:Root/ns1:Prog/ns1:Achieved__P9_5" xmlDataType="string"/>
    </xmlCellPr>
  </singleXmlCell>
  <singleXmlCell id="683" r="Q125" connectionId="0">
    <xmlCellPr id="1" uniqueName="1">
      <xmlPr mapId="43" xpath="/ns1:Root/ns1:Prog/ns1:Achieved__P10_5" xmlDataType="string"/>
    </xmlCellPr>
  </singleXmlCell>
  <singleXmlCell id="684" r="R125" connectionId="0">
    <xmlCellPr id="1" uniqueName="1">
      <xmlPr mapId="43" xpath="/ns1:Root/ns1:Prog/ns1:Achieved__P11_5" xmlDataType="string"/>
    </xmlCellPr>
  </singleXmlCell>
  <singleXmlCell id="685" r="S125" connectionId="0">
    <xmlCellPr id="1" uniqueName="1">
      <xmlPr mapId="43" xpath="/ns1:Root/ns1:Prog/ns1:Achieved__P12_5" xmlDataType="string"/>
    </xmlCellPr>
  </singleXmlCell>
  <singleXmlCell id="686" r="H126" connectionId="0">
    <xmlCellPr id="1" uniqueName="1">
      <xmlPr mapId="43" xpath="/ns1:Root/ns1:Prog/ns1:Target_P1_6" xmlDataType="double"/>
    </xmlCellPr>
  </singleXmlCell>
  <singleXmlCell id="687" r="I126" connectionId="0">
    <xmlCellPr id="1" uniqueName="1">
      <xmlPr mapId="43" xpath="/ns1:Root/ns1:Prog/ns1:Target_P2_6" xmlDataType="double"/>
    </xmlCellPr>
  </singleXmlCell>
  <singleXmlCell id="688" r="J126" connectionId="0">
    <xmlCellPr id="1" uniqueName="1">
      <xmlPr mapId="43" xpath="/ns1:Root/ns1:Prog/ns1:Target_P3_6" xmlDataType="double"/>
    </xmlCellPr>
  </singleXmlCell>
  <singleXmlCell id="689" r="K126" connectionId="0">
    <xmlCellPr id="1" uniqueName="1">
      <xmlPr mapId="43" xpath="/ns1:Root/ns1:Prog/ns1:Target_P4_6" xmlDataType="double"/>
    </xmlCellPr>
  </singleXmlCell>
  <singleXmlCell id="690" r="L126" connectionId="0">
    <xmlCellPr id="1" uniqueName="1">
      <xmlPr mapId="43" xpath="/ns1:Root/ns1:Prog/ns1:Target_P5_6" xmlDataType="double"/>
    </xmlCellPr>
  </singleXmlCell>
  <singleXmlCell id="691" r="M126" connectionId="0">
    <xmlCellPr id="1" uniqueName="1">
      <xmlPr mapId="43" xpath="/ns1:Root/ns1:Prog/ns1:Target_P6_6" xmlDataType="double"/>
    </xmlCellPr>
  </singleXmlCell>
  <singleXmlCell id="692" r="N126" connectionId="0">
    <xmlCellPr id="1" uniqueName="1">
      <xmlPr mapId="43" xpath="/ns1:Root/ns1:Prog/ns1:Target_P7_6" xmlDataType="double"/>
    </xmlCellPr>
  </singleXmlCell>
  <singleXmlCell id="693" r="O126" connectionId="0">
    <xmlCellPr id="1" uniqueName="1">
      <xmlPr mapId="43" xpath="/ns1:Root/ns1:Prog/ns1:Target_P8_6" xmlDataType="double"/>
    </xmlCellPr>
  </singleXmlCell>
  <singleXmlCell id="694" r="P126" connectionId="0">
    <xmlCellPr id="1" uniqueName="1">
      <xmlPr mapId="43" xpath="/ns1:Root/ns1:Prog/ns1:Target_P9_6" xmlDataType="double"/>
    </xmlCellPr>
  </singleXmlCell>
  <singleXmlCell id="695" r="Q126" connectionId="0">
    <xmlCellPr id="1" uniqueName="1">
      <xmlPr mapId="43" xpath="/ns1:Root/ns1:Prog/ns1:Target_P10_6" xmlDataType="double"/>
    </xmlCellPr>
  </singleXmlCell>
  <singleXmlCell id="696" r="R126" connectionId="0">
    <xmlCellPr id="1" uniqueName="1">
      <xmlPr mapId="43" xpath="/ns1:Root/ns1:Prog/ns1:Target_P11_6" xmlDataType="double"/>
    </xmlCellPr>
  </singleXmlCell>
  <singleXmlCell id="697" r="S126" connectionId="0">
    <xmlCellPr id="1" uniqueName="1">
      <xmlPr mapId="43" xpath="/ns1:Root/ns1:Prog/ns1:Target_P12_6" xmlDataType="double"/>
    </xmlCellPr>
  </singleXmlCell>
  <singleXmlCell id="698" r="H127" connectionId="0">
    <xmlCellPr id="1" uniqueName="1">
      <xmlPr mapId="43" xpath="/ns1:Root/ns1:Prog/ns1:Achieved__P1_6" xmlDataType="double"/>
    </xmlCellPr>
  </singleXmlCell>
  <singleXmlCell id="699" r="I127" connectionId="0">
    <xmlCellPr id="1" uniqueName="1">
      <xmlPr mapId="43" xpath="/ns1:Root/ns1:Prog/ns1:Achieved__P2_6" xmlDataType="double"/>
    </xmlCellPr>
  </singleXmlCell>
  <singleXmlCell id="700" r="J127" connectionId="0">
    <xmlCellPr id="1" uniqueName="1">
      <xmlPr mapId="43" xpath="/ns1:Root/ns1:Prog/ns1:Achieved__P3_6" xmlDataType="double"/>
    </xmlCellPr>
  </singleXmlCell>
  <singleXmlCell id="701" r="K127" connectionId="0">
    <xmlCellPr id="1" uniqueName="1">
      <xmlPr mapId="43" xpath="/ns1:Root/ns1:Prog/ns1:Achieved__P4_6" xmlDataType="double"/>
    </xmlCellPr>
  </singleXmlCell>
  <singleXmlCell id="702" r="L127" connectionId="0">
    <xmlCellPr id="1" uniqueName="1">
      <xmlPr mapId="43" xpath="/ns1:Root/ns1:Prog/ns1:Achieved__P5_6" xmlDataType="string"/>
    </xmlCellPr>
  </singleXmlCell>
  <singleXmlCell id="703" r="M127" connectionId="0">
    <xmlCellPr id="1" uniqueName="1">
      <xmlPr mapId="43" xpath="/ns1:Root/ns1:Prog/ns1:Achieved__P6_6" xmlDataType="string"/>
    </xmlCellPr>
  </singleXmlCell>
  <singleXmlCell id="704" r="N127" connectionId="0">
    <xmlCellPr id="1" uniqueName="1">
      <xmlPr mapId="43" xpath="/ns1:Root/ns1:Prog/ns1:Achieved__P7_6" xmlDataType="string"/>
    </xmlCellPr>
  </singleXmlCell>
  <singleXmlCell id="705" r="O127" connectionId="0">
    <xmlCellPr id="1" uniqueName="1">
      <xmlPr mapId="43" xpath="/ns1:Root/ns1:Prog/ns1:Achieved__P8_6" xmlDataType="string"/>
    </xmlCellPr>
  </singleXmlCell>
  <singleXmlCell id="706" r="P127" connectionId="0">
    <xmlCellPr id="1" uniqueName="1">
      <xmlPr mapId="43" xpath="/ns1:Root/ns1:Prog/ns1:Achieved__P9_6" xmlDataType="string"/>
    </xmlCellPr>
  </singleXmlCell>
  <singleXmlCell id="707" r="Q127" connectionId="0">
    <xmlCellPr id="1" uniqueName="1">
      <xmlPr mapId="43" xpath="/ns1:Root/ns1:Prog/ns1:Achieved__P10_6" xmlDataType="string"/>
    </xmlCellPr>
  </singleXmlCell>
  <singleXmlCell id="708" r="R127" connectionId="0">
    <xmlCellPr id="1" uniqueName="1">
      <xmlPr mapId="43" xpath="/ns1:Root/ns1:Prog/ns1:Achieved__P11_6" xmlDataType="string"/>
    </xmlCellPr>
  </singleXmlCell>
  <singleXmlCell id="709" r="S127" connectionId="0">
    <xmlCellPr id="1" uniqueName="1">
      <xmlPr mapId="43" xpath="/ns1:Root/ns1:Prog/ns1:Achieved__P12_6" xmlDataType="string"/>
    </xmlCellPr>
  </singleXmlCell>
  <singleXmlCell id="710" r="H128" connectionId="0">
    <xmlCellPr id="1" uniqueName="1">
      <xmlPr mapId="43" xpath="/ns1:Root/ns1:Prog/ns1:Target_P1_7" xmlDataType="double"/>
    </xmlCellPr>
  </singleXmlCell>
  <singleXmlCell id="711" r="I128" connectionId="0">
    <xmlCellPr id="1" uniqueName="1">
      <xmlPr mapId="43" xpath="/ns1:Root/ns1:Prog/ns1:Target_P2_7" xmlDataType="double"/>
    </xmlCellPr>
  </singleXmlCell>
  <singleXmlCell id="712" r="J128" connectionId="0">
    <xmlCellPr id="1" uniqueName="1">
      <xmlPr mapId="43" xpath="/ns1:Root/ns1:Prog/ns1:Target_P3_7" xmlDataType="double"/>
    </xmlCellPr>
  </singleXmlCell>
  <singleXmlCell id="713" r="K128" connectionId="0">
    <xmlCellPr id="1" uniqueName="1">
      <xmlPr mapId="43" xpath="/ns1:Root/ns1:Prog/ns1:Target_P4_7" xmlDataType="double"/>
    </xmlCellPr>
  </singleXmlCell>
  <singleXmlCell id="714" r="L128" connectionId="0">
    <xmlCellPr id="1" uniqueName="1">
      <xmlPr mapId="43" xpath="/ns1:Root/ns1:Prog/ns1:Target_P5_7" xmlDataType="double"/>
    </xmlCellPr>
  </singleXmlCell>
  <singleXmlCell id="715" r="M128" connectionId="0">
    <xmlCellPr id="1" uniqueName="1">
      <xmlPr mapId="43" xpath="/ns1:Root/ns1:Prog/ns1:Target_P6_7" xmlDataType="double"/>
    </xmlCellPr>
  </singleXmlCell>
  <singleXmlCell id="716" r="N128" connectionId="0">
    <xmlCellPr id="1" uniqueName="1">
      <xmlPr mapId="43" xpath="/ns1:Root/ns1:Prog/ns1:Target_P7_7" xmlDataType="double"/>
    </xmlCellPr>
  </singleXmlCell>
  <singleXmlCell id="717" r="O128" connectionId="0">
    <xmlCellPr id="1" uniqueName="1">
      <xmlPr mapId="43" xpath="/ns1:Root/ns1:Prog/ns1:Target_P8_7" xmlDataType="double"/>
    </xmlCellPr>
  </singleXmlCell>
  <singleXmlCell id="718" r="P128" connectionId="0">
    <xmlCellPr id="1" uniqueName="1">
      <xmlPr mapId="43" xpath="/ns1:Root/ns1:Prog/ns1:Target_P9_7" xmlDataType="double"/>
    </xmlCellPr>
  </singleXmlCell>
  <singleXmlCell id="719" r="Q128" connectionId="0">
    <xmlCellPr id="1" uniqueName="1">
      <xmlPr mapId="43" xpath="/ns1:Root/ns1:Prog/ns1:Target_P10_7" xmlDataType="double"/>
    </xmlCellPr>
  </singleXmlCell>
  <singleXmlCell id="720" r="R128" connectionId="0">
    <xmlCellPr id="1" uniqueName="1">
      <xmlPr mapId="43" xpath="/ns1:Root/ns1:Prog/ns1:Target_P11_7" xmlDataType="double"/>
    </xmlCellPr>
  </singleXmlCell>
  <singleXmlCell id="721" r="S128" connectionId="0">
    <xmlCellPr id="1" uniqueName="1">
      <xmlPr mapId="43" xpath="/ns1:Root/ns1:Prog/ns1:Target_P12_7" xmlDataType="double"/>
    </xmlCellPr>
  </singleXmlCell>
  <singleXmlCell id="722" r="H129" connectionId="0">
    <xmlCellPr id="1" uniqueName="1">
      <xmlPr mapId="43" xpath="/ns1:Root/ns1:Prog/ns1:Achieved__P1_7" xmlDataType="double"/>
    </xmlCellPr>
  </singleXmlCell>
  <singleXmlCell id="723" r="I129" connectionId="0">
    <xmlCellPr id="1" uniqueName="1">
      <xmlPr mapId="43" xpath="/ns1:Root/ns1:Prog/ns1:Achieved__P2_7" xmlDataType="double"/>
    </xmlCellPr>
  </singleXmlCell>
  <singleXmlCell id="724" r="J129" connectionId="0">
    <xmlCellPr id="1" uniqueName="1">
      <xmlPr mapId="43" xpath="/ns1:Root/ns1:Prog/ns1:Achieved__P3_7" xmlDataType="double"/>
    </xmlCellPr>
  </singleXmlCell>
  <singleXmlCell id="725" r="K129" connectionId="0">
    <xmlCellPr id="1" uniqueName="1">
      <xmlPr mapId="43" xpath="/ns1:Root/ns1:Prog/ns1:Achieved__P4_7" xmlDataType="double"/>
    </xmlCellPr>
  </singleXmlCell>
  <singleXmlCell id="726" r="L129" connectionId="0">
    <xmlCellPr id="1" uniqueName="1">
      <xmlPr mapId="43" xpath="/ns1:Root/ns1:Prog/ns1:Achieved__P5_7" xmlDataType="string"/>
    </xmlCellPr>
  </singleXmlCell>
  <singleXmlCell id="727" r="M129" connectionId="0">
    <xmlCellPr id="1" uniqueName="1">
      <xmlPr mapId="43" xpath="/ns1:Root/ns1:Prog/ns1:Achieved__P6_7" xmlDataType="string"/>
    </xmlCellPr>
  </singleXmlCell>
  <singleXmlCell id="728" r="N129" connectionId="0">
    <xmlCellPr id="1" uniqueName="1">
      <xmlPr mapId="43" xpath="/ns1:Root/ns1:Prog/ns1:Achieved__P7_7" xmlDataType="string"/>
    </xmlCellPr>
  </singleXmlCell>
  <singleXmlCell id="729" r="O129" connectionId="0">
    <xmlCellPr id="1" uniqueName="1">
      <xmlPr mapId="43" xpath="/ns1:Root/ns1:Prog/ns1:Achieved__P8_7" xmlDataType="string"/>
    </xmlCellPr>
  </singleXmlCell>
  <singleXmlCell id="730" r="P129" connectionId="0">
    <xmlCellPr id="1" uniqueName="1">
      <xmlPr mapId="43" xpath="/ns1:Root/ns1:Prog/ns1:Achieved__P9_7" xmlDataType="string"/>
    </xmlCellPr>
  </singleXmlCell>
  <singleXmlCell id="731" r="Q129" connectionId="0">
    <xmlCellPr id="1" uniqueName="1">
      <xmlPr mapId="43" xpath="/ns1:Root/ns1:Prog/ns1:Achieved__P10_7" xmlDataType="string"/>
    </xmlCellPr>
  </singleXmlCell>
  <singleXmlCell id="732" r="R129" connectionId="0">
    <xmlCellPr id="1" uniqueName="1">
      <xmlPr mapId="43" xpath="/ns1:Root/ns1:Prog/ns1:Achieved__P11_7" xmlDataType="string"/>
    </xmlCellPr>
  </singleXmlCell>
  <singleXmlCell id="733" r="S129"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9" r="B124" connectionId="0">
    <xmlCellPr id="1" uniqueName="1">
      <xmlPr mapId="43" xpath="/ns1:Root/ns1:P5" xmlDataType="string"/>
    </xmlCellPr>
  </singleXmlCell>
  <singleXmlCell id="820" r="E124" connectionId="0">
    <xmlCellPr id="1" uniqueName="1">
      <xmlPr mapId="43" xpath="/ns1:Root/ns1:P5_Code" xmlDataType="double"/>
    </xmlCellPr>
  </singleXmlCell>
  <singleXmlCell id="821" r="F124" connectionId="0">
    <xmlCellPr id="1" uniqueName="1">
      <xmlPr mapId="43" xpath="/ns1:Root/ns1:P5_Tied" xmlDataType="string"/>
    </xmlCellPr>
  </singleXmlCell>
  <singleXmlCell id="822" r="B126" connectionId="0">
    <xmlCellPr id="1" uniqueName="1">
      <xmlPr mapId="43" xpath="/ns1:Root/ns1:P6" xmlDataType="string"/>
    </xmlCellPr>
  </singleXmlCell>
  <singleXmlCell id="823" r="E126" connectionId="0">
    <xmlCellPr id="1" uniqueName="1">
      <xmlPr mapId="43" xpath="/ns1:Root/ns1:P6_Code" xmlDataType="double"/>
    </xmlCellPr>
  </singleXmlCell>
  <singleXmlCell id="824" r="F126" connectionId="0">
    <xmlCellPr id="1" uniqueName="1">
      <xmlPr mapId="43" xpath="/ns1:Root/ns1:P6_Tied" xmlDataType="string"/>
    </xmlCellPr>
  </singleXmlCell>
  <singleXmlCell id="825" r="B128" connectionId="0">
    <xmlCellPr id="1" uniqueName="1">
      <xmlPr mapId="43" xpath="/ns1:Root/ns1:P7" xmlDataType="string"/>
    </xmlCellPr>
  </singleXmlCell>
  <singleXmlCell id="826" r="E128" connectionId="0">
    <xmlCellPr id="1" uniqueName="1">
      <xmlPr mapId="43" xpath="/ns1:Root/ns1:P7_Code" xmlDataType="double"/>
    </xmlCellPr>
  </singleXmlCell>
  <singleXmlCell id="827" r="F128"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topLeftCell="A4"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68" t="str">
        <f>+'Detail despre Grant'!B3:J3</f>
        <v>Tabel Programatic de Evaluare:  Moldova - TB</v>
      </c>
      <c r="C2" s="568"/>
      <c r="D2" s="568"/>
      <c r="E2" s="568"/>
      <c r="F2" s="568"/>
      <c r="G2" s="568"/>
      <c r="H2" s="568"/>
      <c r="I2" s="568"/>
      <c r="J2" s="568"/>
      <c r="K2" s="568"/>
      <c r="L2" s="568"/>
      <c r="M2" s="1"/>
      <c r="N2" s="1"/>
      <c r="O2" s="1"/>
    </row>
    <row r="4" spans="2:15" ht="21">
      <c r="B4" s="569" t="str">
        <f>+IF('Introducerea datelor'!G6="Please Select", "",'Introducerea datelor'!G6) &amp;"  "&amp;+IF('Introducerea datelor'!G8="Please Select", "", 'Introducerea datelor'!G8&amp;",  ")&amp;+IF('Introducerea datelor'!I8="Please Select","",'Introducerea datelor'!I8)</f>
        <v>TB  Faza 2</v>
      </c>
      <c r="C4" s="569"/>
      <c r="D4" s="569"/>
      <c r="E4" s="570"/>
      <c r="F4" s="196"/>
      <c r="G4" s="196"/>
      <c r="H4" s="292" t="str">
        <f>+'Introducerea datelor'!B6&amp;" "&amp;+'Introducerea datelor'!C6</f>
        <v xml:space="preserve">No. Grantului : MOL-T-PCIMU </v>
      </c>
      <c r="I4" s="292"/>
      <c r="J4" s="195"/>
      <c r="K4" s="196"/>
      <c r="L4" s="196"/>
    </row>
    <row r="22" spans="2:12" ht="26.25">
      <c r="B22" s="571" t="s">
        <v>276</v>
      </c>
      <c r="C22" s="572"/>
      <c r="D22" s="572"/>
      <c r="E22" s="572"/>
      <c r="F22" s="572"/>
      <c r="G22" s="572"/>
      <c r="H22" s="572"/>
      <c r="I22" s="572"/>
      <c r="J22" s="572"/>
      <c r="K22" s="572"/>
      <c r="L22" s="572"/>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025" t="str">
        <f>'Detail despre Grant'!B3:J3</f>
        <v>Tabel Programatic de Evaluare:  Moldova - TB</v>
      </c>
      <c r="C3" s="1025"/>
      <c r="D3" s="1025"/>
      <c r="E3" s="1025"/>
      <c r="F3" s="1025"/>
      <c r="G3" s="1025"/>
      <c r="H3" s="1025"/>
      <c r="I3" s="1"/>
    </row>
    <row r="6" spans="2:15" ht="18.75">
      <c r="B6" s="974" t="s">
        <v>247</v>
      </c>
      <c r="C6" s="974"/>
      <c r="D6" s="974"/>
      <c r="E6" s="974"/>
      <c r="F6" s="974"/>
      <c r="G6" s="974"/>
      <c r="H6" s="974"/>
    </row>
    <row r="8" spans="2:15" ht="18.75">
      <c r="B8" s="61" t="s">
        <v>13</v>
      </c>
      <c r="C8" s="61" t="s">
        <v>16</v>
      </c>
      <c r="D8" s="61" t="s">
        <v>17</v>
      </c>
      <c r="E8" s="61" t="s">
        <v>22</v>
      </c>
      <c r="F8" s="61" t="s">
        <v>231</v>
      </c>
      <c r="G8" s="61" t="s">
        <v>215</v>
      </c>
      <c r="H8" s="61" t="s">
        <v>234</v>
      </c>
      <c r="I8" s="62" t="s">
        <v>54</v>
      </c>
      <c r="J8" s="62" t="s">
        <v>80</v>
      </c>
      <c r="M8" s="19"/>
      <c r="N8" s="19"/>
      <c r="O8" s="19"/>
    </row>
    <row r="9" spans="2:15">
      <c r="B9" s="85" t="s">
        <v>270</v>
      </c>
      <c r="C9" s="85" t="s">
        <v>270</v>
      </c>
      <c r="D9" s="85" t="s">
        <v>270</v>
      </c>
      <c r="E9" s="85" t="s">
        <v>270</v>
      </c>
      <c r="F9" s="85" t="s">
        <v>270</v>
      </c>
      <c r="G9" s="85" t="s">
        <v>270</v>
      </c>
      <c r="H9" s="85" t="s">
        <v>270</v>
      </c>
      <c r="I9" s="345" t="s">
        <v>270</v>
      </c>
      <c r="J9" s="85" t="s">
        <v>270</v>
      </c>
      <c r="M9" s="19"/>
      <c r="N9" s="19"/>
      <c r="O9" s="19"/>
    </row>
    <row r="10" spans="2:15">
      <c r="B10" s="56" t="s">
        <v>12</v>
      </c>
      <c r="C10" s="56" t="s">
        <v>7</v>
      </c>
      <c r="D10" s="56" t="s">
        <v>5</v>
      </c>
      <c r="E10" s="56" t="s">
        <v>6</v>
      </c>
      <c r="F10" s="56" t="s">
        <v>62</v>
      </c>
      <c r="G10" s="351" t="s">
        <v>24</v>
      </c>
      <c r="H10" s="59" t="s">
        <v>29</v>
      </c>
      <c r="I10" s="26" t="s">
        <v>237</v>
      </c>
      <c r="J10" s="85" t="s">
        <v>81</v>
      </c>
      <c r="M10" s="19"/>
      <c r="N10" s="19"/>
      <c r="O10" s="19"/>
    </row>
    <row r="11" spans="2:15">
      <c r="B11" s="56" t="s">
        <v>14</v>
      </c>
      <c r="C11" s="56" t="s">
        <v>2</v>
      </c>
      <c r="D11" s="56" t="s">
        <v>8</v>
      </c>
      <c r="E11" s="56" t="s">
        <v>4</v>
      </c>
      <c r="F11" s="56" t="s">
        <v>63</v>
      </c>
      <c r="G11" s="351" t="s">
        <v>25</v>
      </c>
      <c r="H11" s="59" t="s">
        <v>30</v>
      </c>
      <c r="I11" s="26" t="s">
        <v>238</v>
      </c>
      <c r="J11" s="85" t="s">
        <v>82</v>
      </c>
      <c r="M11" s="19"/>
      <c r="N11" s="19"/>
      <c r="O11" s="19"/>
    </row>
    <row r="12" spans="2:15">
      <c r="B12" s="56" t="s">
        <v>15</v>
      </c>
      <c r="D12" s="56" t="s">
        <v>9</v>
      </c>
      <c r="E12" s="56" t="s">
        <v>10</v>
      </c>
      <c r="F12" s="56" t="s">
        <v>64</v>
      </c>
      <c r="G12" s="351" t="s">
        <v>26</v>
      </c>
      <c r="H12" s="59" t="s">
        <v>31</v>
      </c>
      <c r="I12" s="26" t="s">
        <v>239</v>
      </c>
      <c r="J12" s="85" t="s">
        <v>83</v>
      </c>
      <c r="M12" s="164"/>
      <c r="N12" s="19"/>
      <c r="O12" s="19"/>
    </row>
    <row r="13" spans="2:15">
      <c r="B13" s="56" t="s">
        <v>50</v>
      </c>
      <c r="D13" s="56" t="s">
        <v>11</v>
      </c>
      <c r="E13" s="57"/>
      <c r="F13" s="56" t="s">
        <v>65</v>
      </c>
      <c r="G13" s="351" t="s">
        <v>27</v>
      </c>
      <c r="H13" s="59" t="s">
        <v>32</v>
      </c>
      <c r="I13" s="26" t="s">
        <v>240</v>
      </c>
      <c r="J13" s="85" t="s">
        <v>84</v>
      </c>
      <c r="M13" s="164"/>
      <c r="N13" s="19"/>
      <c r="O13" s="19"/>
    </row>
    <row r="14" spans="2:15">
      <c r="B14" s="56" t="s">
        <v>51</v>
      </c>
      <c r="D14" s="56" t="s">
        <v>18</v>
      </c>
      <c r="F14" s="56" t="s">
        <v>72</v>
      </c>
      <c r="G14" s="351" t="s">
        <v>28</v>
      </c>
      <c r="H14" s="59" t="s">
        <v>33</v>
      </c>
      <c r="I14" s="26" t="s">
        <v>216</v>
      </c>
      <c r="J14" s="85" t="s">
        <v>85</v>
      </c>
      <c r="M14" s="164"/>
      <c r="N14" s="19"/>
      <c r="O14" s="19"/>
    </row>
    <row r="15" spans="2:15">
      <c r="D15" s="56" t="s">
        <v>19</v>
      </c>
      <c r="F15" s="56" t="s">
        <v>73</v>
      </c>
      <c r="H15" s="59" t="s">
        <v>34</v>
      </c>
      <c r="I15" s="26" t="s">
        <v>40</v>
      </c>
      <c r="J15" s="85" t="s">
        <v>86</v>
      </c>
      <c r="M15" s="164"/>
      <c r="N15" s="19"/>
      <c r="O15" s="19"/>
    </row>
    <row r="16" spans="2:15">
      <c r="D16" s="56" t="s">
        <v>20</v>
      </c>
      <c r="F16" s="56" t="s">
        <v>74</v>
      </c>
      <c r="H16" s="59" t="s">
        <v>35</v>
      </c>
      <c r="I16" s="26" t="s">
        <v>41</v>
      </c>
      <c r="J16" s="85" t="s">
        <v>87</v>
      </c>
      <c r="M16" s="164"/>
      <c r="N16" s="19"/>
      <c r="O16" s="19"/>
    </row>
    <row r="17" spans="4:15">
      <c r="D17" s="56" t="s">
        <v>21</v>
      </c>
      <c r="F17" s="56" t="s">
        <v>75</v>
      </c>
      <c r="H17" s="59" t="s">
        <v>36</v>
      </c>
      <c r="I17" s="26" t="s">
        <v>42</v>
      </c>
      <c r="J17" s="85" t="s">
        <v>88</v>
      </c>
      <c r="M17" s="164"/>
      <c r="N17" s="19"/>
      <c r="O17" s="19"/>
    </row>
    <row r="18" spans="4:15">
      <c r="D18" s="56" t="s">
        <v>3</v>
      </c>
      <c r="F18" s="56" t="s">
        <v>76</v>
      </c>
      <c r="H18" s="59" t="s">
        <v>37</v>
      </c>
      <c r="I18" s="26" t="s">
        <v>43</v>
      </c>
      <c r="J18" s="85" t="s">
        <v>89</v>
      </c>
      <c r="M18" s="164"/>
      <c r="N18" s="19"/>
      <c r="O18" s="19"/>
    </row>
    <row r="19" spans="4:15">
      <c r="D19" s="350" t="s">
        <v>269</v>
      </c>
      <c r="F19" s="56" t="s">
        <v>77</v>
      </c>
      <c r="H19" s="59" t="s">
        <v>38</v>
      </c>
      <c r="I19" s="26" t="s">
        <v>44</v>
      </c>
      <c r="J19" s="85" t="s">
        <v>90</v>
      </c>
      <c r="M19" s="164"/>
      <c r="N19" s="19"/>
      <c r="O19" s="19"/>
    </row>
    <row r="20" spans="4:15">
      <c r="D20" s="58"/>
      <c r="F20" s="56" t="s">
        <v>78</v>
      </c>
      <c r="H20" s="59" t="s">
        <v>213</v>
      </c>
      <c r="I20" s="26" t="s">
        <v>45</v>
      </c>
      <c r="J20" s="85" t="s">
        <v>91</v>
      </c>
      <c r="M20" s="19"/>
      <c r="N20" s="19"/>
      <c r="O20" s="19"/>
    </row>
    <row r="21" spans="4:15">
      <c r="D21" s="60"/>
      <c r="F21" s="56" t="s">
        <v>232</v>
      </c>
      <c r="H21" s="60"/>
      <c r="I21" s="26" t="s">
        <v>47</v>
      </c>
      <c r="J21" s="85" t="s">
        <v>92</v>
      </c>
      <c r="M21" s="19"/>
      <c r="N21" s="19"/>
      <c r="O21" s="19"/>
    </row>
    <row r="22" spans="4:15">
      <c r="H22" s="60"/>
      <c r="I22" s="26" t="s">
        <v>48</v>
      </c>
      <c r="J22" s="85" t="s">
        <v>93</v>
      </c>
      <c r="M22" s="19"/>
      <c r="N22" s="19"/>
      <c r="O22" s="19"/>
    </row>
    <row r="23" spans="4:15">
      <c r="I23" s="26" t="s">
        <v>46</v>
      </c>
      <c r="J23" s="85" t="s">
        <v>94</v>
      </c>
      <c r="M23" s="19"/>
      <c r="N23" s="19"/>
      <c r="O23" s="19"/>
    </row>
    <row r="24" spans="4:15">
      <c r="I24" s="26" t="s">
        <v>242</v>
      </c>
      <c r="J24" s="85" t="s">
        <v>95</v>
      </c>
      <c r="M24" s="19"/>
      <c r="N24" s="19"/>
      <c r="O24" s="19"/>
    </row>
    <row r="25" spans="4:15">
      <c r="I25" s="44"/>
      <c r="J25" s="85" t="s">
        <v>96</v>
      </c>
    </row>
    <row r="26" spans="4:15">
      <c r="I26" s="26" t="s">
        <v>243</v>
      </c>
      <c r="J26" s="85" t="s">
        <v>97</v>
      </c>
    </row>
    <row r="27" spans="4:15">
      <c r="I27" s="26" t="s">
        <v>241</v>
      </c>
      <c r="J27" s="85" t="s">
        <v>98</v>
      </c>
    </row>
    <row r="28" spans="4:15">
      <c r="I28" s="44"/>
      <c r="J28" s="85" t="s">
        <v>99</v>
      </c>
    </row>
    <row r="29" spans="4:15">
      <c r="I29" s="44"/>
      <c r="J29" s="85" t="s">
        <v>100</v>
      </c>
    </row>
    <row r="30" spans="4:15">
      <c r="I30" s="44"/>
      <c r="J30" s="85" t="s">
        <v>101</v>
      </c>
    </row>
    <row r="31" spans="4:15">
      <c r="J31" s="85" t="s">
        <v>102</v>
      </c>
    </row>
    <row r="32" spans="4:15">
      <c r="J32" s="85" t="s">
        <v>103</v>
      </c>
    </row>
    <row r="33" spans="10:10">
      <c r="J33" s="85" t="s">
        <v>104</v>
      </c>
    </row>
    <row r="34" spans="10:10">
      <c r="J34" s="85" t="s">
        <v>105</v>
      </c>
    </row>
    <row r="35" spans="10:10">
      <c r="J35" s="85" t="s">
        <v>106</v>
      </c>
    </row>
    <row r="36" spans="10:10">
      <c r="J36" s="85" t="s">
        <v>106</v>
      </c>
    </row>
    <row r="37" spans="10:10">
      <c r="J37" s="85" t="s">
        <v>107</v>
      </c>
    </row>
    <row r="38" spans="10:10">
      <c r="J38" s="85" t="s">
        <v>108</v>
      </c>
    </row>
    <row r="39" spans="10:10">
      <c r="J39" s="85" t="s">
        <v>109</v>
      </c>
    </row>
    <row r="40" spans="10:10">
      <c r="J40" s="85" t="s">
        <v>110</v>
      </c>
    </row>
    <row r="41" spans="10:10">
      <c r="J41" s="85" t="s">
        <v>111</v>
      </c>
    </row>
    <row r="42" spans="10:10">
      <c r="J42" s="85" t="s">
        <v>112</v>
      </c>
    </row>
    <row r="43" spans="10:10">
      <c r="J43" s="85" t="s">
        <v>113</v>
      </c>
    </row>
    <row r="44" spans="10:10">
      <c r="J44" s="85" t="s">
        <v>114</v>
      </c>
    </row>
    <row r="45" spans="10:10">
      <c r="J45" s="85" t="s">
        <v>115</v>
      </c>
    </row>
    <row r="46" spans="10:10">
      <c r="J46" s="85" t="s">
        <v>116</v>
      </c>
    </row>
    <row r="47" spans="10:10">
      <c r="J47" s="85" t="s">
        <v>117</v>
      </c>
    </row>
    <row r="48" spans="10:10">
      <c r="J48" s="85" t="s">
        <v>118</v>
      </c>
    </row>
    <row r="49" spans="10:10">
      <c r="J49" s="85" t="s">
        <v>119</v>
      </c>
    </row>
    <row r="50" spans="10:10">
      <c r="J50" s="85" t="s">
        <v>120</v>
      </c>
    </row>
    <row r="51" spans="10:10">
      <c r="J51" s="85" t="s">
        <v>121</v>
      </c>
    </row>
    <row r="52" spans="10:10">
      <c r="J52" s="85" t="s">
        <v>122</v>
      </c>
    </row>
    <row r="53" spans="10:10">
      <c r="J53" s="85" t="s">
        <v>123</v>
      </c>
    </row>
    <row r="54" spans="10:10">
      <c r="J54" s="85" t="s">
        <v>124</v>
      </c>
    </row>
    <row r="55" spans="10:10">
      <c r="J55" s="85" t="s">
        <v>125</v>
      </c>
    </row>
    <row r="56" spans="10:10">
      <c r="J56" s="85" t="s">
        <v>126</v>
      </c>
    </row>
    <row r="57" spans="10:10">
      <c r="J57" s="85" t="s">
        <v>127</v>
      </c>
    </row>
    <row r="58" spans="10:10">
      <c r="J58" s="85" t="s">
        <v>128</v>
      </c>
    </row>
    <row r="59" spans="10:10">
      <c r="J59" s="85" t="s">
        <v>129</v>
      </c>
    </row>
    <row r="60" spans="10:10">
      <c r="J60" s="85" t="s">
        <v>130</v>
      </c>
    </row>
    <row r="61" spans="10:10">
      <c r="J61" s="85" t="s">
        <v>131</v>
      </c>
    </row>
    <row r="62" spans="10:10">
      <c r="J62" s="85" t="s">
        <v>132</v>
      </c>
    </row>
    <row r="63" spans="10:10">
      <c r="J63" s="85" t="s">
        <v>133</v>
      </c>
    </row>
    <row r="64" spans="10:10">
      <c r="J64" s="85" t="s">
        <v>134</v>
      </c>
    </row>
    <row r="65" spans="10:10">
      <c r="J65" s="85" t="s">
        <v>135</v>
      </c>
    </row>
    <row r="66" spans="10:10">
      <c r="J66" s="85" t="s">
        <v>136</v>
      </c>
    </row>
    <row r="67" spans="10:10">
      <c r="J67" s="85" t="s">
        <v>137</v>
      </c>
    </row>
    <row r="68" spans="10:10">
      <c r="J68" s="85" t="s">
        <v>138</v>
      </c>
    </row>
    <row r="69" spans="10:10">
      <c r="J69" s="85" t="s">
        <v>139</v>
      </c>
    </row>
    <row r="70" spans="10:10">
      <c r="J70" s="85" t="s">
        <v>140</v>
      </c>
    </row>
    <row r="71" spans="10:10">
      <c r="J71" s="85" t="s">
        <v>141</v>
      </c>
    </row>
    <row r="72" spans="10:10">
      <c r="J72" s="85" t="s">
        <v>142</v>
      </c>
    </row>
    <row r="73" spans="10:10">
      <c r="J73" s="85" t="s">
        <v>143</v>
      </c>
    </row>
    <row r="74" spans="10:10">
      <c r="J74" s="85" t="s">
        <v>144</v>
      </c>
    </row>
    <row r="75" spans="10:10">
      <c r="J75" s="85" t="s">
        <v>145</v>
      </c>
    </row>
    <row r="76" spans="10:10">
      <c r="J76" s="85" t="s">
        <v>146</v>
      </c>
    </row>
    <row r="77" spans="10:10">
      <c r="J77" s="85" t="s">
        <v>147</v>
      </c>
    </row>
    <row r="78" spans="10:10">
      <c r="J78" s="85" t="s">
        <v>148</v>
      </c>
    </row>
    <row r="79" spans="10:10">
      <c r="J79" s="85" t="s">
        <v>149</v>
      </c>
    </row>
    <row r="80" spans="10:10">
      <c r="J80" s="85" t="s">
        <v>150</v>
      </c>
    </row>
    <row r="81" spans="10:10">
      <c r="J81" s="85" t="s">
        <v>151</v>
      </c>
    </row>
    <row r="82" spans="10:10">
      <c r="J82" s="85" t="s">
        <v>152</v>
      </c>
    </row>
    <row r="83" spans="10:10">
      <c r="J83" s="85" t="s">
        <v>153</v>
      </c>
    </row>
    <row r="84" spans="10:10">
      <c r="J84" s="85" t="s">
        <v>154</v>
      </c>
    </row>
    <row r="85" spans="10:10">
      <c r="J85" s="85" t="s">
        <v>155</v>
      </c>
    </row>
    <row r="86" spans="10:10">
      <c r="J86" s="85" t="s">
        <v>156</v>
      </c>
    </row>
    <row r="87" spans="10:10">
      <c r="J87" s="85" t="s">
        <v>157</v>
      </c>
    </row>
    <row r="88" spans="10:10">
      <c r="J88" s="85" t="s">
        <v>158</v>
      </c>
    </row>
    <row r="89" spans="10:10">
      <c r="J89" s="85" t="s">
        <v>159</v>
      </c>
    </row>
    <row r="90" spans="10:10">
      <c r="J90" s="85" t="s">
        <v>160</v>
      </c>
    </row>
    <row r="91" spans="10:10">
      <c r="J91" s="85" t="s">
        <v>161</v>
      </c>
    </row>
    <row r="92" spans="10:10">
      <c r="J92" s="85" t="s">
        <v>162</v>
      </c>
    </row>
    <row r="93" spans="10:10">
      <c r="J93" s="85" t="s">
        <v>163</v>
      </c>
    </row>
    <row r="94" spans="10:10">
      <c r="J94" s="85" t="s">
        <v>164</v>
      </c>
    </row>
    <row r="95" spans="10:10">
      <c r="J95" s="85" t="s">
        <v>165</v>
      </c>
    </row>
    <row r="96" spans="10:10">
      <c r="J96" s="85" t="s">
        <v>166</v>
      </c>
    </row>
    <row r="97" spans="10:10">
      <c r="J97" s="85" t="s">
        <v>167</v>
      </c>
    </row>
    <row r="98" spans="10:10">
      <c r="J98" s="85" t="s">
        <v>168</v>
      </c>
    </row>
    <row r="99" spans="10:10">
      <c r="J99" s="85" t="s">
        <v>169</v>
      </c>
    </row>
    <row r="100" spans="10:10">
      <c r="J100" s="85" t="s">
        <v>170</v>
      </c>
    </row>
    <row r="101" spans="10:10">
      <c r="J101" s="85" t="s">
        <v>171</v>
      </c>
    </row>
    <row r="102" spans="10:10">
      <c r="J102" s="85" t="s">
        <v>172</v>
      </c>
    </row>
    <row r="103" spans="10:10">
      <c r="J103" s="85" t="s">
        <v>173</v>
      </c>
    </row>
    <row r="104" spans="10:10">
      <c r="J104" s="85" t="s">
        <v>174</v>
      </c>
    </row>
    <row r="105" spans="10:10">
      <c r="J105" s="85" t="s">
        <v>175</v>
      </c>
    </row>
    <row r="106" spans="10:10">
      <c r="J106" s="85" t="s">
        <v>176</v>
      </c>
    </row>
    <row r="107" spans="10:10">
      <c r="J107" s="85" t="s">
        <v>177</v>
      </c>
    </row>
    <row r="108" spans="10:10">
      <c r="J108" s="85" t="s">
        <v>178</v>
      </c>
    </row>
    <row r="109" spans="10:10">
      <c r="J109" s="85" t="s">
        <v>179</v>
      </c>
    </row>
    <row r="110" spans="10:10">
      <c r="J110" s="85" t="s">
        <v>180</v>
      </c>
    </row>
    <row r="111" spans="10:10">
      <c r="J111" s="85" t="s">
        <v>49</v>
      </c>
    </row>
    <row r="112" spans="10:10">
      <c r="J112" s="85" t="s">
        <v>181</v>
      </c>
    </row>
    <row r="113" spans="10:10">
      <c r="J113" s="85" t="s">
        <v>182</v>
      </c>
    </row>
    <row r="114" spans="10:10">
      <c r="J114" s="85" t="s">
        <v>183</v>
      </c>
    </row>
    <row r="115" spans="10:10">
      <c r="J115" s="85" t="s">
        <v>184</v>
      </c>
    </row>
    <row r="116" spans="10:10">
      <c r="J116" s="85" t="s">
        <v>185</v>
      </c>
    </row>
    <row r="117" spans="10:10">
      <c r="J117" s="85" t="s">
        <v>186</v>
      </c>
    </row>
    <row r="118" spans="10:10">
      <c r="J118" s="85" t="s">
        <v>187</v>
      </c>
    </row>
    <row r="119" spans="10:10">
      <c r="J119" s="85" t="s">
        <v>188</v>
      </c>
    </row>
    <row r="120" spans="10:10">
      <c r="J120" s="85" t="s">
        <v>189</v>
      </c>
    </row>
    <row r="121" spans="10:10">
      <c r="J121" s="85" t="s">
        <v>190</v>
      </c>
    </row>
    <row r="122" spans="10:10">
      <c r="J122" s="85" t="s">
        <v>191</v>
      </c>
    </row>
    <row r="123" spans="10:10">
      <c r="J123" s="85" t="s">
        <v>192</v>
      </c>
    </row>
    <row r="124" spans="10:10">
      <c r="J124" s="85" t="s">
        <v>193</v>
      </c>
    </row>
    <row r="125" spans="10:10">
      <c r="J125" s="85" t="s">
        <v>194</v>
      </c>
    </row>
    <row r="126" spans="10:10">
      <c r="J126" s="85" t="s">
        <v>195</v>
      </c>
    </row>
    <row r="127" spans="10:10">
      <c r="J127" s="85" t="s">
        <v>196</v>
      </c>
    </row>
    <row r="128" spans="10:10">
      <c r="J128" s="85" t="s">
        <v>197</v>
      </c>
    </row>
    <row r="129" spans="10:10">
      <c r="J129" s="85" t="s">
        <v>198</v>
      </c>
    </row>
    <row r="130" spans="10:10">
      <c r="J130" s="85" t="s">
        <v>199</v>
      </c>
    </row>
    <row r="131" spans="10:10">
      <c r="J131" s="85" t="s">
        <v>200</v>
      </c>
    </row>
    <row r="132" spans="10:10">
      <c r="J132" s="85" t="s">
        <v>201</v>
      </c>
    </row>
    <row r="133" spans="10:10">
      <c r="J133" s="85" t="s">
        <v>202</v>
      </c>
    </row>
    <row r="134" spans="10:10">
      <c r="J134" s="85" t="s">
        <v>203</v>
      </c>
    </row>
    <row r="135" spans="10:10">
      <c r="J135" s="85" t="s">
        <v>204</v>
      </c>
    </row>
    <row r="136" spans="10:10">
      <c r="J136" s="85" t="s">
        <v>205</v>
      </c>
    </row>
    <row r="137" spans="10:10">
      <c r="J137" s="85" t="s">
        <v>206</v>
      </c>
    </row>
    <row r="138" spans="10:10">
      <c r="J138" s="85" t="s">
        <v>207</v>
      </c>
    </row>
    <row r="139" spans="10:10">
      <c r="J139" s="85" t="s">
        <v>208</v>
      </c>
    </row>
    <row r="140" spans="10:10">
      <c r="J140" s="85" t="s">
        <v>209</v>
      </c>
    </row>
    <row r="141" spans="10:10">
      <c r="J141" s="85" t="s">
        <v>210</v>
      </c>
    </row>
    <row r="142" spans="10:10">
      <c r="J142" s="85" t="s">
        <v>211</v>
      </c>
    </row>
    <row r="143" spans="10:10">
      <c r="J143" s="85" t="s">
        <v>212</v>
      </c>
    </row>
    <row r="144" spans="10:10">
      <c r="J144" s="343"/>
    </row>
  </sheetData>
  <mergeCells count="2">
    <mergeCell ref="B3:H3"/>
    <mergeCell ref="B6:H6"/>
  </mergeCells>
  <phoneticPr fontId="23"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defaultRowHeight="15"/>
  <sheetData>
    <row r="1" spans="1:1">
      <c r="A1" s="403" t="s">
        <v>280</v>
      </c>
    </row>
    <row r="2" spans="1:1" ht="15" customHeight="1">
      <c r="A2" s="404" t="s">
        <v>376</v>
      </c>
    </row>
    <row r="3" spans="1:1">
      <c r="A3" s="403">
        <v>1.1000000000000001</v>
      </c>
    </row>
    <row r="4" spans="1:1">
      <c r="A4" s="404">
        <v>1.2</v>
      </c>
    </row>
    <row r="5" spans="1:1">
      <c r="A5" s="404">
        <v>1.3</v>
      </c>
    </row>
    <row r="6" spans="1:1">
      <c r="A6" s="403">
        <v>1.4</v>
      </c>
    </row>
    <row r="7" spans="1:1" ht="15.75" thickBot="1">
      <c r="A7" s="404">
        <v>1.5</v>
      </c>
    </row>
    <row r="8" spans="1:1">
      <c r="A8" s="405">
        <v>1.7</v>
      </c>
    </row>
    <row r="9" spans="1:1">
      <c r="A9" s="403">
        <v>2.1</v>
      </c>
    </row>
    <row r="10" spans="1:1">
      <c r="A10" s="404">
        <v>2.2999999999999998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0"/>
  <sheetViews>
    <sheetView showGridLines="0" view="pageBreakPreview" zoomScale="60" zoomScaleNormal="70" workbookViewId="0">
      <pane ySplit="2" topLeftCell="A6" activePane="bottomLeft" state="frozen"/>
      <selection activeCell="E22" sqref="E22"/>
      <selection pane="bottomLeft" activeCell="B33" sqref="B33:D33"/>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30" customWidth="1"/>
    <col min="10" max="10" width="14.140625" customWidth="1"/>
    <col min="11" max="11" width="12.85546875" customWidth="1"/>
    <col min="12" max="12" width="10.28515625" customWidth="1"/>
    <col min="13" max="13" width="36.7109375" customWidth="1"/>
    <col min="14" max="14" width="2.5703125" style="35" hidden="1" customWidth="1"/>
    <col min="15" max="15" width="3"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50" t="str">
        <f>+"Tabel Programatic de Evaluare: "&amp;" "&amp;+IF('Introducerea datelor'!C4="Please Select","",'Introducerea datelor'!C4&amp;" - ")&amp;+IF('Introducerea datelor'!G6="Please Select","",'Introducerea datelor'!G6)</f>
        <v>Tabel Programatic de Evaluare:  Moldova - TB</v>
      </c>
      <c r="C2" s="650"/>
      <c r="D2" s="650"/>
      <c r="E2" s="650"/>
      <c r="F2" s="650"/>
      <c r="G2" s="650"/>
      <c r="H2" s="650"/>
      <c r="I2" s="650"/>
      <c r="J2" s="650"/>
      <c r="K2" s="650"/>
      <c r="L2" s="650"/>
      <c r="M2" s="650"/>
    </row>
    <row r="3" spans="1:15" ht="15.75" customHeight="1">
      <c r="A3" s="3"/>
      <c r="B3" s="187"/>
      <c r="C3" s="187"/>
      <c r="D3" s="187"/>
      <c r="E3" s="187"/>
      <c r="F3" s="187"/>
      <c r="G3" s="187"/>
      <c r="H3" s="187"/>
      <c r="I3" s="187"/>
      <c r="J3" s="187"/>
      <c r="K3" s="188"/>
      <c r="L3" s="188"/>
      <c r="M3" s="3"/>
    </row>
    <row r="5" spans="1:15" ht="23.25">
      <c r="B5" s="623" t="s">
        <v>228</v>
      </c>
      <c r="C5" s="623"/>
      <c r="D5" s="623"/>
      <c r="E5" s="623"/>
      <c r="F5" s="623"/>
      <c r="G5" s="623"/>
      <c r="H5" s="623"/>
      <c r="I5" s="623"/>
      <c r="J5" s="623"/>
      <c r="K5" s="623"/>
      <c r="L5" s="623"/>
      <c r="M5" s="623"/>
      <c r="N5" s="623"/>
      <c r="O5" s="623"/>
    </row>
    <row r="7" spans="1:15" ht="21">
      <c r="B7" s="651" t="s">
        <v>217</v>
      </c>
      <c r="C7" s="652"/>
      <c r="D7" s="653"/>
      <c r="E7" s="651" t="s">
        <v>218</v>
      </c>
      <c r="F7" s="652"/>
      <c r="G7" s="652"/>
      <c r="H7" s="652"/>
      <c r="I7" s="653"/>
      <c r="J7" s="651" t="s">
        <v>219</v>
      </c>
      <c r="K7" s="652"/>
      <c r="L7" s="653"/>
      <c r="M7" s="651" t="s">
        <v>253</v>
      </c>
      <c r="N7" s="652"/>
      <c r="O7" s="653"/>
    </row>
    <row r="8" spans="1:15" ht="92.25" customHeight="1">
      <c r="B8" s="602" t="str">
        <f>+'Introducerea datelor'!B27</f>
        <v>F1: Bugetul și debursările de către Fondul Global</v>
      </c>
      <c r="C8" s="654"/>
      <c r="D8" s="655"/>
      <c r="E8" s="656" t="s">
        <v>272</v>
      </c>
      <c r="F8" s="657"/>
      <c r="G8" s="657"/>
      <c r="H8" s="657"/>
      <c r="I8" s="658"/>
      <c r="J8" s="627" t="s">
        <v>254</v>
      </c>
      <c r="K8" s="628"/>
      <c r="L8" s="629"/>
      <c r="M8" s="627" t="s">
        <v>273</v>
      </c>
      <c r="N8" s="628"/>
      <c r="O8" s="629"/>
    </row>
    <row r="9" spans="1:15" ht="110.25" customHeight="1">
      <c r="B9" s="602" t="str">
        <f>+'Introducerea datelor'!B36</f>
        <v>F2: Bugetul și cheltuielile actuale după Obiectivele Grantului</v>
      </c>
      <c r="C9" s="654"/>
      <c r="D9" s="655"/>
      <c r="E9" s="614" t="s">
        <v>262</v>
      </c>
      <c r="F9" s="615"/>
      <c r="G9" s="615"/>
      <c r="H9" s="615"/>
      <c r="I9" s="616"/>
      <c r="J9" s="627" t="s">
        <v>256</v>
      </c>
      <c r="K9" s="628"/>
      <c r="L9" s="629"/>
      <c r="M9" s="627" t="s">
        <v>273</v>
      </c>
      <c r="N9" s="628"/>
      <c r="O9" s="629"/>
    </row>
    <row r="10" spans="1:15" ht="231.75" customHeight="1">
      <c r="B10" s="660" t="str">
        <f>+'Introducerea datelor'!B49</f>
        <v>F3: Debursări și cheltuieli</v>
      </c>
      <c r="C10" s="663"/>
      <c r="D10" s="664"/>
      <c r="E10" s="614" t="s">
        <v>274</v>
      </c>
      <c r="F10" s="615"/>
      <c r="G10" s="615"/>
      <c r="H10" s="615"/>
      <c r="I10" s="616"/>
      <c r="J10" s="627" t="s">
        <v>263</v>
      </c>
      <c r="K10" s="628"/>
      <c r="L10" s="629"/>
      <c r="M10" s="627" t="s">
        <v>255</v>
      </c>
      <c r="N10" s="628"/>
      <c r="O10" s="629"/>
    </row>
    <row r="11" spans="1:15" ht="279.75" customHeight="1">
      <c r="B11" s="660" t="str">
        <f>+'Introducerea datelor'!B58</f>
        <v xml:space="preserve">F4: Ultima perioadă de raportare și debursare a RP </v>
      </c>
      <c r="C11" s="661"/>
      <c r="D11" s="662"/>
      <c r="E11" s="614" t="s">
        <v>277</v>
      </c>
      <c r="F11" s="615"/>
      <c r="G11" s="615"/>
      <c r="H11" s="615"/>
      <c r="I11" s="616"/>
      <c r="J11" s="627" t="s">
        <v>264</v>
      </c>
      <c r="K11" s="628"/>
      <c r="L11" s="629"/>
      <c r="M11" s="627" t="s">
        <v>222</v>
      </c>
      <c r="N11" s="628"/>
      <c r="O11" s="629"/>
    </row>
    <row r="12" spans="1:15" s="19" customFormat="1">
      <c r="B12" s="665"/>
      <c r="C12" s="665"/>
      <c r="D12" s="665"/>
      <c r="E12" s="659"/>
      <c r="F12" s="659"/>
      <c r="G12" s="659"/>
      <c r="H12" s="659"/>
      <c r="I12" s="659"/>
      <c r="J12" s="659"/>
      <c r="K12" s="659"/>
      <c r="L12" s="659"/>
      <c r="M12" s="659"/>
      <c r="N12" s="659"/>
      <c r="O12" s="659"/>
    </row>
    <row r="13" spans="1:15" s="19" customFormat="1" ht="9" customHeight="1">
      <c r="B13" s="649"/>
      <c r="C13" s="649"/>
      <c r="D13" s="649"/>
      <c r="E13" s="645"/>
      <c r="F13" s="645"/>
      <c r="G13" s="645"/>
      <c r="H13" s="645"/>
      <c r="I13" s="645"/>
      <c r="J13" s="645"/>
      <c r="K13" s="645"/>
      <c r="L13" s="645"/>
      <c r="M13" s="645"/>
      <c r="N13" s="645"/>
      <c r="O13" s="645"/>
    </row>
    <row r="14" spans="1:15" s="19" customFormat="1" ht="9.75" customHeight="1">
      <c r="B14" s="649"/>
      <c r="C14" s="649"/>
      <c r="D14" s="649"/>
      <c r="E14" s="645"/>
      <c r="F14" s="645"/>
      <c r="G14" s="645"/>
      <c r="H14" s="645"/>
      <c r="I14" s="645"/>
      <c r="J14" s="645"/>
      <c r="K14" s="645"/>
      <c r="L14" s="645"/>
      <c r="M14" s="645"/>
      <c r="N14" s="645"/>
      <c r="O14" s="645"/>
    </row>
    <row r="15" spans="1:15" s="19" customFormat="1">
      <c r="B15" s="649"/>
      <c r="C15" s="649"/>
      <c r="D15" s="649"/>
      <c r="E15" s="645"/>
      <c r="F15" s="645"/>
      <c r="G15" s="645"/>
      <c r="H15" s="645"/>
      <c r="I15" s="645"/>
      <c r="J15" s="645"/>
      <c r="K15" s="645"/>
      <c r="L15" s="645"/>
      <c r="M15" s="645"/>
      <c r="N15" s="645"/>
      <c r="O15" s="645"/>
    </row>
    <row r="16" spans="1:15" ht="18" customHeight="1">
      <c r="B16" s="623" t="s">
        <v>229</v>
      </c>
      <c r="C16" s="623"/>
      <c r="D16" s="623"/>
      <c r="E16" s="623"/>
      <c r="F16" s="623"/>
      <c r="G16" s="623"/>
      <c r="H16" s="623"/>
      <c r="I16" s="623"/>
      <c r="J16" s="623"/>
      <c r="K16" s="623"/>
      <c r="L16" s="623"/>
      <c r="M16" s="623"/>
      <c r="N16" s="623"/>
      <c r="O16" s="623"/>
    </row>
    <row r="17" spans="1:15" ht="9" customHeight="1"/>
    <row r="18" spans="1:15" ht="21">
      <c r="B18" s="646" t="s">
        <v>217</v>
      </c>
      <c r="C18" s="647"/>
      <c r="D18" s="648"/>
      <c r="E18" s="646" t="s">
        <v>218</v>
      </c>
      <c r="F18" s="647"/>
      <c r="G18" s="647"/>
      <c r="H18" s="647"/>
      <c r="I18" s="648"/>
      <c r="J18" s="646" t="s">
        <v>219</v>
      </c>
      <c r="K18" s="647"/>
      <c r="L18" s="648"/>
      <c r="M18" s="646" t="s">
        <v>220</v>
      </c>
      <c r="N18" s="647"/>
      <c r="O18" s="648"/>
    </row>
    <row r="19" spans="1:15" ht="114" customHeight="1">
      <c r="B19" s="602" t="str">
        <f>+'Introducerea datelor'!B69</f>
        <v xml:space="preserve">M1: Statutul Condițiilor Precedente și a Acțiunilor Prestabilite în Timp </v>
      </c>
      <c r="C19" s="603"/>
      <c r="D19" s="604"/>
      <c r="E19" s="614" t="s">
        <v>227</v>
      </c>
      <c r="F19" s="615"/>
      <c r="G19" s="615"/>
      <c r="H19" s="615"/>
      <c r="I19" s="616"/>
      <c r="J19" s="627" t="s">
        <v>257</v>
      </c>
      <c r="K19" s="628"/>
      <c r="L19" s="629"/>
      <c r="M19" s="627" t="s">
        <v>258</v>
      </c>
      <c r="N19" s="628"/>
      <c r="O19" s="629"/>
    </row>
    <row r="20" spans="1:15" ht="91.5" customHeight="1">
      <c r="B20" s="602" t="str">
        <f>+'Introducerea datelor'!B76</f>
        <v xml:space="preserve">M2: Statutul pozițiilor cheie a RP </v>
      </c>
      <c r="C20" s="603"/>
      <c r="D20" s="604"/>
      <c r="E20" s="614" t="s">
        <v>275</v>
      </c>
      <c r="F20" s="615"/>
      <c r="G20" s="615"/>
      <c r="H20" s="615"/>
      <c r="I20" s="616"/>
      <c r="J20" s="627" t="s">
        <v>224</v>
      </c>
      <c r="K20" s="628"/>
      <c r="L20" s="629"/>
      <c r="M20" s="627" t="s">
        <v>223</v>
      </c>
      <c r="N20" s="628"/>
      <c r="O20" s="629"/>
    </row>
    <row r="21" spans="1:15" ht="171.75" customHeight="1">
      <c r="B21" s="602" t="str">
        <f>+'Introducerea datelor'!B81</f>
        <v xml:space="preserve">M3: Aranjamente contractuale (SR) </v>
      </c>
      <c r="C21" s="603"/>
      <c r="D21" s="604"/>
      <c r="E21" s="617" t="s">
        <v>0</v>
      </c>
      <c r="F21" s="615"/>
      <c r="G21" s="615"/>
      <c r="H21" s="615"/>
      <c r="I21" s="616"/>
      <c r="J21" s="627" t="s">
        <v>259</v>
      </c>
      <c r="K21" s="628"/>
      <c r="L21" s="629"/>
      <c r="M21" s="627" t="s">
        <v>260</v>
      </c>
      <c r="N21" s="628"/>
      <c r="O21" s="629"/>
    </row>
    <row r="22" spans="1:15" ht="74.25" customHeight="1">
      <c r="B22" s="602" t="str">
        <f>+'Introducerea datelor'!B86</f>
        <v>M4: Numărul rapoartelor complete recepționate la timp</v>
      </c>
      <c r="C22" s="603"/>
      <c r="D22" s="604"/>
      <c r="E22" s="617" t="s">
        <v>278</v>
      </c>
      <c r="F22" s="618"/>
      <c r="G22" s="618"/>
      <c r="H22" s="618"/>
      <c r="I22" s="619"/>
      <c r="J22" s="627" t="s">
        <v>265</v>
      </c>
      <c r="K22" s="628"/>
      <c r="L22" s="629"/>
      <c r="M22" s="627" t="s">
        <v>225</v>
      </c>
      <c r="N22" s="628"/>
      <c r="O22" s="629"/>
    </row>
    <row r="23" spans="1:15" ht="135" customHeight="1">
      <c r="B23" s="605" t="str">
        <f>+'Introducerea datelor'!B92</f>
        <v xml:space="preserve">M5: Bugetul și Procurarea produselor medicale, echipamentului medical, medicamentelor și produselor farmaceutice </v>
      </c>
      <c r="C23" s="606"/>
      <c r="D23" s="607"/>
      <c r="E23" s="630" t="s">
        <v>266</v>
      </c>
      <c r="F23" s="631"/>
      <c r="G23" s="631"/>
      <c r="H23" s="631"/>
      <c r="I23" s="632"/>
      <c r="J23" s="576" t="s">
        <v>221</v>
      </c>
      <c r="K23" s="577"/>
      <c r="L23" s="578"/>
      <c r="M23" s="576" t="s">
        <v>226</v>
      </c>
      <c r="N23" s="577"/>
      <c r="O23" s="578"/>
    </row>
    <row r="24" spans="1:15" ht="97.5" customHeight="1">
      <c r="B24" s="608"/>
      <c r="C24" s="609"/>
      <c r="D24" s="610"/>
      <c r="E24" s="611" t="s">
        <v>261</v>
      </c>
      <c r="F24" s="612"/>
      <c r="G24" s="612"/>
      <c r="H24" s="612"/>
      <c r="I24" s="613"/>
      <c r="J24" s="579"/>
      <c r="K24" s="580"/>
      <c r="L24" s="581"/>
      <c r="M24" s="579"/>
      <c r="N24" s="580"/>
      <c r="O24" s="581"/>
    </row>
    <row r="25" spans="1:15" ht="196.5" customHeight="1">
      <c r="B25" s="602" t="str">
        <f>+'Introducerea datelor'!B105</f>
        <v>M6: Diferență între stocul curent și stocul de siguranță</v>
      </c>
      <c r="C25" s="603"/>
      <c r="D25" s="604"/>
      <c r="E25" s="633" t="s">
        <v>279</v>
      </c>
      <c r="F25" s="634"/>
      <c r="G25" s="634"/>
      <c r="H25" s="634"/>
      <c r="I25" s="635"/>
      <c r="J25" s="636" t="s">
        <v>267</v>
      </c>
      <c r="K25" s="637"/>
      <c r="L25" s="638"/>
      <c r="M25" s="639" t="s">
        <v>268</v>
      </c>
      <c r="N25" s="640"/>
      <c r="O25" s="641"/>
    </row>
    <row r="26" spans="1:15" ht="11.25" customHeight="1"/>
    <row r="28" spans="1:15" ht="7.5" customHeight="1"/>
    <row r="29" spans="1:15" ht="9.75" customHeight="1">
      <c r="B29" s="217"/>
    </row>
    <row r="30" spans="1:15" ht="21" customHeight="1">
      <c r="B30" s="623" t="s">
        <v>442</v>
      </c>
      <c r="C30" s="623"/>
      <c r="D30" s="623"/>
      <c r="E30" s="623"/>
      <c r="F30" s="623"/>
      <c r="G30" s="623"/>
      <c r="H30" s="623"/>
      <c r="I30" s="623"/>
      <c r="J30" s="623"/>
      <c r="K30" s="623"/>
      <c r="L30" s="623"/>
      <c r="M30" s="623"/>
      <c r="N30" s="623"/>
      <c r="O30" s="623"/>
    </row>
    <row r="31" spans="1:15" ht="12.75" customHeight="1"/>
    <row r="32" spans="1:15" ht="28.5" customHeight="1">
      <c r="A32" s="211"/>
      <c r="B32" s="624" t="s">
        <v>252</v>
      </c>
      <c r="C32" s="625"/>
      <c r="D32" s="626"/>
      <c r="E32" s="582" t="s">
        <v>471</v>
      </c>
      <c r="F32" s="583"/>
      <c r="G32" s="583"/>
      <c r="H32" s="583"/>
      <c r="I32" s="584"/>
      <c r="J32" s="582" t="s">
        <v>423</v>
      </c>
      <c r="K32" s="583"/>
      <c r="L32" s="584"/>
      <c r="M32" s="582" t="s">
        <v>424</v>
      </c>
      <c r="N32" s="583"/>
      <c r="O32" s="584"/>
    </row>
    <row r="33" spans="1:15" ht="66.75" customHeight="1">
      <c r="A33" s="212"/>
      <c r="B33" s="587" t="s">
        <v>441</v>
      </c>
      <c r="C33" s="588"/>
      <c r="D33" s="589"/>
      <c r="E33" s="573" t="s">
        <v>429</v>
      </c>
      <c r="F33" s="585"/>
      <c r="G33" s="585"/>
      <c r="H33" s="585"/>
      <c r="I33" s="586"/>
      <c r="J33" s="573" t="s">
        <v>425</v>
      </c>
      <c r="K33" s="574"/>
      <c r="L33" s="575"/>
      <c r="M33" s="573" t="s">
        <v>427</v>
      </c>
      <c r="N33" s="574"/>
      <c r="O33" s="575"/>
    </row>
    <row r="34" spans="1:15" ht="66.75" customHeight="1">
      <c r="A34" s="212"/>
      <c r="B34" s="587" t="s">
        <v>448</v>
      </c>
      <c r="C34" s="588"/>
      <c r="D34" s="589"/>
      <c r="E34" s="573" t="s">
        <v>447</v>
      </c>
      <c r="F34" s="585"/>
      <c r="G34" s="585"/>
      <c r="H34" s="585"/>
      <c r="I34" s="586"/>
      <c r="J34" s="573" t="s">
        <v>449</v>
      </c>
      <c r="K34" s="574"/>
      <c r="L34" s="575"/>
      <c r="M34" s="573" t="s">
        <v>443</v>
      </c>
      <c r="N34" s="574"/>
      <c r="O34" s="575"/>
    </row>
    <row r="35" spans="1:15" ht="74.25" customHeight="1">
      <c r="A35" s="212"/>
      <c r="B35" s="587" t="s">
        <v>450</v>
      </c>
      <c r="C35" s="588"/>
      <c r="D35" s="589"/>
      <c r="E35" s="573" t="s">
        <v>452</v>
      </c>
      <c r="F35" s="585"/>
      <c r="G35" s="585"/>
      <c r="H35" s="585"/>
      <c r="I35" s="586"/>
      <c r="J35" s="573" t="s">
        <v>425</v>
      </c>
      <c r="K35" s="574"/>
      <c r="L35" s="575"/>
      <c r="M35" s="573" t="s">
        <v>472</v>
      </c>
      <c r="N35" s="574"/>
      <c r="O35" s="575"/>
    </row>
    <row r="36" spans="1:15" ht="9.75" customHeight="1">
      <c r="A36" s="212"/>
      <c r="B36" s="642"/>
      <c r="C36" s="643"/>
      <c r="D36" s="644"/>
      <c r="E36" s="454"/>
      <c r="F36" s="452"/>
      <c r="G36" s="452"/>
      <c r="H36" s="452"/>
      <c r="I36" s="453"/>
      <c r="J36" s="454"/>
      <c r="K36" s="455"/>
      <c r="L36" s="456"/>
      <c r="M36" s="454"/>
      <c r="N36" s="455"/>
      <c r="O36" s="456"/>
    </row>
    <row r="37" spans="1:15" ht="76.5" customHeight="1">
      <c r="A37" s="212"/>
      <c r="B37" s="587" t="s">
        <v>451</v>
      </c>
      <c r="C37" s="588"/>
      <c r="D37" s="589"/>
      <c r="E37" s="573" t="s">
        <v>453</v>
      </c>
      <c r="F37" s="585"/>
      <c r="G37" s="585"/>
      <c r="H37" s="585"/>
      <c r="I37" s="586"/>
      <c r="J37" s="573" t="s">
        <v>425</v>
      </c>
      <c r="K37" s="574"/>
      <c r="L37" s="575"/>
      <c r="M37" s="573" t="s">
        <v>472</v>
      </c>
      <c r="N37" s="574"/>
      <c r="O37" s="575"/>
    </row>
    <row r="38" spans="1:15" ht="69" customHeight="1">
      <c r="A38" s="212"/>
      <c r="B38" s="587" t="s">
        <v>454</v>
      </c>
      <c r="C38" s="588"/>
      <c r="D38" s="589"/>
      <c r="E38" s="573" t="s">
        <v>430</v>
      </c>
      <c r="F38" s="574"/>
      <c r="G38" s="574"/>
      <c r="H38" s="574"/>
      <c r="I38" s="575"/>
      <c r="J38" s="573" t="s">
        <v>428</v>
      </c>
      <c r="K38" s="574"/>
      <c r="L38" s="575"/>
      <c r="M38" s="573" t="s">
        <v>426</v>
      </c>
      <c r="N38" s="574"/>
      <c r="O38" s="575"/>
    </row>
    <row r="39" spans="1:15" ht="64.5" customHeight="1">
      <c r="A39" s="212"/>
      <c r="B39" s="587" t="s">
        <v>455</v>
      </c>
      <c r="C39" s="588"/>
      <c r="D39" s="589"/>
      <c r="E39" s="573" t="s">
        <v>456</v>
      </c>
      <c r="F39" s="574"/>
      <c r="G39" s="574"/>
      <c r="H39" s="574"/>
      <c r="I39" s="575"/>
      <c r="J39" s="573" t="s">
        <v>428</v>
      </c>
      <c r="K39" s="574"/>
      <c r="L39" s="575"/>
      <c r="M39" s="573" t="s">
        <v>426</v>
      </c>
      <c r="N39" s="574"/>
      <c r="O39" s="575"/>
    </row>
    <row r="40" spans="1:15" ht="64.5" customHeight="1">
      <c r="A40" s="212"/>
      <c r="B40" s="587" t="s">
        <v>457</v>
      </c>
      <c r="C40" s="588"/>
      <c r="D40" s="589"/>
      <c r="E40" s="573" t="s">
        <v>458</v>
      </c>
      <c r="F40" s="574"/>
      <c r="G40" s="574"/>
      <c r="H40" s="574"/>
      <c r="I40" s="575"/>
      <c r="J40" s="573" t="s">
        <v>428</v>
      </c>
      <c r="K40" s="574"/>
      <c r="L40" s="575"/>
      <c r="M40" s="573" t="s">
        <v>426</v>
      </c>
      <c r="N40" s="574"/>
      <c r="O40" s="575"/>
    </row>
    <row r="41" spans="1:15" ht="64.5" customHeight="1">
      <c r="A41" s="212"/>
      <c r="B41" s="587" t="s">
        <v>459</v>
      </c>
      <c r="C41" s="588"/>
      <c r="D41" s="589"/>
      <c r="E41" s="573" t="s">
        <v>462</v>
      </c>
      <c r="F41" s="574"/>
      <c r="G41" s="574"/>
      <c r="H41" s="574"/>
      <c r="I41" s="575"/>
      <c r="J41" s="573" t="s">
        <v>460</v>
      </c>
      <c r="K41" s="574"/>
      <c r="L41" s="575"/>
      <c r="M41" s="573" t="s">
        <v>461</v>
      </c>
      <c r="N41" s="574"/>
      <c r="O41" s="575"/>
    </row>
    <row r="42" spans="1:15" ht="17.25" customHeight="1">
      <c r="A42" s="212"/>
      <c r="B42" s="587"/>
      <c r="C42" s="588"/>
      <c r="D42" s="589"/>
      <c r="E42" s="573"/>
      <c r="F42" s="574"/>
      <c r="G42" s="574"/>
      <c r="H42" s="574"/>
      <c r="I42" s="575"/>
      <c r="J42" s="573"/>
      <c r="K42" s="574"/>
      <c r="L42" s="575"/>
      <c r="M42" s="573"/>
      <c r="N42" s="574"/>
      <c r="O42" s="575"/>
    </row>
    <row r="43" spans="1:15" ht="15" customHeight="1">
      <c r="B43" s="599"/>
      <c r="C43" s="600"/>
      <c r="D43" s="601"/>
      <c r="E43" s="213"/>
      <c r="F43" s="214"/>
      <c r="G43" s="214"/>
      <c r="H43" s="214"/>
      <c r="I43" s="215"/>
      <c r="J43" s="222"/>
      <c r="K43" s="223"/>
      <c r="L43" s="224"/>
      <c r="M43" s="222"/>
      <c r="N43" s="223"/>
      <c r="O43" s="224"/>
    </row>
    <row r="44" spans="1:15" ht="44.25" customHeight="1">
      <c r="B44" s="593" t="s">
        <v>236</v>
      </c>
      <c r="C44" s="594"/>
      <c r="D44" s="595"/>
      <c r="E44" s="596" t="s">
        <v>218</v>
      </c>
      <c r="F44" s="597"/>
      <c r="G44" s="597"/>
      <c r="H44" s="597"/>
      <c r="I44" s="598"/>
      <c r="J44" s="596" t="s">
        <v>219</v>
      </c>
      <c r="K44" s="597"/>
      <c r="L44" s="598"/>
      <c r="M44" s="596" t="s">
        <v>220</v>
      </c>
      <c r="N44" s="597"/>
      <c r="O44" s="598"/>
    </row>
    <row r="45" spans="1:15" ht="33.75" customHeight="1">
      <c r="B45" s="208"/>
      <c r="C45" s="209"/>
      <c r="D45" s="209"/>
      <c r="E45" s="203"/>
      <c r="F45" s="205"/>
      <c r="G45" s="205"/>
      <c r="H45" s="205"/>
      <c r="I45" s="205"/>
      <c r="J45" s="203"/>
      <c r="K45" s="203"/>
      <c r="L45" s="204"/>
      <c r="M45" s="202"/>
      <c r="N45" s="203"/>
      <c r="O45" s="204"/>
    </row>
    <row r="46" spans="1:15" ht="15.75" customHeight="1">
      <c r="B46" s="590" t="s">
        <v>235</v>
      </c>
      <c r="C46" s="591"/>
      <c r="D46" s="591"/>
      <c r="E46" s="591"/>
      <c r="F46" s="591"/>
      <c r="G46" s="591"/>
      <c r="H46" s="591"/>
      <c r="I46" s="591"/>
      <c r="J46" s="591"/>
      <c r="K46" s="591"/>
      <c r="L46" s="592"/>
      <c r="M46" s="620" t="s">
        <v>230</v>
      </c>
      <c r="N46" s="621"/>
      <c r="O46" s="622"/>
    </row>
    <row r="47" spans="1:15">
      <c r="D47" s="189"/>
    </row>
    <row r="49" spans="4:4">
      <c r="D49" s="189"/>
    </row>
    <row r="50" spans="4:4">
      <c r="D50" s="189"/>
    </row>
  </sheetData>
  <mergeCells count="117">
    <mergeCell ref="B12:D12"/>
    <mergeCell ref="J10:L10"/>
    <mergeCell ref="J11:L11"/>
    <mergeCell ref="J12:L12"/>
    <mergeCell ref="E12:I12"/>
    <mergeCell ref="E10:I10"/>
    <mergeCell ref="B14:D14"/>
    <mergeCell ref="M14:O14"/>
    <mergeCell ref="B13:D13"/>
    <mergeCell ref="J13:L13"/>
    <mergeCell ref="E14:I14"/>
    <mergeCell ref="M22:O22"/>
    <mergeCell ref="B2:M2"/>
    <mergeCell ref="B5:O5"/>
    <mergeCell ref="M8:O8"/>
    <mergeCell ref="J8:L8"/>
    <mergeCell ref="E7:I7"/>
    <mergeCell ref="M9:O9"/>
    <mergeCell ref="B7:D7"/>
    <mergeCell ref="B8:D8"/>
    <mergeCell ref="B9:D9"/>
    <mergeCell ref="E9:I9"/>
    <mergeCell ref="E8:I8"/>
    <mergeCell ref="J7:L7"/>
    <mergeCell ref="M7:O7"/>
    <mergeCell ref="J14:L14"/>
    <mergeCell ref="M12:O12"/>
    <mergeCell ref="J9:L9"/>
    <mergeCell ref="M11:O11"/>
    <mergeCell ref="M13:O13"/>
    <mergeCell ref="M10:O10"/>
    <mergeCell ref="E13:I13"/>
    <mergeCell ref="B11:D11"/>
    <mergeCell ref="B10:D10"/>
    <mergeCell ref="E11:I11"/>
    <mergeCell ref="E15:I15"/>
    <mergeCell ref="J21:L21"/>
    <mergeCell ref="M21:O21"/>
    <mergeCell ref="B16:O16"/>
    <mergeCell ref="M18:O18"/>
    <mergeCell ref="B21:D21"/>
    <mergeCell ref="J20:L20"/>
    <mergeCell ref="E18:I18"/>
    <mergeCell ref="J18:L18"/>
    <mergeCell ref="J15:L15"/>
    <mergeCell ref="B15:D15"/>
    <mergeCell ref="M15:O15"/>
    <mergeCell ref="B18:D18"/>
    <mergeCell ref="B20:D20"/>
    <mergeCell ref="M46:O46"/>
    <mergeCell ref="B30:O30"/>
    <mergeCell ref="B32:D32"/>
    <mergeCell ref="E32:I32"/>
    <mergeCell ref="J32:L32"/>
    <mergeCell ref="M19:O19"/>
    <mergeCell ref="E19:I19"/>
    <mergeCell ref="J19:L19"/>
    <mergeCell ref="M44:O44"/>
    <mergeCell ref="M34:O34"/>
    <mergeCell ref="B19:D19"/>
    <mergeCell ref="M20:O20"/>
    <mergeCell ref="E23:I23"/>
    <mergeCell ref="J22:L22"/>
    <mergeCell ref="B22:D22"/>
    <mergeCell ref="E21:I21"/>
    <mergeCell ref="E25:I25"/>
    <mergeCell ref="J25:L25"/>
    <mergeCell ref="M25:O25"/>
    <mergeCell ref="B36:D36"/>
    <mergeCell ref="E42:I42"/>
    <mergeCell ref="B40:D40"/>
    <mergeCell ref="B42:D42"/>
    <mergeCell ref="E34:I34"/>
    <mergeCell ref="B25:D25"/>
    <mergeCell ref="B23:D24"/>
    <mergeCell ref="E24:I24"/>
    <mergeCell ref="J23:L24"/>
    <mergeCell ref="J34:L34"/>
    <mergeCell ref="J33:L33"/>
    <mergeCell ref="B39:D39"/>
    <mergeCell ref="E40:I40"/>
    <mergeCell ref="E20:I20"/>
    <mergeCell ref="E22:I22"/>
    <mergeCell ref="B41:D41"/>
    <mergeCell ref="E41:I41"/>
    <mergeCell ref="B46:L46"/>
    <mergeCell ref="B44:D44"/>
    <mergeCell ref="E44:I44"/>
    <mergeCell ref="J44:L44"/>
    <mergeCell ref="B33:D33"/>
    <mergeCell ref="B43:D43"/>
    <mergeCell ref="J39:L39"/>
    <mergeCell ref="J40:L40"/>
    <mergeCell ref="M39:O39"/>
    <mergeCell ref="M40:O40"/>
    <mergeCell ref="M23:O24"/>
    <mergeCell ref="M32:O32"/>
    <mergeCell ref="J42:L42"/>
    <mergeCell ref="M33:O33"/>
    <mergeCell ref="E33:I33"/>
    <mergeCell ref="B34:D34"/>
    <mergeCell ref="B35:D35"/>
    <mergeCell ref="E35:I35"/>
    <mergeCell ref="J35:L35"/>
    <mergeCell ref="M35:O35"/>
    <mergeCell ref="B37:D37"/>
    <mergeCell ref="B38:D38"/>
    <mergeCell ref="E37:I37"/>
    <mergeCell ref="E38:I38"/>
    <mergeCell ref="J37:L37"/>
    <mergeCell ref="J38:L38"/>
    <mergeCell ref="M42:O42"/>
    <mergeCell ref="M37:O37"/>
    <mergeCell ref="M38:O38"/>
    <mergeCell ref="M41:O41"/>
    <mergeCell ref="J41:L41"/>
    <mergeCell ref="E39:I39"/>
  </mergeCells>
  <phoneticPr fontId="23" type="noConversion"/>
  <pageMargins left="0.70866141732283472" right="0.70866141732283472" top="0.74803149606299213" bottom="0.74803149606299213" header="0.31496062992125984" footer="0.31496062992125984"/>
  <pageSetup paperSize="9" scale="53"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10" zoomScale="75" zoomScaleNormal="75" zoomScaleSheetLayoutView="70" workbookViewId="0">
      <selection activeCell="M10" sqref="M10"/>
    </sheetView>
  </sheetViews>
  <sheetFormatPr defaultColWidth="11" defaultRowHeight="15"/>
  <cols>
    <col min="1" max="1" width="2.7109375" customWidth="1"/>
    <col min="2" max="2" width="48" customWidth="1"/>
    <col min="3" max="3" width="23" customWidth="1"/>
    <col min="4" max="4" width="19.140625" customWidth="1"/>
    <col min="5" max="5" width="16.42578125" customWidth="1"/>
    <col min="6" max="6" width="17.42578125" customWidth="1"/>
    <col min="7" max="7" width="16.42578125" customWidth="1"/>
    <col min="8" max="8" width="12.5703125" customWidth="1"/>
    <col min="9" max="9" width="11.85546875" customWidth="1"/>
    <col min="10" max="10" width="13.28515625" customWidth="1"/>
    <col min="11" max="11" width="14.28515625" customWidth="1"/>
    <col min="12" max="12" width="15.28515625" customWidth="1"/>
    <col min="13" max="13" width="15.42578125" customWidth="1"/>
    <col min="14" max="14" width="14.28515625" style="35" customWidth="1"/>
    <col min="15" max="15" width="15.5703125" style="3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5" customWidth="1"/>
    <col min="35" max="35" width="3.28515625" style="35" customWidth="1"/>
    <col min="36" max="36" width="2.28515625" style="35"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93" t="s">
        <v>283</v>
      </c>
      <c r="C2" s="693"/>
      <c r="D2" s="693"/>
      <c r="E2" s="693"/>
      <c r="F2" s="693"/>
      <c r="G2" s="693"/>
      <c r="H2" s="693"/>
      <c r="I2" s="693"/>
      <c r="J2" s="693"/>
      <c r="K2" s="239"/>
      <c r="L2" s="239"/>
      <c r="M2" s="239"/>
    </row>
    <row r="3" spans="1:13" ht="4.5" customHeight="1">
      <c r="A3" s="3"/>
      <c r="B3" s="3"/>
      <c r="C3" s="3"/>
      <c r="D3" s="3"/>
      <c r="E3" s="3"/>
      <c r="F3" s="3"/>
      <c r="G3" s="3"/>
      <c r="H3" s="3"/>
      <c r="I3" s="3"/>
      <c r="J3" s="3"/>
      <c r="K3" s="3"/>
      <c r="L3" s="3"/>
      <c r="M3" s="3"/>
    </row>
    <row r="4" spans="1:13" ht="34.5" customHeight="1">
      <c r="A4" s="3"/>
      <c r="B4" s="238" t="s">
        <v>284</v>
      </c>
      <c r="C4" s="694" t="s">
        <v>157</v>
      </c>
      <c r="D4" s="695"/>
      <c r="E4" s="696" t="s">
        <v>288</v>
      </c>
      <c r="F4" s="696"/>
      <c r="G4" s="697" t="s">
        <v>310</v>
      </c>
      <c r="H4" s="698"/>
      <c r="I4" s="698"/>
      <c r="J4" s="699"/>
      <c r="K4" s="3"/>
      <c r="L4" s="3"/>
      <c r="M4" s="3"/>
    </row>
    <row r="5" spans="1:13" ht="3" customHeight="1">
      <c r="A5" s="3"/>
      <c r="B5" s="238"/>
      <c r="C5" s="3"/>
      <c r="D5" s="3"/>
      <c r="E5" s="240"/>
      <c r="F5" s="240"/>
      <c r="G5" s="3"/>
      <c r="H5" s="3"/>
      <c r="I5" s="3"/>
      <c r="J5" s="3"/>
      <c r="K5" s="3"/>
      <c r="L5" s="3"/>
      <c r="M5" s="3"/>
    </row>
    <row r="6" spans="1:13">
      <c r="A6" s="3"/>
      <c r="B6" s="238" t="s">
        <v>285</v>
      </c>
      <c r="C6" s="694" t="s">
        <v>390</v>
      </c>
      <c r="D6" s="695"/>
      <c r="E6" s="696" t="s">
        <v>289</v>
      </c>
      <c r="F6" s="696"/>
      <c r="G6" s="262" t="s">
        <v>15</v>
      </c>
      <c r="H6" s="238" t="s">
        <v>290</v>
      </c>
      <c r="I6" s="705">
        <v>12371649.98</v>
      </c>
      <c r="J6" s="706"/>
      <c r="K6" s="3"/>
      <c r="L6" s="3"/>
      <c r="M6" s="3"/>
    </row>
    <row r="7" spans="1:13" ht="3" customHeight="1">
      <c r="A7" s="3"/>
      <c r="B7" s="238"/>
      <c r="C7" s="3"/>
      <c r="D7" s="3"/>
      <c r="E7" s="240"/>
      <c r="F7" s="240"/>
      <c r="G7" s="3"/>
      <c r="H7" s="238"/>
      <c r="I7" s="3"/>
      <c r="J7" s="3"/>
      <c r="K7" s="3"/>
      <c r="L7" s="3"/>
      <c r="M7" s="3"/>
    </row>
    <row r="8" spans="1:13">
      <c r="A8" s="3"/>
      <c r="B8" s="238" t="s">
        <v>286</v>
      </c>
      <c r="C8" s="694" t="s">
        <v>282</v>
      </c>
      <c r="D8" s="695"/>
      <c r="E8" s="241"/>
      <c r="F8" s="237" t="s">
        <v>291</v>
      </c>
      <c r="G8" s="330" t="s">
        <v>270</v>
      </c>
      <c r="H8" s="237" t="s">
        <v>292</v>
      </c>
      <c r="I8" s="694" t="s">
        <v>474</v>
      </c>
      <c r="J8" s="695"/>
      <c r="K8" s="3"/>
      <c r="L8" s="3"/>
      <c r="M8" s="3"/>
    </row>
    <row r="9" spans="1:13" ht="3" customHeight="1">
      <c r="A9" s="3"/>
      <c r="B9" s="240"/>
      <c r="C9" s="3"/>
      <c r="D9" s="3"/>
      <c r="E9" s="240"/>
      <c r="F9" s="240"/>
      <c r="G9" s="3"/>
      <c r="H9" s="3"/>
      <c r="I9" s="3"/>
      <c r="J9" s="3"/>
      <c r="K9" s="3"/>
      <c r="L9" s="3"/>
      <c r="M9" s="3"/>
    </row>
    <row r="10" spans="1:13">
      <c r="A10" s="3"/>
      <c r="B10" s="238" t="s">
        <v>381</v>
      </c>
      <c r="C10" s="702">
        <v>40452</v>
      </c>
      <c r="D10" s="703"/>
      <c r="E10" s="704" t="s">
        <v>293</v>
      </c>
      <c r="F10" s="710"/>
      <c r="G10" s="694" t="s">
        <v>37</v>
      </c>
      <c r="H10" s="708"/>
      <c r="I10" s="708"/>
      <c r="J10" s="695"/>
      <c r="K10" s="3"/>
      <c r="L10" s="3"/>
      <c r="M10" s="3"/>
    </row>
    <row r="11" spans="1:13" ht="5.25" customHeight="1">
      <c r="A11" s="3"/>
      <c r="B11" s="3"/>
      <c r="C11" s="3"/>
      <c r="D11" s="3"/>
      <c r="E11" s="3"/>
      <c r="F11" s="3"/>
      <c r="G11" s="3"/>
      <c r="H11" s="3"/>
      <c r="I11" s="3"/>
      <c r="J11" s="3"/>
      <c r="K11" s="3"/>
      <c r="L11" s="3"/>
      <c r="M11" s="3"/>
    </row>
    <row r="12" spans="1:13" ht="15" customHeight="1">
      <c r="A12" s="3"/>
      <c r="B12" s="238" t="s">
        <v>287</v>
      </c>
      <c r="C12" s="750" t="s">
        <v>24</v>
      </c>
      <c r="D12" s="750"/>
      <c r="E12" s="704" t="s">
        <v>233</v>
      </c>
      <c r="F12" s="696"/>
      <c r="G12" s="707" t="s">
        <v>440</v>
      </c>
      <c r="H12" s="707"/>
      <c r="I12" s="707"/>
      <c r="J12" s="707"/>
      <c r="K12" s="3"/>
      <c r="L12" s="3"/>
      <c r="M12" s="3"/>
    </row>
    <row r="13" spans="1:13" ht="5.25" customHeight="1">
      <c r="A13" s="3"/>
      <c r="B13" s="3"/>
      <c r="C13" s="3"/>
      <c r="D13" s="3"/>
      <c r="E13" s="3"/>
      <c r="F13" s="3"/>
      <c r="G13" s="3"/>
      <c r="H13" s="3"/>
      <c r="I13" s="3"/>
      <c r="J13" s="3"/>
      <c r="K13" s="3"/>
      <c r="L13" s="3"/>
      <c r="M13" s="3"/>
    </row>
    <row r="14" spans="1:13" ht="15.75" customHeight="1">
      <c r="A14" s="3"/>
      <c r="B14" s="693" t="s">
        <v>294</v>
      </c>
      <c r="C14" s="693"/>
      <c r="D14" s="693"/>
      <c r="E14" s="693"/>
      <c r="F14" s="693"/>
      <c r="G14" s="693"/>
      <c r="H14" s="693"/>
      <c r="I14" s="693"/>
      <c r="J14" s="693"/>
      <c r="K14" s="3"/>
      <c r="L14" s="3"/>
      <c r="M14" s="3"/>
    </row>
    <row r="15" spans="1:13" ht="3" customHeight="1">
      <c r="A15" s="3"/>
      <c r="B15" s="3"/>
      <c r="C15" s="3"/>
      <c r="D15" s="3"/>
      <c r="E15" s="3"/>
      <c r="F15" s="3"/>
      <c r="G15" s="3"/>
      <c r="H15" s="3"/>
      <c r="I15" s="3"/>
      <c r="J15" s="3"/>
      <c r="K15" s="3"/>
      <c r="L15" s="3"/>
      <c r="M15" s="3"/>
    </row>
    <row r="16" spans="1:13" s="35" customFormat="1" ht="30" customHeight="1">
      <c r="A16" s="401"/>
      <c r="B16" s="402" t="s">
        <v>295</v>
      </c>
      <c r="C16" s="510" t="s">
        <v>64</v>
      </c>
      <c r="D16" s="511" t="s">
        <v>296</v>
      </c>
      <c r="E16" s="512">
        <v>41640</v>
      </c>
      <c r="F16" s="513" t="s">
        <v>297</v>
      </c>
      <c r="G16" s="512">
        <v>41820</v>
      </c>
      <c r="H16" s="700" t="s">
        <v>431</v>
      </c>
      <c r="I16" s="701"/>
      <c r="J16" s="512">
        <v>41927</v>
      </c>
      <c r="K16" s="401"/>
      <c r="L16" s="401"/>
      <c r="M16" s="401"/>
    </row>
    <row r="17" spans="1:35" ht="3" customHeight="1">
      <c r="A17" s="3"/>
      <c r="B17" s="3"/>
      <c r="C17" s="3"/>
      <c r="D17" s="3"/>
      <c r="E17" s="3"/>
      <c r="F17" s="3"/>
      <c r="G17" s="3"/>
      <c r="H17" s="3"/>
      <c r="I17" s="3"/>
      <c r="J17" s="3"/>
      <c r="K17" s="3"/>
      <c r="L17" s="3"/>
      <c r="M17" s="3"/>
    </row>
    <row r="18" spans="1:35">
      <c r="A18" s="3"/>
      <c r="B18" s="709" t="s">
        <v>384</v>
      </c>
      <c r="C18" s="710"/>
      <c r="D18" s="751" t="s">
        <v>282</v>
      </c>
      <c r="E18" s="751"/>
      <c r="F18" s="751"/>
      <c r="G18" s="242"/>
      <c r="H18" s="242"/>
      <c r="I18" s="242"/>
      <c r="J18" s="242"/>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93" t="s">
        <v>298</v>
      </c>
      <c r="C21" s="693"/>
      <c r="D21" s="693"/>
      <c r="E21" s="693"/>
      <c r="F21" s="693"/>
      <c r="G21" s="693"/>
      <c r="H21" s="693"/>
      <c r="I21" s="693"/>
      <c r="J21" s="693"/>
      <c r="K21" s="3"/>
      <c r="L21" s="3"/>
      <c r="M21" s="3"/>
    </row>
    <row r="22" spans="1:35">
      <c r="A22" s="3"/>
      <c r="B22" s="240" t="s">
        <v>433</v>
      </c>
      <c r="C22" s="3"/>
      <c r="D22" s="3"/>
      <c r="E22" s="243"/>
      <c r="F22" s="243"/>
      <c r="G22" s="3"/>
      <c r="H22" s="3"/>
      <c r="I22" s="243"/>
      <c r="J22" s="243"/>
      <c r="K22" s="3"/>
      <c r="L22" s="3"/>
      <c r="M22" s="3"/>
    </row>
    <row r="23" spans="1:35" ht="3" customHeight="1">
      <c r="A23" s="3"/>
      <c r="B23" s="3"/>
      <c r="C23" s="3"/>
      <c r="D23" s="3"/>
      <c r="E23" s="3"/>
      <c r="F23" s="3"/>
      <c r="G23" s="3"/>
      <c r="H23" s="3"/>
      <c r="I23" s="3"/>
      <c r="J23" s="3"/>
      <c r="K23" s="3"/>
      <c r="L23" s="3"/>
      <c r="M23" s="3"/>
    </row>
    <row r="24" spans="1:35" ht="15.75" thickBot="1">
      <c r="A24" s="3"/>
      <c r="B24" s="238" t="s">
        <v>299</v>
      </c>
      <c r="C24" s="322"/>
      <c r="D24" s="696" t="s">
        <v>300</v>
      </c>
      <c r="E24" s="696"/>
      <c r="F24" s="323"/>
      <c r="G24" s="696" t="s">
        <v>301</v>
      </c>
      <c r="H24" s="696"/>
      <c r="I24" s="748"/>
      <c r="J24" s="749"/>
      <c r="K24" s="3"/>
      <c r="L24" s="3"/>
      <c r="M24" s="3"/>
      <c r="N24" s="20"/>
    </row>
    <row r="25" spans="1:35" ht="26.25" customHeight="1" thickBot="1">
      <c r="A25" s="3"/>
      <c r="B25" s="86" t="s">
        <v>299</v>
      </c>
      <c r="C25" s="87"/>
      <c r="D25" s="87"/>
      <c r="E25" s="87"/>
      <c r="F25" s="87"/>
      <c r="G25" s="87"/>
      <c r="H25" s="227"/>
      <c r="I25" s="88"/>
      <c r="J25" s="88"/>
      <c r="K25" s="227" t="s">
        <v>432</v>
      </c>
      <c r="L25" s="87"/>
      <c r="M25" s="87"/>
      <c r="N25" s="338"/>
      <c r="O25" s="39"/>
      <c r="AI25" s="43"/>
    </row>
    <row r="26" spans="1:35">
      <c r="A26" s="3"/>
      <c r="B26" s="740" t="s">
        <v>302</v>
      </c>
      <c r="C26" s="741"/>
      <c r="D26" s="398" t="s">
        <v>2</v>
      </c>
      <c r="E26" s="90"/>
      <c r="F26" s="90"/>
      <c r="G26" s="90"/>
      <c r="H26" s="90"/>
      <c r="I26" s="90"/>
      <c r="J26" s="91"/>
      <c r="K26" s="90"/>
      <c r="L26" s="90"/>
      <c r="M26" s="90"/>
      <c r="N26" s="39"/>
      <c r="O26" s="39"/>
      <c r="AI26" s="43"/>
    </row>
    <row r="27" spans="1:35" ht="18.75">
      <c r="A27" s="3"/>
      <c r="B27" s="89" t="s">
        <v>303</v>
      </c>
      <c r="C27" s="90"/>
      <c r="D27" s="90"/>
      <c r="E27" s="90"/>
      <c r="F27" s="90"/>
      <c r="G27" s="90"/>
      <c r="H27" s="90"/>
      <c r="I27" s="90"/>
      <c r="J27" s="91"/>
      <c r="K27" s="90"/>
      <c r="L27" s="90"/>
      <c r="M27" s="90"/>
      <c r="N27" s="39"/>
      <c r="O27" s="39"/>
      <c r="AI27" s="43"/>
    </row>
    <row r="28" spans="1:35" ht="15.75" thickBot="1">
      <c r="A28" s="3"/>
      <c r="B28" s="3"/>
      <c r="C28" s="3"/>
      <c r="D28" s="3"/>
      <c r="E28" s="3"/>
      <c r="F28" s="3"/>
      <c r="G28" s="3"/>
      <c r="H28" s="3"/>
      <c r="I28" s="3"/>
      <c r="J28" s="3"/>
      <c r="K28" s="3"/>
      <c r="L28" s="3"/>
      <c r="M28" s="3"/>
    </row>
    <row r="29" spans="1:35" ht="15.75" thickBot="1">
      <c r="A29" s="3"/>
      <c r="B29" s="742" t="s">
        <v>307</v>
      </c>
      <c r="C29" s="743"/>
      <c r="D29" s="743"/>
      <c r="E29" s="743"/>
      <c r="F29" s="743"/>
      <c r="G29" s="743"/>
      <c r="H29" s="743"/>
      <c r="I29" s="743"/>
      <c r="J29" s="743"/>
      <c r="K29" s="743"/>
      <c r="L29" s="743"/>
      <c r="M29" s="743"/>
      <c r="N29" s="744"/>
      <c r="P29" s="175"/>
      <c r="Q29" s="176"/>
      <c r="R29" s="177">
        <f>+C33</f>
        <v>9172167.4499999993</v>
      </c>
      <c r="S29" s="175"/>
    </row>
    <row r="30" spans="1:35">
      <c r="A30" s="3"/>
      <c r="B30" s="92" t="s">
        <v>304</v>
      </c>
      <c r="C30" s="306" t="s">
        <v>62</v>
      </c>
      <c r="D30" s="306" t="s">
        <v>63</v>
      </c>
      <c r="E30" s="306" t="s">
        <v>64</v>
      </c>
      <c r="F30" s="306" t="s">
        <v>65</v>
      </c>
      <c r="G30" s="306" t="s">
        <v>72</v>
      </c>
      <c r="H30" s="306" t="s">
        <v>73</v>
      </c>
      <c r="I30" s="306" t="s">
        <v>74</v>
      </c>
      <c r="J30" s="306" t="s">
        <v>75</v>
      </c>
      <c r="K30" s="306" t="s">
        <v>76</v>
      </c>
      <c r="L30" s="306" t="s">
        <v>77</v>
      </c>
      <c r="M30" s="306" t="s">
        <v>78</v>
      </c>
      <c r="N30" s="307" t="s">
        <v>232</v>
      </c>
      <c r="O30" s="308" t="s">
        <v>316</v>
      </c>
      <c r="P30" s="175"/>
      <c r="Q30" s="491"/>
      <c r="R30" s="177">
        <f>+D33</f>
        <v>10668150.789999999</v>
      </c>
      <c r="S30" s="175"/>
    </row>
    <row r="31" spans="1:35">
      <c r="A31" s="3"/>
      <c r="B31" s="235" t="str">
        <f>CONCATENATE("Buget (in ",'Introducerea datelor'!$D$26,")")</f>
        <v>Buget (in €)</v>
      </c>
      <c r="C31" s="514">
        <v>2423956.81</v>
      </c>
      <c r="D31" s="514">
        <v>1495983.34</v>
      </c>
      <c r="E31" s="314">
        <v>1372440.97</v>
      </c>
      <c r="F31" s="314"/>
      <c r="G31" s="314"/>
      <c r="H31" s="429"/>
      <c r="I31" s="429"/>
      <c r="J31" s="314"/>
      <c r="K31" s="314"/>
      <c r="L31" s="314"/>
      <c r="M31" s="314"/>
      <c r="N31" s="314"/>
      <c r="O31" s="789">
        <f>+SUM(C35:N35)</f>
        <v>1.0274360203040387</v>
      </c>
      <c r="P31" s="175"/>
      <c r="Q31" s="491"/>
      <c r="R31" s="177">
        <f>+E33</f>
        <v>12040591.76</v>
      </c>
      <c r="S31" s="175"/>
    </row>
    <row r="32" spans="1:35">
      <c r="A32" s="3"/>
      <c r="B32" s="92" t="str">
        <f>CONCATENATE("Debursări de către FG (in ", $D$26,")")</f>
        <v>Debursări de către FG (in €)</v>
      </c>
      <c r="C32" s="514">
        <v>2872440.33</v>
      </c>
      <c r="D32" s="514">
        <v>2438194.39</v>
      </c>
      <c r="E32" s="315"/>
      <c r="F32" s="315"/>
      <c r="G32" s="315"/>
      <c r="H32" s="430"/>
      <c r="I32" s="429"/>
      <c r="J32" s="314"/>
      <c r="K32" s="314"/>
      <c r="L32" s="314"/>
      <c r="M32" s="314"/>
      <c r="N32" s="314"/>
      <c r="O32" s="790"/>
      <c r="P32" s="175"/>
      <c r="Q32" s="491"/>
      <c r="R32" s="177">
        <f>+F33</f>
        <v>0</v>
      </c>
      <c r="S32" s="175"/>
    </row>
    <row r="33" spans="1:35">
      <c r="A33" s="3"/>
      <c r="B33" s="93" t="s">
        <v>305</v>
      </c>
      <c r="C33" s="515">
        <v>9172167.4499999993</v>
      </c>
      <c r="D33" s="515">
        <f>IF(AND(D31=0,D32=0),0,+C33+D31)</f>
        <v>10668150.789999999</v>
      </c>
      <c r="E33" s="316">
        <f t="shared" ref="E33:N33" si="0">IF(AND(E31=0,E32=0),0,+D33+E31)</f>
        <v>12040591.76</v>
      </c>
      <c r="F33" s="316">
        <f t="shared" si="0"/>
        <v>0</v>
      </c>
      <c r="G33" s="316">
        <f t="shared" si="0"/>
        <v>0</v>
      </c>
      <c r="H33" s="431">
        <f t="shared" si="0"/>
        <v>0</v>
      </c>
      <c r="I33" s="431">
        <f t="shared" si="0"/>
        <v>0</v>
      </c>
      <c r="J33" s="316">
        <f t="shared" si="0"/>
        <v>0</v>
      </c>
      <c r="K33" s="316">
        <f t="shared" si="0"/>
        <v>0</v>
      </c>
      <c r="L33" s="316">
        <f t="shared" si="0"/>
        <v>0</v>
      </c>
      <c r="M33" s="316">
        <f t="shared" si="0"/>
        <v>0</v>
      </c>
      <c r="N33" s="316">
        <f t="shared" si="0"/>
        <v>0</v>
      </c>
      <c r="O33" s="790"/>
      <c r="P33" s="301"/>
      <c r="Q33" s="491"/>
      <c r="R33" s="177">
        <f>+G33</f>
        <v>0</v>
      </c>
      <c r="S33" s="175"/>
    </row>
    <row r="34" spans="1:35" ht="15.75" thickBot="1">
      <c r="A34" s="3"/>
      <c r="B34" s="94" t="s">
        <v>306</v>
      </c>
      <c r="C34" s="516">
        <v>9932743.2899999991</v>
      </c>
      <c r="D34" s="516">
        <f>IF(AND(D31=0,D32=0),0,+C34+D32)</f>
        <v>12370937.68</v>
      </c>
      <c r="E34" s="317">
        <f t="shared" ref="E34:N34" si="1">IF(AND(E31=0,E32=0),0,+D34+E32)</f>
        <v>12370937.68</v>
      </c>
      <c r="F34" s="317">
        <f t="shared" si="1"/>
        <v>0</v>
      </c>
      <c r="G34" s="317">
        <f>IF(AND(G31=0,G32=0),0,+F34+G32)</f>
        <v>0</v>
      </c>
      <c r="H34" s="432">
        <f t="shared" si="1"/>
        <v>0</v>
      </c>
      <c r="I34" s="432">
        <f t="shared" si="1"/>
        <v>0</v>
      </c>
      <c r="J34" s="317">
        <f t="shared" si="1"/>
        <v>0</v>
      </c>
      <c r="K34" s="317">
        <f t="shared" si="1"/>
        <v>0</v>
      </c>
      <c r="L34" s="317">
        <f t="shared" si="1"/>
        <v>0</v>
      </c>
      <c r="M34" s="317">
        <f t="shared" si="1"/>
        <v>0</v>
      </c>
      <c r="N34" s="317">
        <f t="shared" si="1"/>
        <v>0</v>
      </c>
      <c r="O34" s="791"/>
      <c r="P34" s="301"/>
      <c r="Q34" s="491"/>
      <c r="R34" s="177">
        <f>+H33</f>
        <v>0</v>
      </c>
      <c r="S34" s="175"/>
    </row>
    <row r="35" spans="1:35">
      <c r="A35" s="3"/>
      <c r="B35" s="3"/>
      <c r="C35" s="286">
        <f>+IF(AND(C30=$C$16,C33&lt;&gt;0),C34/C33,0)</f>
        <v>0</v>
      </c>
      <c r="D35" s="286">
        <f t="shared" ref="D35:N35" si="2">+IF(AND(D30=$C$16,D33&lt;&gt;0),D34/D33,0)</f>
        <v>0</v>
      </c>
      <c r="E35" s="286">
        <f t="shared" si="2"/>
        <v>1.0274360203040387</v>
      </c>
      <c r="F35" s="286">
        <f t="shared" si="2"/>
        <v>0</v>
      </c>
      <c r="G35" s="286">
        <f t="shared" si="2"/>
        <v>0</v>
      </c>
      <c r="H35" s="286">
        <f t="shared" si="2"/>
        <v>0</v>
      </c>
      <c r="I35" s="286">
        <f t="shared" si="2"/>
        <v>0</v>
      </c>
      <c r="J35" s="286">
        <f t="shared" si="2"/>
        <v>0</v>
      </c>
      <c r="K35" s="286">
        <f t="shared" si="2"/>
        <v>0</v>
      </c>
      <c r="L35" s="286">
        <f t="shared" si="2"/>
        <v>0</v>
      </c>
      <c r="M35" s="286">
        <f t="shared" si="2"/>
        <v>0</v>
      </c>
      <c r="N35" s="286">
        <f t="shared" si="2"/>
        <v>0</v>
      </c>
      <c r="O35" s="244"/>
      <c r="P35" s="178"/>
      <c r="Q35" s="492"/>
      <c r="R35" s="177">
        <f>+I33</f>
        <v>0</v>
      </c>
      <c r="S35" s="175"/>
    </row>
    <row r="36" spans="1:35" ht="18.75">
      <c r="A36" s="3"/>
      <c r="B36" s="89" t="s">
        <v>308</v>
      </c>
      <c r="C36" s="3"/>
      <c r="D36" s="3"/>
      <c r="E36" s="295"/>
      <c r="F36" s="3"/>
      <c r="G36" s="221"/>
      <c r="H36" s="3"/>
      <c r="I36" s="3"/>
      <c r="J36" s="3"/>
      <c r="K36" s="3"/>
      <c r="L36" s="3"/>
      <c r="M36" s="3"/>
      <c r="N36" s="40"/>
      <c r="O36" s="40"/>
      <c r="Q36" s="35"/>
      <c r="AI36" s="20"/>
    </row>
    <row r="37" spans="1:35" ht="15.75" thickBot="1">
      <c r="A37" s="3"/>
      <c r="B37" s="3"/>
      <c r="C37" s="3"/>
      <c r="D37" s="3"/>
      <c r="E37" s="3"/>
      <c r="F37" s="3"/>
      <c r="G37" s="3"/>
      <c r="H37" s="3"/>
      <c r="I37" s="3"/>
      <c r="J37" s="3"/>
      <c r="K37" s="3"/>
      <c r="L37" s="3"/>
      <c r="M37" s="3"/>
      <c r="N37" s="38"/>
      <c r="O37" s="38"/>
      <c r="Q37" s="35"/>
    </row>
    <row r="38" spans="1:35" ht="30" customHeight="1">
      <c r="A38" s="3"/>
      <c r="B38" s="324" t="s">
        <v>309</v>
      </c>
      <c r="C38" s="325" t="str">
        <f>CONCATENATE("Bugetul Cumulativ (în ",'Introducerea datelor'!$D$26,")")</f>
        <v>Bugetul Cumulativ (în €)</v>
      </c>
      <c r="D38" s="326" t="str">
        <f>CONCATENATE("Cheltuielile Cumulative (în ",'Introducerea datelor'!$D$26,")")</f>
        <v>Cheltuielile Cumulative (în €)</v>
      </c>
      <c r="E38" s="233"/>
      <c r="F38" s="246"/>
      <c r="G38" s="3"/>
      <c r="H38" s="3"/>
      <c r="I38" s="3"/>
      <c r="J38" s="99"/>
      <c r="K38" s="41"/>
      <c r="N38"/>
      <c r="O38"/>
      <c r="Q38" s="35"/>
      <c r="AE38" s="20"/>
      <c r="AF38" s="35"/>
    </row>
    <row r="39" spans="1:35" ht="46.5" customHeight="1">
      <c r="A39" s="3"/>
      <c r="B39" s="388" t="s">
        <v>311</v>
      </c>
      <c r="C39" s="433">
        <f>671890.36+9092.57+9092.57+9092.57</f>
        <v>699168.06999999983</v>
      </c>
      <c r="D39" s="434">
        <f>728120.53+102223.84+1753.49+4485.73-7432.68+4042.95-9165.31</f>
        <v>824028.54999999981</v>
      </c>
      <c r="E39" s="502"/>
      <c r="F39" s="303"/>
      <c r="G39" s="304"/>
      <c r="H39" s="3"/>
      <c r="I39" s="3"/>
      <c r="J39" s="100"/>
      <c r="K39" s="42"/>
      <c r="N39"/>
      <c r="O39"/>
      <c r="Q39" s="35"/>
      <c r="AE39" s="20"/>
      <c r="AF39" s="35"/>
    </row>
    <row r="40" spans="1:35" ht="31.5" customHeight="1">
      <c r="A40" s="3"/>
      <c r="B40" s="388" t="s">
        <v>312</v>
      </c>
      <c r="C40" s="433">
        <f>7238109.28+1410611.36+1276805</f>
        <v>9925525.6400000006</v>
      </c>
      <c r="D40" s="434">
        <f>5006646.89+2170340.92+1153058.14+1253806.94</f>
        <v>9583852.8899999987</v>
      </c>
      <c r="E40" s="15"/>
      <c r="F40" s="303"/>
      <c r="G40" s="304"/>
      <c r="H40" s="3"/>
      <c r="I40" s="3"/>
      <c r="J40" s="3"/>
      <c r="K40" s="42"/>
      <c r="N40"/>
      <c r="O40"/>
      <c r="Q40" s="35"/>
      <c r="AE40" s="20"/>
      <c r="AF40" s="35"/>
    </row>
    <row r="41" spans="1:35" ht="48" customHeight="1">
      <c r="A41" s="3"/>
      <c r="B41" s="388" t="s">
        <v>313</v>
      </c>
      <c r="C41" s="435">
        <v>424100</v>
      </c>
      <c r="D41" s="434">
        <v>256477.4</v>
      </c>
      <c r="E41" s="15"/>
      <c r="F41" s="305"/>
      <c r="G41" s="3"/>
      <c r="H41" s="3"/>
      <c r="I41" s="3"/>
      <c r="J41" s="3"/>
      <c r="K41" s="42"/>
      <c r="N41"/>
      <c r="O41"/>
      <c r="Q41" s="35"/>
      <c r="AE41" s="20"/>
      <c r="AF41" s="35"/>
    </row>
    <row r="42" spans="1:35" ht="30" customHeight="1">
      <c r="A42" s="3"/>
      <c r="B42" s="388" t="s">
        <v>314</v>
      </c>
      <c r="C42" s="433">
        <v>104794</v>
      </c>
      <c r="D42" s="434">
        <v>92909.55</v>
      </c>
      <c r="E42" s="15"/>
      <c r="F42" s="302"/>
      <c r="G42" s="3"/>
      <c r="H42" s="3"/>
      <c r="I42" s="3"/>
      <c r="J42" s="3"/>
      <c r="K42" s="20"/>
      <c r="N42"/>
      <c r="O42"/>
      <c r="Q42" s="35"/>
      <c r="AE42" s="20"/>
      <c r="AF42" s="35"/>
    </row>
    <row r="43" spans="1:35">
      <c r="A43" s="3"/>
      <c r="B43" s="389" t="s">
        <v>315</v>
      </c>
      <c r="C43" s="435">
        <f>627837.84+96343.4+76279.41+86543.4</f>
        <v>887004.05</v>
      </c>
      <c r="D43" s="434">
        <f>652418.29+79845.89+85624.61+91873.36</f>
        <v>909762.15</v>
      </c>
      <c r="E43" s="15"/>
      <c r="F43" s="245"/>
      <c r="G43" s="3"/>
      <c r="H43" s="3"/>
      <c r="I43" s="3"/>
      <c r="J43" s="3"/>
      <c r="K43" s="20"/>
      <c r="N43"/>
      <c r="O43"/>
      <c r="Q43" s="35"/>
      <c r="AE43" s="20"/>
      <c r="AF43" s="35"/>
    </row>
    <row r="44" spans="1:35">
      <c r="A44" s="3"/>
      <c r="B44" s="389" t="s">
        <v>436</v>
      </c>
      <c r="C44" s="435"/>
      <c r="D44" s="434">
        <f>58814.1+5304.98+916.65+34</f>
        <v>65069.73</v>
      </c>
      <c r="E44" s="15"/>
      <c r="F44" s="346"/>
      <c r="G44" s="3"/>
      <c r="H44" s="3"/>
      <c r="I44" s="3"/>
      <c r="J44" s="3"/>
      <c r="K44" s="20"/>
      <c r="N44"/>
      <c r="O44"/>
      <c r="Q44" s="35"/>
      <c r="AE44" s="20"/>
      <c r="AF44" s="35"/>
    </row>
    <row r="45" spans="1:35">
      <c r="A45" s="3"/>
      <c r="B45" s="327"/>
      <c r="C45" s="435"/>
      <c r="D45" s="434"/>
      <c r="E45" s="15"/>
      <c r="F45" s="245"/>
      <c r="G45" s="15"/>
      <c r="H45" s="15"/>
      <c r="I45" s="15"/>
      <c r="J45" s="15"/>
      <c r="K45" s="20"/>
      <c r="N45"/>
      <c r="O45"/>
      <c r="Q45" s="35"/>
      <c r="AE45" s="35"/>
      <c r="AF45" s="35"/>
    </row>
    <row r="46" spans="1:35" ht="15.75" thickBot="1">
      <c r="A46" s="3"/>
      <c r="B46" s="328"/>
      <c r="C46" s="433"/>
      <c r="D46" s="434"/>
      <c r="E46" s="15"/>
      <c r="F46" s="15"/>
      <c r="G46" s="15"/>
      <c r="H46" s="15"/>
      <c r="I46" s="15"/>
      <c r="J46" s="15"/>
      <c r="K46" s="20"/>
      <c r="N46"/>
      <c r="O46"/>
      <c r="Q46" s="35"/>
      <c r="AE46" s="35"/>
      <c r="AF46" s="35"/>
    </row>
    <row r="47" spans="1:35" ht="15.75" thickBot="1">
      <c r="A47" s="3"/>
      <c r="B47" s="329" t="s">
        <v>39</v>
      </c>
      <c r="C47" s="436">
        <f>SUM(C39:C43)</f>
        <v>12040591.760000002</v>
      </c>
      <c r="D47" s="437">
        <f>SUM(D39:D44)</f>
        <v>11732100.27</v>
      </c>
      <c r="E47" s="244"/>
      <c r="F47" s="797" t="str">
        <f ca="1">+IF((ROUND(C47,0)=ROUND(OFFSET(B33,0,RIGHT('Introducerea datelor'!$C$16,LEN('Introducerea datelor'!$C$16)-1),1,1),0)),"OK: Data match","Warning: Data does not match")</f>
        <v>OK: Data match</v>
      </c>
      <c r="G47" s="798"/>
      <c r="H47" s="798"/>
      <c r="I47" s="799"/>
      <c r="N47" s="179"/>
      <c r="O47" s="177"/>
      <c r="P47" s="175"/>
      <c r="Q47" s="35"/>
      <c r="AE47" s="35"/>
      <c r="AF47" s="35"/>
    </row>
    <row r="48" spans="1:35">
      <c r="A48" s="3"/>
      <c r="B48" s="3"/>
      <c r="C48" s="170"/>
      <c r="D48" s="170"/>
      <c r="E48" s="230"/>
      <c r="F48" s="170"/>
      <c r="G48" s="170"/>
      <c r="H48" s="170"/>
      <c r="I48" s="170"/>
      <c r="J48" s="170"/>
      <c r="K48" s="170"/>
      <c r="L48" s="170"/>
      <c r="M48" s="170"/>
      <c r="N48" s="170"/>
      <c r="O48" s="170"/>
      <c r="P48" s="178"/>
      <c r="Q48" s="492"/>
      <c r="R48" s="177"/>
      <c r="S48" s="175"/>
    </row>
    <row r="49" spans="1:35" ht="18.75">
      <c r="A49" s="3"/>
      <c r="B49" s="89" t="s">
        <v>317</v>
      </c>
      <c r="C49" s="3"/>
      <c r="D49" s="3"/>
      <c r="E49" s="3"/>
      <c r="F49" s="3"/>
      <c r="G49" s="3"/>
      <c r="H49" s="3"/>
      <c r="I49" s="3"/>
      <c r="J49" s="3"/>
      <c r="K49" s="3"/>
      <c r="L49" s="3"/>
      <c r="M49" s="3"/>
      <c r="P49" s="175"/>
      <c r="Q49" s="491"/>
      <c r="R49" s="177">
        <f>+J33</f>
        <v>0</v>
      </c>
      <c r="S49" s="175"/>
    </row>
    <row r="50" spans="1:35" ht="15.75" thickBot="1">
      <c r="A50" s="3"/>
      <c r="B50" s="3"/>
      <c r="C50" s="3"/>
      <c r="D50" s="3"/>
      <c r="E50" s="3"/>
      <c r="F50" s="3"/>
      <c r="G50" s="3"/>
      <c r="H50" s="3"/>
      <c r="I50" s="3"/>
      <c r="J50" s="3"/>
      <c r="K50" s="3"/>
      <c r="L50" s="3"/>
      <c r="M50" s="3"/>
      <c r="P50" s="175"/>
      <c r="Q50" s="176"/>
      <c r="R50" s="177">
        <f>+K33</f>
        <v>0</v>
      </c>
      <c r="S50" s="175"/>
    </row>
    <row r="51" spans="1:35" ht="35.25" customHeight="1">
      <c r="A51" s="3"/>
      <c r="B51" s="249"/>
      <c r="C51" s="250" t="s">
        <v>322</v>
      </c>
      <c r="D51" s="250" t="s">
        <v>323</v>
      </c>
      <c r="E51" s="344" t="str">
        <f>CONCATENATE("Total Cheltuit și debursat (în ",D26,")")</f>
        <v>Total Cheltuit și debursat (în €)</v>
      </c>
      <c r="F51" s="401"/>
      <c r="G51" s="493"/>
      <c r="H51" s="246"/>
      <c r="I51" s="236"/>
      <c r="J51" s="236"/>
      <c r="K51" s="236"/>
      <c r="L51" s="236"/>
      <c r="M51" s="21"/>
      <c r="N51" s="21"/>
      <c r="O51" s="175"/>
      <c r="P51" s="176"/>
      <c r="Q51" s="177">
        <f>+M33</f>
        <v>0</v>
      </c>
      <c r="R51" s="175"/>
      <c r="AH51" s="20"/>
    </row>
    <row r="52" spans="1:35">
      <c r="A52" s="3"/>
      <c r="B52" s="247" t="s">
        <v>318</v>
      </c>
      <c r="C52" s="438">
        <v>12370937.68</v>
      </c>
      <c r="D52" s="439"/>
      <c r="E52" s="318">
        <f>+D52+C52</f>
        <v>12370937.68</v>
      </c>
      <c r="F52" s="401"/>
      <c r="G52" s="494"/>
      <c r="H52" s="251"/>
      <c r="I52" s="95"/>
      <c r="J52" s="172"/>
      <c r="K52" s="173"/>
      <c r="L52" s="96"/>
      <c r="M52" s="36"/>
      <c r="N52" s="36"/>
      <c r="O52" s="175"/>
      <c r="P52" s="175"/>
      <c r="Q52" s="175"/>
      <c r="R52" s="175"/>
      <c r="AH52" s="20"/>
    </row>
    <row r="53" spans="1:35">
      <c r="A53" s="3"/>
      <c r="B53" s="247" t="s">
        <v>319</v>
      </c>
      <c r="C53" s="438">
        <v>10391508.33</v>
      </c>
      <c r="D53" s="438">
        <v>1340591.94</v>
      </c>
      <c r="E53" s="318">
        <f>+D53+C53</f>
        <v>11732100.27</v>
      </c>
      <c r="F53" s="401"/>
      <c r="G53" s="495"/>
      <c r="H53" s="251"/>
      <c r="I53" s="95"/>
      <c r="J53" s="172"/>
      <c r="K53" s="172"/>
      <c r="L53" s="96"/>
      <c r="M53" s="37"/>
      <c r="N53" s="37"/>
      <c r="O53" s="175"/>
      <c r="P53" s="175"/>
      <c r="Q53" s="175"/>
      <c r="R53" s="175"/>
      <c r="AH53" s="20"/>
    </row>
    <row r="54" spans="1:35">
      <c r="A54" s="3"/>
      <c r="B54" s="247" t="s">
        <v>320</v>
      </c>
      <c r="C54" s="438">
        <v>194116.33000000002</v>
      </c>
      <c r="D54" s="438">
        <v>0</v>
      </c>
      <c r="E54" s="318">
        <f>+D54+C54</f>
        <v>194116.33000000002</v>
      </c>
      <c r="F54" s="401"/>
      <c r="G54" s="494"/>
      <c r="H54" s="251"/>
      <c r="I54" s="95"/>
      <c r="J54" s="172"/>
      <c r="K54" s="173"/>
      <c r="L54" s="96"/>
      <c r="M54" s="36"/>
      <c r="N54" s="36"/>
      <c r="O54"/>
      <c r="AH54" s="20"/>
    </row>
    <row r="55" spans="1:35" ht="15.75" thickBot="1">
      <c r="A55" s="3"/>
      <c r="B55" s="248" t="s">
        <v>321</v>
      </c>
      <c r="C55" s="440">
        <v>194116.33</v>
      </c>
      <c r="D55" s="440">
        <v>0</v>
      </c>
      <c r="E55" s="319">
        <f>+D55+C55</f>
        <v>194116.33</v>
      </c>
      <c r="F55" s="401"/>
      <c r="G55" s="496"/>
      <c r="H55" s="252"/>
      <c r="I55" s="97"/>
      <c r="J55" s="97"/>
      <c r="K55" s="97"/>
      <c r="L55" s="96"/>
      <c r="M55" s="37"/>
      <c r="N55" s="37"/>
      <c r="O55"/>
      <c r="AH55" s="20"/>
    </row>
    <row r="56" spans="1:35" ht="15.75" customHeight="1">
      <c r="A56" s="3"/>
      <c r="B56" s="3"/>
      <c r="C56" s="3"/>
      <c r="D56" s="3"/>
      <c r="E56" s="3"/>
      <c r="F56" s="3"/>
      <c r="G56" s="3"/>
      <c r="H56" s="3"/>
      <c r="I56" s="3"/>
      <c r="J56" s="3"/>
      <c r="K56" s="3"/>
      <c r="L56" s="3"/>
      <c r="M56" s="3"/>
      <c r="AI56" s="20"/>
    </row>
    <row r="57" spans="1:35">
      <c r="A57" s="3"/>
      <c r="B57" s="3"/>
      <c r="C57" s="3"/>
      <c r="D57" s="234"/>
      <c r="E57" s="3"/>
      <c r="F57" s="3"/>
      <c r="G57" s="3"/>
      <c r="H57" s="3"/>
      <c r="I57" s="3"/>
      <c r="J57" s="3"/>
      <c r="K57" s="3"/>
      <c r="L57" s="3"/>
      <c r="M57" s="3"/>
    </row>
    <row r="58" spans="1:35" ht="18.75">
      <c r="A58" s="3"/>
      <c r="B58" s="89" t="s">
        <v>386</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45" t="s">
        <v>324</v>
      </c>
      <c r="C60" s="746"/>
      <c r="D60" s="747"/>
      <c r="E60" s="3"/>
      <c r="F60" s="3"/>
      <c r="G60" s="3"/>
      <c r="H60" s="3"/>
      <c r="I60" s="3"/>
      <c r="J60" s="3"/>
      <c r="K60" s="3"/>
      <c r="L60" s="3"/>
      <c r="M60" s="35"/>
      <c r="O60"/>
    </row>
    <row r="61" spans="1:35">
      <c r="A61" s="3"/>
      <c r="B61" s="101"/>
      <c r="C61" s="254" t="s">
        <v>325</v>
      </c>
      <c r="D61" s="255" t="s">
        <v>326</v>
      </c>
      <c r="E61" s="3"/>
      <c r="F61" s="3"/>
      <c r="G61" s="3"/>
      <c r="H61" s="3"/>
      <c r="I61" s="3"/>
      <c r="J61" s="3"/>
      <c r="K61" s="3"/>
      <c r="L61" s="3"/>
      <c r="M61" s="35"/>
      <c r="O61"/>
    </row>
    <row r="62" spans="1:35">
      <c r="A62" s="3"/>
      <c r="B62" s="102" t="s">
        <v>327</v>
      </c>
      <c r="C62" s="518">
        <v>0</v>
      </c>
      <c r="D62" s="486">
        <v>0</v>
      </c>
      <c r="E62" s="3"/>
      <c r="F62" s="401"/>
      <c r="G62" s="3"/>
      <c r="H62" s="3"/>
      <c r="I62" s="3"/>
      <c r="J62" s="3"/>
      <c r="K62" s="3"/>
      <c r="L62" s="3"/>
      <c r="M62" s="35"/>
      <c r="O62"/>
    </row>
    <row r="63" spans="1:35">
      <c r="A63" s="3"/>
      <c r="B63" s="253" t="s">
        <v>328</v>
      </c>
      <c r="C63" s="518">
        <v>0</v>
      </c>
      <c r="D63" s="486">
        <v>0</v>
      </c>
      <c r="E63" s="3"/>
      <c r="F63" s="3"/>
      <c r="G63" s="3"/>
      <c r="H63" s="251"/>
      <c r="I63" s="251"/>
      <c r="J63" s="3"/>
      <c r="K63" s="3"/>
      <c r="L63" s="3"/>
      <c r="M63" s="35"/>
      <c r="O63"/>
    </row>
    <row r="64" spans="1:35" ht="15.75" thickBot="1">
      <c r="A64" s="3"/>
      <c r="B64" s="103" t="s">
        <v>329</v>
      </c>
      <c r="C64" s="487">
        <v>0</v>
      </c>
      <c r="D64" s="488">
        <v>0</v>
      </c>
      <c r="E64" s="3"/>
      <c r="F64" s="3"/>
      <c r="G64" s="3"/>
      <c r="H64" s="251"/>
      <c r="I64" s="251"/>
      <c r="J64" s="3"/>
      <c r="K64" s="3"/>
      <c r="L64" s="3"/>
      <c r="M64" s="35"/>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340"/>
      <c r="M66" s="3"/>
      <c r="AC66" s="19"/>
      <c r="AD66" s="19"/>
    </row>
    <row r="67" spans="1:30" ht="19.5" thickBot="1">
      <c r="A67" s="3"/>
      <c r="B67" s="104" t="s">
        <v>332</v>
      </c>
      <c r="C67" s="105"/>
      <c r="D67" s="105"/>
      <c r="E67" s="105"/>
      <c r="F67" s="105"/>
      <c r="G67" s="105" t="s">
        <v>331</v>
      </c>
      <c r="H67" s="393"/>
      <c r="I67" s="105"/>
      <c r="J67" s="106"/>
      <c r="K67" s="106"/>
      <c r="L67" s="341"/>
      <c r="M67" s="342"/>
      <c r="N67" s="83"/>
      <c r="O67" s="83"/>
      <c r="P67" s="83"/>
      <c r="S67" s="43"/>
      <c r="AC67" s="19"/>
      <c r="AD67" s="19"/>
    </row>
    <row r="68" spans="1:30" ht="18.75">
      <c r="A68" s="3"/>
      <c r="B68" s="108"/>
      <c r="C68" s="107"/>
      <c r="D68" s="107"/>
      <c r="E68" s="107"/>
      <c r="F68" s="107"/>
      <c r="G68" s="107"/>
      <c r="H68" s="107"/>
      <c r="I68" s="107"/>
      <c r="J68" s="107"/>
      <c r="K68" s="109"/>
      <c r="L68" s="109"/>
      <c r="M68" s="107"/>
      <c r="N68" s="83"/>
      <c r="O68" s="83"/>
      <c r="P68" s="83"/>
      <c r="S68" s="43"/>
      <c r="AC68" s="19"/>
      <c r="AD68" s="19"/>
    </row>
    <row r="69" spans="1:30" ht="18.75">
      <c r="A69" s="3"/>
      <c r="B69" s="108" t="s">
        <v>333</v>
      </c>
      <c r="C69" s="107"/>
      <c r="D69" s="107"/>
      <c r="E69" s="107"/>
      <c r="F69" s="107"/>
      <c r="G69" s="107"/>
      <c r="H69" s="107"/>
      <c r="I69" s="107"/>
      <c r="J69" s="107"/>
      <c r="K69" s="109"/>
      <c r="L69" s="109"/>
      <c r="M69" s="107"/>
      <c r="N69" s="83"/>
      <c r="O69" s="83"/>
      <c r="P69" s="83"/>
      <c r="S69" s="43"/>
      <c r="AC69" s="19"/>
      <c r="AD69" s="19"/>
    </row>
    <row r="70" spans="1:30" ht="15.75" thickBot="1">
      <c r="A70" s="3"/>
      <c r="B70" s="2"/>
      <c r="C70" s="110"/>
      <c r="D70" s="110"/>
      <c r="E70" s="110"/>
      <c r="F70" s="110"/>
      <c r="G70" s="110"/>
      <c r="H70" s="2"/>
      <c r="I70" s="110"/>
      <c r="J70" s="2"/>
      <c r="K70" s="2"/>
      <c r="L70" s="2"/>
      <c r="M70" s="2"/>
      <c r="N70" s="20"/>
      <c r="O70" s="19"/>
      <c r="P70" s="19"/>
      <c r="Q70" s="19"/>
      <c r="R70" s="19"/>
      <c r="S70" s="19"/>
      <c r="AD70" s="19"/>
    </row>
    <row r="71" spans="1:30" ht="60">
      <c r="A71" s="3"/>
      <c r="B71" s="738"/>
      <c r="C71" s="739"/>
      <c r="D71" s="111" t="s">
        <v>336</v>
      </c>
      <c r="E71" s="112" t="s">
        <v>337</v>
      </c>
      <c r="F71" s="112" t="s">
        <v>338</v>
      </c>
      <c r="G71" s="113" t="s">
        <v>39</v>
      </c>
      <c r="H71" s="259"/>
      <c r="I71" s="260"/>
      <c r="J71" s="15"/>
      <c r="K71" s="2"/>
      <c r="L71" s="2"/>
      <c r="M71" s="2"/>
      <c r="N71" s="20"/>
      <c r="O71" s="19"/>
      <c r="P71" s="19"/>
      <c r="Q71" s="19"/>
      <c r="R71" s="19"/>
      <c r="S71" s="19"/>
    </row>
    <row r="72" spans="1:30">
      <c r="A72" s="3"/>
      <c r="B72" s="711" t="s">
        <v>334</v>
      </c>
      <c r="C72" s="712"/>
      <c r="D72" s="219">
        <v>4</v>
      </c>
      <c r="E72" s="219"/>
      <c r="F72" s="219"/>
      <c r="G72" s="517">
        <f>SUM(D72:F72)</f>
        <v>4</v>
      </c>
      <c r="H72" s="245"/>
      <c r="I72" s="258"/>
      <c r="J72" s="258"/>
      <c r="K72" s="2" t="s">
        <v>330</v>
      </c>
      <c r="L72" s="2"/>
      <c r="M72" s="2"/>
      <c r="N72" s="20"/>
      <c r="O72" s="19"/>
      <c r="P72" s="19"/>
      <c r="Q72" s="19"/>
      <c r="R72" s="19"/>
      <c r="S72" s="19"/>
    </row>
    <row r="73" spans="1:30" ht="15.75" thickBot="1">
      <c r="A73" s="3"/>
      <c r="B73" s="736" t="s">
        <v>335</v>
      </c>
      <c r="C73" s="737"/>
      <c r="D73" s="220"/>
      <c r="E73" s="220"/>
      <c r="F73" s="220"/>
      <c r="G73" s="116">
        <f>SUM(D73:F73)</f>
        <v>0</v>
      </c>
      <c r="H73" s="245"/>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08" t="s">
        <v>339</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7"/>
      <c r="C78" s="392" t="s">
        <v>340</v>
      </c>
      <c r="D78" s="392" t="s">
        <v>341</v>
      </c>
      <c r="E78" s="118" t="s">
        <v>342</v>
      </c>
      <c r="F78" s="15"/>
      <c r="G78" s="15"/>
      <c r="H78" s="15"/>
      <c r="I78" s="260"/>
      <c r="J78" s="2"/>
      <c r="K78" s="2"/>
      <c r="L78" s="2"/>
      <c r="M78" s="2"/>
      <c r="N78" s="19"/>
      <c r="O78" s="19"/>
      <c r="P78" s="19"/>
      <c r="S78" s="19"/>
    </row>
    <row r="79" spans="1:30" ht="15.75" thickBot="1">
      <c r="A79" s="3"/>
      <c r="B79" s="119" t="s">
        <v>282</v>
      </c>
      <c r="C79" s="519">
        <v>6</v>
      </c>
      <c r="D79" s="519">
        <v>6</v>
      </c>
      <c r="E79" s="520">
        <f>+C79-D79</f>
        <v>0</v>
      </c>
      <c r="F79" s="226"/>
      <c r="G79" s="231"/>
      <c r="H79" s="15"/>
      <c r="I79" s="258"/>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08" t="s">
        <v>343</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17"/>
      <c r="C83" s="392" t="s">
        <v>344</v>
      </c>
      <c r="D83" s="392" t="s">
        <v>345</v>
      </c>
      <c r="E83" s="392" t="s">
        <v>346</v>
      </c>
      <c r="F83" s="392" t="s">
        <v>347</v>
      </c>
      <c r="G83" s="144" t="s">
        <v>348</v>
      </c>
      <c r="H83" s="232"/>
      <c r="I83" s="260"/>
      <c r="J83" s="2"/>
      <c r="K83" s="2"/>
      <c r="L83" s="2"/>
      <c r="M83" s="2"/>
      <c r="N83" s="19"/>
      <c r="O83" s="19"/>
      <c r="P83" s="19"/>
      <c r="S83" s="19"/>
    </row>
    <row r="84" spans="1:36" ht="15.75" thickBot="1">
      <c r="A84" s="3"/>
      <c r="B84" s="119" t="s">
        <v>79</v>
      </c>
      <c r="C84" s="519">
        <v>0</v>
      </c>
      <c r="D84" s="519">
        <v>0</v>
      </c>
      <c r="E84" s="519">
        <v>0</v>
      </c>
      <c r="F84" s="519">
        <v>0</v>
      </c>
      <c r="G84" s="521">
        <v>0</v>
      </c>
      <c r="H84" s="261"/>
      <c r="I84" s="245"/>
      <c r="J84" s="2"/>
      <c r="K84" s="2"/>
      <c r="L84" s="2"/>
      <c r="M84" s="2"/>
      <c r="N84" s="19"/>
      <c r="O84" s="19"/>
      <c r="P84" s="19"/>
      <c r="S84" s="19"/>
    </row>
    <row r="85" spans="1:36">
      <c r="A85" s="3"/>
      <c r="B85" s="2"/>
      <c r="C85" s="522"/>
      <c r="D85" s="522"/>
      <c r="E85" s="522"/>
      <c r="F85" s="522"/>
      <c r="G85" s="522"/>
      <c r="H85" s="2"/>
      <c r="J85" s="2"/>
      <c r="K85" s="2"/>
      <c r="L85" s="2"/>
      <c r="M85" s="2"/>
      <c r="N85" s="19"/>
      <c r="O85" s="19"/>
      <c r="P85" s="19"/>
      <c r="S85" s="19"/>
    </row>
    <row r="86" spans="1:36" ht="18.75">
      <c r="A86" s="3"/>
      <c r="B86" s="108" t="s">
        <v>349</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7"/>
      <c r="C88" s="120" t="s">
        <v>352</v>
      </c>
      <c r="D88" s="120" t="s">
        <v>353</v>
      </c>
      <c r="E88" s="121" t="s">
        <v>354</v>
      </c>
      <c r="F88" s="2"/>
      <c r="G88" s="2"/>
      <c r="H88" s="2"/>
      <c r="I88" s="2"/>
      <c r="J88" s="19"/>
      <c r="K88" s="19"/>
      <c r="L88" s="19"/>
      <c r="N88"/>
      <c r="O88" s="19"/>
      <c r="AG88" s="35"/>
      <c r="AJ88"/>
    </row>
    <row r="89" spans="1:36">
      <c r="A89" s="3"/>
      <c r="B89" s="114" t="s">
        <v>350</v>
      </c>
      <c r="C89" s="219"/>
      <c r="D89" s="523"/>
      <c r="E89" s="524">
        <f>C89-D89</f>
        <v>0</v>
      </c>
      <c r="F89" s="2"/>
      <c r="G89" s="2"/>
      <c r="H89" s="2"/>
      <c r="I89" s="2"/>
      <c r="J89" s="19"/>
      <c r="K89" s="19"/>
      <c r="L89" s="19"/>
      <c r="N89"/>
      <c r="O89" s="19"/>
      <c r="AG89" s="35"/>
      <c r="AJ89"/>
    </row>
    <row r="90" spans="1:36" ht="15.75" thickBot="1">
      <c r="A90" s="3"/>
      <c r="B90" s="115" t="s">
        <v>351</v>
      </c>
      <c r="C90" s="220"/>
      <c r="D90" s="525"/>
      <c r="E90" s="526">
        <f>C90-D90</f>
        <v>0</v>
      </c>
      <c r="F90" s="2"/>
      <c r="G90" s="2"/>
      <c r="H90" s="2"/>
      <c r="I90" s="2"/>
      <c r="J90" s="19"/>
      <c r="K90" s="19"/>
      <c r="L90" s="19"/>
      <c r="N90"/>
      <c r="O90" s="19"/>
      <c r="AG90" s="35"/>
      <c r="AJ90"/>
    </row>
    <row r="91" spans="1:36">
      <c r="A91" s="3"/>
      <c r="B91" s="2"/>
      <c r="C91" s="2"/>
      <c r="D91" s="2"/>
      <c r="E91" s="2"/>
      <c r="F91" s="2"/>
      <c r="G91" s="2"/>
      <c r="H91" s="2"/>
      <c r="I91" s="2"/>
      <c r="J91" s="2"/>
      <c r="K91" s="2"/>
      <c r="L91" s="2"/>
      <c r="M91" s="2"/>
      <c r="N91" s="19"/>
      <c r="O91" s="19"/>
      <c r="P91" s="19"/>
      <c r="S91" s="19"/>
    </row>
    <row r="92" spans="1:36" ht="18.75">
      <c r="A92" s="3"/>
      <c r="B92" s="108" t="s">
        <v>355</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186"/>
      <c r="C94" s="309" t="s">
        <v>62</v>
      </c>
      <c r="D94" s="309" t="s">
        <v>63</v>
      </c>
      <c r="E94" s="309" t="s">
        <v>64</v>
      </c>
      <c r="F94" s="309" t="s">
        <v>65</v>
      </c>
      <c r="G94" s="309" t="s">
        <v>72</v>
      </c>
      <c r="H94" s="309" t="s">
        <v>73</v>
      </c>
      <c r="I94" s="309" t="s">
        <v>74</v>
      </c>
      <c r="J94" s="309" t="s">
        <v>75</v>
      </c>
      <c r="K94" s="309" t="s">
        <v>76</v>
      </c>
      <c r="L94" s="309" t="s">
        <v>77</v>
      </c>
      <c r="M94" s="309" t="s">
        <v>78</v>
      </c>
      <c r="N94" s="310" t="s">
        <v>232</v>
      </c>
      <c r="O94" s="20"/>
      <c r="P94" s="20"/>
      <c r="S94" s="19"/>
    </row>
    <row r="95" spans="1:36" ht="15" customHeight="1">
      <c r="A95" s="3"/>
      <c r="B95" s="311" t="s">
        <v>356</v>
      </c>
      <c r="C95" s="441">
        <v>6155291.4199999999</v>
      </c>
      <c r="D95" s="441">
        <v>1234940.51</v>
      </c>
      <c r="E95" s="296">
        <v>1160566.44</v>
      </c>
      <c r="F95" s="296"/>
      <c r="G95" s="296"/>
      <c r="H95" s="441"/>
      <c r="I95" s="441"/>
      <c r="J95" s="296"/>
      <c r="K95" s="296"/>
      <c r="L95" s="296"/>
      <c r="M95" s="296"/>
      <c r="N95" s="378"/>
      <c r="O95" s="20"/>
      <c r="P95" s="20"/>
      <c r="S95" s="19"/>
    </row>
    <row r="96" spans="1:36" ht="15" customHeight="1">
      <c r="A96" s="3"/>
      <c r="B96" s="311" t="s">
        <v>357</v>
      </c>
      <c r="C96" s="441">
        <v>5913389.6299999999</v>
      </c>
      <c r="D96" s="441">
        <f>2400+16044.69+2574+981989.51</f>
        <v>1003008.2</v>
      </c>
      <c r="E96" s="296">
        <f>1114012.95+7490.25-21018.69</f>
        <v>1100484.51</v>
      </c>
      <c r="F96" s="296"/>
      <c r="G96" s="296"/>
      <c r="H96" s="441"/>
      <c r="I96" s="441"/>
      <c r="J96" s="296"/>
      <c r="K96" s="296"/>
      <c r="L96" s="296"/>
      <c r="M96" s="296"/>
      <c r="N96" s="378"/>
      <c r="O96" s="20"/>
      <c r="P96" s="20"/>
      <c r="S96" s="19"/>
    </row>
    <row r="97" spans="1:19" ht="15" customHeight="1">
      <c r="A97" s="3"/>
      <c r="B97" s="311" t="s">
        <v>358</v>
      </c>
      <c r="C97" s="441">
        <v>5913389.6299999999</v>
      </c>
      <c r="D97" s="441">
        <v>981989.51</v>
      </c>
      <c r="E97" s="296">
        <v>1114012.95</v>
      </c>
      <c r="F97" s="296"/>
      <c r="G97" s="296"/>
      <c r="H97" s="441"/>
      <c r="I97" s="441"/>
      <c r="J97" s="296"/>
      <c r="K97" s="296"/>
      <c r="L97" s="296"/>
      <c r="M97" s="296"/>
      <c r="N97" s="378"/>
      <c r="O97" s="20"/>
      <c r="P97" s="20"/>
      <c r="S97" s="19"/>
    </row>
    <row r="98" spans="1:19" ht="15" customHeight="1">
      <c r="A98" s="3"/>
      <c r="B98" s="263" t="s">
        <v>359</v>
      </c>
      <c r="C98" s="527">
        <v>6155290.9999999991</v>
      </c>
      <c r="D98" s="442">
        <f>+C98+D95</f>
        <v>7390231.5099999988</v>
      </c>
      <c r="E98" s="297">
        <f>+D98+E95</f>
        <v>8550797.9499999993</v>
      </c>
      <c r="F98" s="297">
        <f t="shared" ref="F98:N98" si="3">+E98+F95</f>
        <v>8550797.9499999993</v>
      </c>
      <c r="G98" s="297">
        <f t="shared" si="3"/>
        <v>8550797.9499999993</v>
      </c>
      <c r="H98" s="442">
        <f t="shared" si="3"/>
        <v>8550797.9499999993</v>
      </c>
      <c r="I98" s="442">
        <f t="shared" si="3"/>
        <v>8550797.9499999993</v>
      </c>
      <c r="J98" s="297">
        <f t="shared" si="3"/>
        <v>8550797.9499999993</v>
      </c>
      <c r="K98" s="297">
        <f t="shared" si="3"/>
        <v>8550797.9499999993</v>
      </c>
      <c r="L98" s="442">
        <f>+K98+L95</f>
        <v>8550797.9499999993</v>
      </c>
      <c r="M98" s="442">
        <f t="shared" si="3"/>
        <v>8550797.9499999993</v>
      </c>
      <c r="N98" s="497">
        <f t="shared" si="3"/>
        <v>8550797.9499999993</v>
      </c>
      <c r="O98" s="20"/>
      <c r="P98" s="20"/>
      <c r="S98" s="19"/>
    </row>
    <row r="99" spans="1:19" ht="15" customHeight="1">
      <c r="A99" s="3"/>
      <c r="B99" s="263" t="s">
        <v>360</v>
      </c>
      <c r="C99" s="527">
        <v>6226215.8600000003</v>
      </c>
      <c r="D99" s="442">
        <f t="shared" ref="D99:N99" si="4">+C99+D96</f>
        <v>7229224.0600000005</v>
      </c>
      <c r="E99" s="297">
        <f>+D99+E96</f>
        <v>8329708.5700000003</v>
      </c>
      <c r="F99" s="297">
        <f t="shared" si="4"/>
        <v>8329708.5700000003</v>
      </c>
      <c r="G99" s="297">
        <f t="shared" si="4"/>
        <v>8329708.5700000003</v>
      </c>
      <c r="H99" s="442">
        <f t="shared" si="4"/>
        <v>8329708.5700000003</v>
      </c>
      <c r="I99" s="442">
        <f>+H99+I96</f>
        <v>8329708.5700000003</v>
      </c>
      <c r="J99" s="297">
        <f t="shared" si="4"/>
        <v>8329708.5700000003</v>
      </c>
      <c r="K99" s="297">
        <f>+J99+K96</f>
        <v>8329708.5700000003</v>
      </c>
      <c r="L99" s="442">
        <f>+K99+L96</f>
        <v>8329708.5700000003</v>
      </c>
      <c r="M99" s="442">
        <f t="shared" si="4"/>
        <v>8329708.5700000003</v>
      </c>
      <c r="N99" s="497">
        <f t="shared" si="4"/>
        <v>8329708.5700000003</v>
      </c>
      <c r="O99" s="20"/>
      <c r="P99" s="20"/>
      <c r="S99" s="19"/>
    </row>
    <row r="100" spans="1:19" ht="15.75" thickBot="1">
      <c r="A100" s="3"/>
      <c r="B100" s="376" t="s">
        <v>361</v>
      </c>
      <c r="C100" s="528">
        <v>5932415.0899999999</v>
      </c>
      <c r="D100" s="443">
        <f t="shared" ref="D100:N100" si="5">+C100+D97</f>
        <v>6914404.5999999996</v>
      </c>
      <c r="E100" s="377">
        <f>+D100+E97</f>
        <v>8028417.5499999998</v>
      </c>
      <c r="F100" s="377">
        <f t="shared" si="5"/>
        <v>8028417.5499999998</v>
      </c>
      <c r="G100" s="377">
        <f t="shared" si="5"/>
        <v>8028417.5499999998</v>
      </c>
      <c r="H100" s="443">
        <f t="shared" si="5"/>
        <v>8028417.5499999998</v>
      </c>
      <c r="I100" s="443">
        <f t="shared" si="5"/>
        <v>8028417.5499999998</v>
      </c>
      <c r="J100" s="377">
        <f t="shared" si="5"/>
        <v>8028417.5499999998</v>
      </c>
      <c r="K100" s="377">
        <f t="shared" si="5"/>
        <v>8028417.5499999998</v>
      </c>
      <c r="L100" s="443">
        <f t="shared" si="5"/>
        <v>8028417.5499999998</v>
      </c>
      <c r="M100" s="443">
        <f>+L100+M97</f>
        <v>8028417.5499999998</v>
      </c>
      <c r="N100" s="498">
        <f t="shared" si="5"/>
        <v>8028417.5499999998</v>
      </c>
      <c r="O100" s="20"/>
      <c r="P100" s="20"/>
      <c r="S100" s="19"/>
    </row>
    <row r="101" spans="1:19">
      <c r="A101" s="3"/>
      <c r="B101" s="3"/>
      <c r="C101" s="2"/>
      <c r="D101" s="2"/>
      <c r="E101" s="2"/>
      <c r="F101" s="2"/>
      <c r="G101" s="2"/>
      <c r="H101" s="2"/>
      <c r="I101" s="15"/>
      <c r="J101" s="122"/>
      <c r="K101" s="123"/>
      <c r="L101" s="15"/>
      <c r="M101" s="124"/>
      <c r="N101" s="20"/>
      <c r="O101" s="20"/>
      <c r="P101" s="20"/>
      <c r="S101" s="19"/>
    </row>
    <row r="102" spans="1:19">
      <c r="A102" s="3"/>
      <c r="B102" s="2" t="s">
        <v>397</v>
      </c>
      <c r="C102" s="2"/>
      <c r="D102" s="2"/>
      <c r="E102" s="2"/>
      <c r="F102" s="2"/>
      <c r="G102" s="2"/>
      <c r="H102" s="2"/>
      <c r="I102" s="15"/>
      <c r="J102" s="122"/>
      <c r="K102" s="123"/>
      <c r="L102" s="15"/>
      <c r="M102" s="124"/>
      <c r="N102" s="20"/>
      <c r="O102" s="20"/>
      <c r="P102" s="20"/>
      <c r="S102" s="19"/>
    </row>
    <row r="103" spans="1:19">
      <c r="A103" s="3"/>
      <c r="C103" s="2"/>
      <c r="D103" s="2"/>
      <c r="E103" s="2"/>
      <c r="F103" s="2"/>
      <c r="G103" s="2"/>
      <c r="H103" s="2"/>
      <c r="I103" s="15"/>
      <c r="J103" s="122"/>
      <c r="K103" s="124"/>
      <c r="L103" s="15"/>
      <c r="M103" s="124"/>
      <c r="N103" s="499"/>
      <c r="O103" s="20"/>
      <c r="P103" s="20"/>
      <c r="S103" s="19"/>
    </row>
    <row r="104" spans="1:19">
      <c r="A104" s="3"/>
      <c r="B104" s="3"/>
      <c r="C104" s="3"/>
      <c r="D104" s="3"/>
      <c r="E104" s="3"/>
      <c r="F104" s="3"/>
      <c r="G104" s="3"/>
      <c r="H104" s="3"/>
      <c r="I104" s="15"/>
      <c r="J104" s="15"/>
      <c r="K104" s="15"/>
      <c r="L104" s="15"/>
      <c r="M104" s="15"/>
      <c r="N104" s="499"/>
      <c r="O104" s="20"/>
      <c r="P104" s="20"/>
    </row>
    <row r="105" spans="1:19" ht="18.75">
      <c r="A105" s="3"/>
      <c r="B105" s="108" t="s">
        <v>362</v>
      </c>
      <c r="C105" s="3"/>
      <c r="D105" s="3"/>
      <c r="E105" s="3"/>
      <c r="F105" s="3"/>
      <c r="G105" s="3"/>
      <c r="H105" s="3"/>
      <c r="I105" s="15"/>
      <c r="J105" s="15"/>
      <c r="K105" s="15"/>
      <c r="L105" s="15"/>
      <c r="M105" s="15"/>
      <c r="N105" s="499"/>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264" t="s">
        <v>363</v>
      </c>
      <c r="C107" s="265" t="s">
        <v>364</v>
      </c>
      <c r="D107" s="267" t="s">
        <v>365</v>
      </c>
      <c r="E107" s="267" t="s">
        <v>366</v>
      </c>
      <c r="F107" s="266" t="s">
        <v>367</v>
      </c>
      <c r="G107" s="266" t="s">
        <v>368</v>
      </c>
      <c r="H107" s="267" t="s">
        <v>369</v>
      </c>
      <c r="I107" s="267" t="s">
        <v>393</v>
      </c>
      <c r="J107" s="267" t="s">
        <v>370</v>
      </c>
      <c r="K107" s="268" t="s">
        <v>371</v>
      </c>
      <c r="L107" s="2"/>
      <c r="M107" s="20"/>
      <c r="N107" s="20"/>
      <c r="O107" s="20"/>
      <c r="P107" s="19"/>
      <c r="R107" s="20"/>
    </row>
    <row r="108" spans="1:19">
      <c r="A108" s="3"/>
      <c r="B108" s="716" t="s">
        <v>270</v>
      </c>
      <c r="C108" s="331" t="s">
        <v>270</v>
      </c>
      <c r="D108" s="332"/>
      <c r="E108" s="333" t="str">
        <f>IF(ISBLANK(D108),"",D108*30)</f>
        <v/>
      </c>
      <c r="F108" s="298"/>
      <c r="G108" s="299" t="str">
        <f>IF(AND(E108&gt;0,F108&gt;0),(F108*E108),"")</f>
        <v/>
      </c>
      <c r="H108" s="298"/>
      <c r="I108" s="347" t="str">
        <f>IF(AND(G108&gt;0,H108&gt;0),H108/G108,"")</f>
        <v/>
      </c>
      <c r="J108" s="334"/>
      <c r="K108" s="379" t="str">
        <f>IF(AND(I108&gt;0,J108&gt;0),I108-J108,"")</f>
        <v/>
      </c>
      <c r="L108" s="2"/>
      <c r="M108" s="20"/>
      <c r="N108" s="20"/>
      <c r="O108" s="20"/>
      <c r="P108" s="19"/>
      <c r="R108" s="20"/>
    </row>
    <row r="109" spans="1:19">
      <c r="A109" s="3"/>
      <c r="B109" s="717"/>
      <c r="C109" s="331" t="s">
        <v>270</v>
      </c>
      <c r="D109" s="332"/>
      <c r="E109" s="333" t="str">
        <f>IF(ISBLANK(D109),"",D109*30)</f>
        <v/>
      </c>
      <c r="F109" s="298"/>
      <c r="G109" s="299" t="str">
        <f>IF(AND(E109&gt;0,F109&gt;0),(F109*E109),"")</f>
        <v/>
      </c>
      <c r="H109" s="298"/>
      <c r="I109" s="347" t="str">
        <f>IF(AND(G109&gt;0,H109&gt;0),H109/G109,"")</f>
        <v/>
      </c>
      <c r="J109" s="334"/>
      <c r="K109" s="379" t="str">
        <f>IF(AND(I109&gt;0,J109&gt;0),I109-J109,"")</f>
        <v/>
      </c>
      <c r="L109" s="2"/>
      <c r="M109" s="20"/>
      <c r="N109" s="20"/>
      <c r="O109" s="20"/>
      <c r="P109" s="19"/>
    </row>
    <row r="110" spans="1:19">
      <c r="A110" s="3"/>
      <c r="B110" s="717"/>
      <c r="C110" s="331" t="s">
        <v>270</v>
      </c>
      <c r="D110" s="332"/>
      <c r="E110" s="333" t="str">
        <f>IF(ISBLANK(D110),"",D110*30)</f>
        <v/>
      </c>
      <c r="F110" s="298"/>
      <c r="G110" s="299" t="str">
        <f>IF(AND(E110&gt;0,F110&gt;0),(F110*E110),"")</f>
        <v/>
      </c>
      <c r="H110" s="298"/>
      <c r="I110" s="347" t="str">
        <f>IF(AND(G110&gt;0,H110&gt;0),H110/G110,"")</f>
        <v/>
      </c>
      <c r="J110" s="334"/>
      <c r="K110" s="379" t="str">
        <f>IF(AND(I110&gt;0,J110&gt;0),I110-J110,"")</f>
        <v/>
      </c>
      <c r="L110" s="2"/>
      <c r="M110" s="20"/>
      <c r="N110" s="20"/>
      <c r="O110" s="20"/>
      <c r="P110" s="19"/>
      <c r="R110" s="20"/>
    </row>
    <row r="111" spans="1:19" ht="15.75" thickBot="1">
      <c r="A111" s="3"/>
      <c r="B111" s="718"/>
      <c r="C111" s="335" t="s">
        <v>270</v>
      </c>
      <c r="D111" s="336"/>
      <c r="E111" s="373" t="str">
        <f>IF(ISBLANK(D111),"",D111*30)</f>
        <v/>
      </c>
      <c r="F111" s="300"/>
      <c r="G111" s="374" t="str">
        <f>IF(AND(E111&gt;0,F111&gt;0),(F111*E111),"")</f>
        <v/>
      </c>
      <c r="H111" s="300"/>
      <c r="I111" s="375" t="str">
        <f>IF(AND(G111&gt;0,H111&gt;0),H111/G111,"")</f>
        <v/>
      </c>
      <c r="J111" s="337"/>
      <c r="K111" s="380"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7"/>
      <c r="K113" s="107"/>
      <c r="L113" s="3"/>
      <c r="M113" s="3"/>
    </row>
    <row r="114" spans="1:20" ht="19.5" thickBot="1">
      <c r="A114" s="3"/>
      <c r="B114" s="206" t="s">
        <v>372</v>
      </c>
      <c r="C114" s="125"/>
      <c r="D114" s="125"/>
      <c r="E114" s="126"/>
      <c r="F114" s="126"/>
      <c r="G114" s="126"/>
      <c r="H114" s="216"/>
      <c r="I114" s="207"/>
      <c r="J114" s="282"/>
      <c r="K114" s="283" t="s">
        <v>444</v>
      </c>
      <c r="L114" s="126"/>
      <c r="M114" s="284"/>
      <c r="N114" s="285"/>
      <c r="O114" s="285"/>
      <c r="P114" s="339"/>
      <c r="Q114" s="35"/>
    </row>
    <row r="115" spans="1:20" ht="15.75" thickBot="1">
      <c r="A115" s="3"/>
      <c r="B115" s="3"/>
      <c r="C115" s="3"/>
      <c r="D115" s="3"/>
      <c r="E115" s="3"/>
      <c r="F115" s="3"/>
      <c r="G115" s="3"/>
      <c r="H115" s="3"/>
      <c r="I115" s="3"/>
      <c r="J115" s="3"/>
      <c r="K115" s="3"/>
      <c r="L115" s="3"/>
      <c r="M115" s="3"/>
      <c r="N115"/>
      <c r="O115"/>
      <c r="P115" s="35"/>
      <c r="Q115" s="35"/>
    </row>
    <row r="116" spans="1:20" ht="29.25" customHeight="1">
      <c r="A116" s="3"/>
      <c r="B116" s="713" t="s">
        <v>378</v>
      </c>
      <c r="C116" s="714"/>
      <c r="D116" s="715"/>
      <c r="E116" s="271" t="s">
        <v>379</v>
      </c>
      <c r="F116" s="396" t="s">
        <v>380</v>
      </c>
      <c r="G116" s="210"/>
      <c r="H116" s="320" t="s">
        <v>62</v>
      </c>
      <c r="I116" s="320" t="s">
        <v>63</v>
      </c>
      <c r="J116" s="320" t="s">
        <v>281</v>
      </c>
      <c r="K116" s="320" t="s">
        <v>65</v>
      </c>
      <c r="L116" s="320" t="s">
        <v>72</v>
      </c>
      <c r="M116" s="320" t="s">
        <v>73</v>
      </c>
      <c r="N116" s="320" t="s">
        <v>74</v>
      </c>
      <c r="O116" s="320" t="s">
        <v>75</v>
      </c>
      <c r="P116" s="320" t="s">
        <v>76</v>
      </c>
      <c r="Q116" s="320" t="s">
        <v>77</v>
      </c>
      <c r="R116" s="320" t="s">
        <v>78</v>
      </c>
      <c r="S116" s="321" t="s">
        <v>232</v>
      </c>
      <c r="T116" s="63"/>
    </row>
    <row r="117" spans="1:20" ht="1.5" customHeight="1">
      <c r="A117" s="3"/>
      <c r="B117" s="353"/>
      <c r="C117" s="354"/>
      <c r="D117" s="354"/>
      <c r="E117" s="355"/>
      <c r="F117" s="356"/>
      <c r="G117" s="357"/>
      <c r="H117" s="358"/>
      <c r="I117" s="358"/>
      <c r="J117" s="358"/>
      <c r="K117" s="358"/>
      <c r="L117" s="358"/>
      <c r="M117" s="358"/>
      <c r="N117" s="358"/>
      <c r="O117" s="358"/>
      <c r="P117" s="358"/>
      <c r="Q117" s="358"/>
      <c r="R117" s="358"/>
      <c r="S117" s="359"/>
      <c r="T117" s="63"/>
    </row>
    <row r="118" spans="1:20" ht="15" customHeight="1">
      <c r="A118" s="684" t="s">
        <v>271</v>
      </c>
      <c r="B118" s="721" t="s">
        <v>439</v>
      </c>
      <c r="C118" s="722"/>
      <c r="D118" s="723"/>
      <c r="E118" s="673" t="s">
        <v>435</v>
      </c>
      <c r="F118" s="727" t="s">
        <v>377</v>
      </c>
      <c r="G118" s="390" t="s">
        <v>374</v>
      </c>
      <c r="H118" s="463">
        <v>12.7</v>
      </c>
      <c r="I118" s="529">
        <v>11.6</v>
      </c>
      <c r="J118" s="461">
        <v>11.6</v>
      </c>
      <c r="K118" s="461"/>
      <c r="L118" s="462"/>
      <c r="M118" s="463"/>
      <c r="N118" s="463"/>
      <c r="O118" s="463"/>
      <c r="P118" s="463"/>
      <c r="Q118" s="463"/>
      <c r="R118" s="463"/>
      <c r="S118" s="127"/>
      <c r="T118" s="63"/>
    </row>
    <row r="119" spans="1:20" ht="13.5" customHeight="1">
      <c r="A119" s="684"/>
      <c r="B119" s="724"/>
      <c r="C119" s="725"/>
      <c r="D119" s="726"/>
      <c r="E119" s="792"/>
      <c r="F119" s="728"/>
      <c r="G119" s="390" t="s">
        <v>375</v>
      </c>
      <c r="H119" s="463">
        <v>14.4</v>
      </c>
      <c r="I119" s="463">
        <v>11.14</v>
      </c>
      <c r="J119" s="461">
        <v>11.22</v>
      </c>
      <c r="K119" s="461"/>
      <c r="L119" s="462"/>
      <c r="M119" s="463"/>
      <c r="N119" s="463"/>
      <c r="O119" s="463"/>
      <c r="P119" s="463"/>
      <c r="Q119" s="463"/>
      <c r="R119" s="463"/>
      <c r="S119" s="127"/>
      <c r="T119" s="63"/>
    </row>
    <row r="120" spans="1:20" ht="20.25" customHeight="1">
      <c r="A120" s="684"/>
      <c r="B120" s="729" t="s">
        <v>464</v>
      </c>
      <c r="C120" s="730"/>
      <c r="D120" s="731"/>
      <c r="E120" s="795" t="s">
        <v>465</v>
      </c>
      <c r="F120" s="793" t="s">
        <v>377</v>
      </c>
      <c r="G120" s="457" t="s">
        <v>374</v>
      </c>
      <c r="H120" s="467">
        <v>55.4</v>
      </c>
      <c r="I120" s="530">
        <v>60</v>
      </c>
      <c r="J120" s="465">
        <v>60</v>
      </c>
      <c r="K120" s="466"/>
      <c r="L120" s="466"/>
      <c r="M120" s="466"/>
      <c r="N120" s="466"/>
      <c r="O120" s="466"/>
      <c r="P120" s="466"/>
      <c r="Q120" s="467"/>
      <c r="R120" s="467"/>
      <c r="S120" s="269"/>
      <c r="T120" s="63"/>
    </row>
    <row r="121" spans="1:20" ht="20.25" customHeight="1">
      <c r="A121" s="684"/>
      <c r="B121" s="732"/>
      <c r="C121" s="733"/>
      <c r="D121" s="734"/>
      <c r="E121" s="796"/>
      <c r="F121" s="794"/>
      <c r="G121" s="457" t="s">
        <v>375</v>
      </c>
      <c r="H121" s="467">
        <v>51.53</v>
      </c>
      <c r="I121" s="466">
        <v>49.3</v>
      </c>
      <c r="J121" s="464">
        <v>49.3</v>
      </c>
      <c r="K121" s="466"/>
      <c r="L121" s="466"/>
      <c r="M121" s="466"/>
      <c r="N121" s="466"/>
      <c r="O121" s="466"/>
      <c r="P121" s="466"/>
      <c r="Q121" s="467"/>
      <c r="R121" s="467"/>
      <c r="S121" s="269"/>
      <c r="T121" s="63"/>
    </row>
    <row r="122" spans="1:20" ht="15" customHeight="1">
      <c r="A122" s="684"/>
      <c r="B122" s="675" t="s">
        <v>437</v>
      </c>
      <c r="C122" s="676"/>
      <c r="D122" s="677"/>
      <c r="E122" s="673" t="s">
        <v>463</v>
      </c>
      <c r="F122" s="727" t="s">
        <v>377</v>
      </c>
      <c r="G122" s="390" t="s">
        <v>374</v>
      </c>
      <c r="H122" s="468">
        <v>24</v>
      </c>
      <c r="I122" s="531">
        <v>22</v>
      </c>
      <c r="J122" s="469">
        <v>22</v>
      </c>
      <c r="K122" s="470"/>
      <c r="L122" s="470"/>
      <c r="M122" s="468"/>
      <c r="N122" s="468"/>
      <c r="O122" s="468"/>
      <c r="P122" s="468"/>
      <c r="Q122" s="468"/>
      <c r="R122" s="468"/>
      <c r="S122" s="127"/>
      <c r="T122" s="63"/>
    </row>
    <row r="123" spans="1:20" ht="13.5" customHeight="1">
      <c r="A123" s="684"/>
      <c r="B123" s="678"/>
      <c r="C123" s="679"/>
      <c r="D123" s="680"/>
      <c r="E123" s="674"/>
      <c r="F123" s="728"/>
      <c r="G123" s="390" t="s">
        <v>375</v>
      </c>
      <c r="H123" s="468">
        <v>23.7</v>
      </c>
      <c r="I123" s="468">
        <v>24.8</v>
      </c>
      <c r="J123" s="469">
        <v>25.53</v>
      </c>
      <c r="K123" s="471"/>
      <c r="L123" s="472"/>
      <c r="M123" s="469"/>
      <c r="N123" s="469"/>
      <c r="O123" s="469"/>
      <c r="P123" s="468"/>
      <c r="Q123" s="468"/>
      <c r="R123" s="468"/>
      <c r="S123" s="127"/>
      <c r="T123" s="63"/>
    </row>
    <row r="124" spans="1:20" ht="15" customHeight="1">
      <c r="A124" s="3"/>
      <c r="B124" s="668" t="s">
        <v>467</v>
      </c>
      <c r="C124" s="669"/>
      <c r="D124" s="670"/>
      <c r="E124" s="735" t="s">
        <v>466</v>
      </c>
      <c r="F124" s="719" t="s">
        <v>377</v>
      </c>
      <c r="G124" s="391" t="s">
        <v>374</v>
      </c>
      <c r="H124" s="483">
        <v>61</v>
      </c>
      <c r="I124" s="532">
        <v>57</v>
      </c>
      <c r="J124" s="474">
        <v>57</v>
      </c>
      <c r="K124" s="482"/>
      <c r="L124" s="482"/>
      <c r="M124" s="483"/>
      <c r="N124" s="483"/>
      <c r="O124" s="483"/>
      <c r="P124" s="483"/>
      <c r="Q124" s="483"/>
      <c r="R124" s="483"/>
      <c r="S124" s="269"/>
      <c r="T124" s="63"/>
    </row>
    <row r="125" spans="1:20">
      <c r="A125" s="3"/>
      <c r="B125" s="671"/>
      <c r="C125" s="669"/>
      <c r="D125" s="670"/>
      <c r="E125" s="672"/>
      <c r="F125" s="720"/>
      <c r="G125" s="391" t="s">
        <v>375</v>
      </c>
      <c r="H125" s="483">
        <v>62.76</v>
      </c>
      <c r="I125" s="478">
        <v>61.82</v>
      </c>
      <c r="J125" s="474">
        <v>62.38</v>
      </c>
      <c r="K125" s="482"/>
      <c r="L125" s="482"/>
      <c r="M125" s="483"/>
      <c r="N125" s="483"/>
      <c r="O125" s="483"/>
      <c r="P125" s="483"/>
      <c r="Q125" s="483"/>
      <c r="R125" s="483"/>
      <c r="S125" s="269"/>
      <c r="T125" s="63"/>
    </row>
    <row r="126" spans="1:20" ht="15" customHeight="1">
      <c r="A126" s="3"/>
      <c r="B126" s="767" t="s">
        <v>468</v>
      </c>
      <c r="C126" s="768"/>
      <c r="D126" s="769"/>
      <c r="E126" s="772">
        <v>1.1000000000000001</v>
      </c>
      <c r="F126" s="681" t="s">
        <v>373</v>
      </c>
      <c r="G126" s="484" t="s">
        <v>374</v>
      </c>
      <c r="H126" s="450">
        <v>335</v>
      </c>
      <c r="I126" s="533">
        <v>670</v>
      </c>
      <c r="J126" s="489">
        <v>330</v>
      </c>
      <c r="K126" s="490"/>
      <c r="L126" s="490"/>
      <c r="M126" s="490"/>
      <c r="N126" s="490"/>
      <c r="O126" s="490"/>
      <c r="P126" s="490"/>
      <c r="Q126" s="450"/>
      <c r="R126" s="450"/>
      <c r="S126" s="485"/>
      <c r="T126" s="63"/>
    </row>
    <row r="127" spans="1:20">
      <c r="A127" s="3"/>
      <c r="B127" s="770"/>
      <c r="C127" s="768"/>
      <c r="D127" s="769"/>
      <c r="E127" s="772"/>
      <c r="F127" s="681"/>
      <c r="G127" s="484" t="s">
        <v>375</v>
      </c>
      <c r="H127" s="450">
        <v>437</v>
      </c>
      <c r="I127" s="490">
        <v>898</v>
      </c>
      <c r="J127" s="489">
        <v>464</v>
      </c>
      <c r="K127" s="490"/>
      <c r="L127" s="490"/>
      <c r="M127" s="490"/>
      <c r="N127" s="490"/>
      <c r="O127" s="490"/>
      <c r="P127" s="490"/>
      <c r="Q127" s="450"/>
      <c r="R127" s="450"/>
      <c r="S127" s="485"/>
      <c r="T127" s="63"/>
    </row>
    <row r="128" spans="1:20" ht="15" customHeight="1">
      <c r="A128" s="3"/>
      <c r="B128" s="668" t="s">
        <v>469</v>
      </c>
      <c r="C128" s="669"/>
      <c r="D128" s="771"/>
      <c r="E128" s="672">
        <v>1.2</v>
      </c>
      <c r="F128" s="719" t="s">
        <v>377</v>
      </c>
      <c r="G128" s="391" t="s">
        <v>374</v>
      </c>
      <c r="H128" s="483">
        <v>67.5</v>
      </c>
      <c r="I128" s="532">
        <v>67.5</v>
      </c>
      <c r="J128" s="474">
        <v>68.099999999999994</v>
      </c>
      <c r="K128" s="482"/>
      <c r="L128" s="482"/>
      <c r="M128" s="483"/>
      <c r="N128" s="483"/>
      <c r="O128" s="483"/>
      <c r="P128" s="483"/>
      <c r="Q128" s="483"/>
      <c r="R128" s="483"/>
      <c r="S128" s="269"/>
      <c r="T128" s="63"/>
    </row>
    <row r="129" spans="1:21">
      <c r="A129" s="3"/>
      <c r="B129" s="671"/>
      <c r="C129" s="669"/>
      <c r="D129" s="771"/>
      <c r="E129" s="672"/>
      <c r="F129" s="720"/>
      <c r="G129" s="391" t="s">
        <v>375</v>
      </c>
      <c r="H129" s="483">
        <v>64.84</v>
      </c>
      <c r="I129" s="534">
        <v>68.959999999999994</v>
      </c>
      <c r="J129" s="474">
        <v>77.7</v>
      </c>
      <c r="K129" s="482"/>
      <c r="L129" s="482"/>
      <c r="M129" s="483"/>
      <c r="N129" s="483"/>
      <c r="O129" s="483"/>
      <c r="P129" s="483"/>
      <c r="Q129" s="483"/>
      <c r="R129" s="483"/>
      <c r="S129" s="269"/>
      <c r="T129" s="63"/>
    </row>
    <row r="130" spans="1:21">
      <c r="A130" s="3"/>
      <c r="B130" s="685" t="s">
        <v>470</v>
      </c>
      <c r="C130" s="686"/>
      <c r="D130" s="687"/>
      <c r="E130" s="691">
        <v>1.3</v>
      </c>
      <c r="F130" s="682" t="s">
        <v>377</v>
      </c>
      <c r="G130" s="460" t="s">
        <v>374</v>
      </c>
      <c r="H130" s="476">
        <v>8.3000000000000007</v>
      </c>
      <c r="I130" s="535">
        <v>8.1</v>
      </c>
      <c r="J130" s="477">
        <v>7.5</v>
      </c>
      <c r="K130" s="475"/>
      <c r="L130" s="475"/>
      <c r="M130" s="476"/>
      <c r="N130" s="476"/>
      <c r="O130" s="476"/>
      <c r="P130" s="476"/>
      <c r="Q130" s="476"/>
      <c r="R130" s="476"/>
      <c r="S130" s="367"/>
      <c r="T130" s="63"/>
    </row>
    <row r="131" spans="1:21">
      <c r="A131" s="3"/>
      <c r="B131" s="688"/>
      <c r="C131" s="689"/>
      <c r="D131" s="690"/>
      <c r="E131" s="692"/>
      <c r="F131" s="683"/>
      <c r="G131" s="460" t="s">
        <v>375</v>
      </c>
      <c r="H131" s="476">
        <v>4.6900000000000004</v>
      </c>
      <c r="I131" s="536">
        <v>7.5</v>
      </c>
      <c r="J131" s="477">
        <v>6.8490000000000002</v>
      </c>
      <c r="K131" s="475"/>
      <c r="L131" s="475"/>
      <c r="M131" s="476"/>
      <c r="N131" s="476"/>
      <c r="O131" s="476"/>
      <c r="P131" s="476"/>
      <c r="Q131" s="476"/>
      <c r="R131" s="476"/>
      <c r="S131" s="367"/>
      <c r="T131" s="63"/>
    </row>
    <row r="132" spans="1:21" ht="14.25" customHeight="1">
      <c r="A132" s="3"/>
      <c r="B132" s="668" t="s">
        <v>473</v>
      </c>
      <c r="C132" s="669"/>
      <c r="D132" s="670"/>
      <c r="E132" s="672">
        <v>2.1</v>
      </c>
      <c r="F132" s="666" t="s">
        <v>373</v>
      </c>
      <c r="G132" s="391" t="s">
        <v>374</v>
      </c>
      <c r="H132" s="478">
        <v>95</v>
      </c>
      <c r="I132" s="532">
        <v>95</v>
      </c>
      <c r="J132" s="473">
        <v>95</v>
      </c>
      <c r="K132" s="478"/>
      <c r="L132" s="478"/>
      <c r="M132" s="478"/>
      <c r="N132" s="478"/>
      <c r="O132" s="478"/>
      <c r="P132" s="478"/>
      <c r="Q132" s="478"/>
      <c r="R132" s="478"/>
      <c r="S132" s="368"/>
      <c r="T132" s="63"/>
    </row>
    <row r="133" spans="1:21">
      <c r="A133" s="3"/>
      <c r="B133" s="671"/>
      <c r="C133" s="669"/>
      <c r="D133" s="670"/>
      <c r="E133" s="672"/>
      <c r="F133" s="666"/>
      <c r="G133" s="391" t="s">
        <v>375</v>
      </c>
      <c r="H133" s="478">
        <v>99.7</v>
      </c>
      <c r="I133" s="478">
        <v>98.7</v>
      </c>
      <c r="J133" s="473">
        <v>99.08</v>
      </c>
      <c r="K133" s="478"/>
      <c r="L133" s="478"/>
      <c r="M133" s="478"/>
      <c r="N133" s="478"/>
      <c r="O133" s="478"/>
      <c r="P133" s="478"/>
      <c r="Q133" s="478"/>
      <c r="R133" s="478"/>
      <c r="S133" s="368"/>
      <c r="T133" s="63"/>
    </row>
    <row r="134" spans="1:21" ht="14.25" customHeight="1">
      <c r="A134" s="3"/>
      <c r="B134" s="770"/>
      <c r="C134" s="773"/>
      <c r="D134" s="774"/>
      <c r="E134" s="781"/>
      <c r="F134" s="681"/>
      <c r="G134" s="365" t="s">
        <v>52</v>
      </c>
      <c r="H134" s="366"/>
      <c r="I134" s="366"/>
      <c r="J134" s="387"/>
      <c r="K134" s="366"/>
      <c r="L134" s="366"/>
      <c r="M134" s="366"/>
      <c r="N134" s="366"/>
      <c r="O134" s="366"/>
      <c r="P134" s="366"/>
      <c r="Q134" s="366"/>
      <c r="R134" s="366"/>
      <c r="S134" s="367"/>
      <c r="T134" s="63"/>
    </row>
    <row r="135" spans="1:21" ht="17.25" customHeight="1">
      <c r="A135" s="3"/>
      <c r="B135" s="767"/>
      <c r="C135" s="773"/>
      <c r="D135" s="774"/>
      <c r="E135" s="781"/>
      <c r="F135" s="681"/>
      <c r="G135" s="365" t="s">
        <v>53</v>
      </c>
      <c r="H135" s="366"/>
      <c r="I135" s="366"/>
      <c r="J135" s="387"/>
      <c r="K135" s="366"/>
      <c r="L135" s="366"/>
      <c r="M135" s="366"/>
      <c r="N135" s="366"/>
      <c r="O135" s="366"/>
      <c r="P135" s="366"/>
      <c r="Q135" s="366"/>
      <c r="R135" s="366"/>
      <c r="S135" s="367"/>
      <c r="T135" s="63"/>
    </row>
    <row r="136" spans="1:21" ht="15" customHeight="1">
      <c r="A136" s="3"/>
      <c r="B136" s="671"/>
      <c r="C136" s="782"/>
      <c r="D136" s="783"/>
      <c r="E136" s="787"/>
      <c r="F136" s="666"/>
      <c r="G136" s="364" t="s">
        <v>52</v>
      </c>
      <c r="H136" s="270"/>
      <c r="I136" s="270"/>
      <c r="J136" s="385"/>
      <c r="K136" s="270"/>
      <c r="L136" s="270"/>
      <c r="M136" s="270"/>
      <c r="N136" s="270"/>
      <c r="O136" s="270"/>
      <c r="P136" s="270"/>
      <c r="Q136" s="270"/>
      <c r="R136" s="270"/>
      <c r="S136" s="368"/>
      <c r="T136" s="63"/>
    </row>
    <row r="137" spans="1:21" ht="18.75" customHeight="1" thickBot="1">
      <c r="A137" s="3"/>
      <c r="B137" s="784"/>
      <c r="C137" s="785"/>
      <c r="D137" s="786"/>
      <c r="E137" s="788"/>
      <c r="F137" s="667"/>
      <c r="G137" s="369" t="s">
        <v>53</v>
      </c>
      <c r="H137" s="370"/>
      <c r="I137" s="370"/>
      <c r="J137" s="386"/>
      <c r="K137" s="370"/>
      <c r="L137" s="370"/>
      <c r="M137" s="370"/>
      <c r="N137" s="370"/>
      <c r="O137" s="370"/>
      <c r="P137" s="370"/>
      <c r="Q137" s="370"/>
      <c r="R137" s="370"/>
      <c r="S137" s="371"/>
      <c r="T137" s="63"/>
    </row>
    <row r="138" spans="1:21">
      <c r="A138" s="3"/>
      <c r="B138" s="3"/>
      <c r="C138" s="3"/>
      <c r="D138" s="3"/>
      <c r="E138" s="3"/>
      <c r="F138" s="3"/>
      <c r="G138" s="2"/>
      <c r="H138" s="3"/>
      <c r="I138" s="3"/>
      <c r="J138" s="3"/>
      <c r="K138" s="3"/>
      <c r="L138" s="3"/>
      <c r="M138" s="3"/>
      <c r="N138" s="3"/>
      <c r="O138" s="3"/>
      <c r="R138" s="35"/>
      <c r="S138" s="35"/>
    </row>
    <row r="139" spans="1:21">
      <c r="A139" s="3"/>
      <c r="B139" s="3"/>
      <c r="C139" s="3"/>
      <c r="D139" s="3"/>
      <c r="E139" s="3"/>
      <c r="F139" s="3"/>
      <c r="G139" s="2"/>
      <c r="H139" s="3"/>
      <c r="I139" s="3"/>
      <c r="J139" s="3"/>
      <c r="K139" s="3"/>
      <c r="L139" s="3"/>
      <c r="M139" s="3"/>
      <c r="N139" s="3"/>
      <c r="O139" s="3"/>
      <c r="R139" s="35"/>
      <c r="S139" s="35"/>
    </row>
    <row r="140" spans="1:21">
      <c r="A140" s="3"/>
      <c r="B140" s="3"/>
      <c r="C140" s="3"/>
      <c r="D140" s="3"/>
      <c r="E140" s="3"/>
      <c r="F140" s="3"/>
      <c r="G140" s="2"/>
      <c r="H140" s="3"/>
      <c r="I140" s="3"/>
      <c r="J140" s="3"/>
      <c r="K140" s="3"/>
      <c r="L140" s="3"/>
      <c r="M140" s="3"/>
      <c r="N140" s="3"/>
      <c r="O140" s="3"/>
      <c r="R140" s="35"/>
      <c r="S140" s="35"/>
    </row>
    <row r="141" spans="1:21" ht="16.5" thickBot="1">
      <c r="A141" s="3"/>
      <c r="B141" s="272"/>
      <c r="C141" s="3"/>
      <c r="D141" s="3"/>
      <c r="E141" s="3"/>
      <c r="F141" s="3"/>
      <c r="G141" s="2"/>
      <c r="H141" s="3"/>
      <c r="I141" s="3"/>
      <c r="J141" s="3"/>
      <c r="K141" s="3"/>
      <c r="L141" s="3"/>
      <c r="M141" s="3"/>
      <c r="N141" s="3"/>
      <c r="O141" s="3"/>
      <c r="R141" s="35"/>
      <c r="S141" s="35"/>
    </row>
    <row r="142" spans="1:21" ht="26.25" thickBot="1">
      <c r="A142" s="3"/>
      <c r="B142" s="3" t="s">
        <v>434</v>
      </c>
      <c r="C142" s="3"/>
      <c r="D142" s="3"/>
      <c r="E142" s="271" t="s">
        <v>379</v>
      </c>
      <c r="F142" s="396" t="s">
        <v>380</v>
      </c>
      <c r="G142" s="210"/>
      <c r="H142" s="320" t="str">
        <f t="shared" ref="H142:S142" si="6">C30</f>
        <v>P1</v>
      </c>
      <c r="I142" s="320" t="str">
        <f t="shared" si="6"/>
        <v>P2</v>
      </c>
      <c r="J142" s="320" t="str">
        <f t="shared" si="6"/>
        <v>P3</v>
      </c>
      <c r="K142" s="320" t="str">
        <f t="shared" si="6"/>
        <v>P4</v>
      </c>
      <c r="L142" s="320" t="str">
        <f t="shared" si="6"/>
        <v>P5</v>
      </c>
      <c r="M142" s="320" t="str">
        <f t="shared" si="6"/>
        <v>P6</v>
      </c>
      <c r="N142" s="320" t="str">
        <f t="shared" si="6"/>
        <v>P7</v>
      </c>
      <c r="O142" s="320" t="str">
        <f t="shared" si="6"/>
        <v>P8</v>
      </c>
      <c r="P142" s="320" t="str">
        <f t="shared" si="6"/>
        <v>P9</v>
      </c>
      <c r="Q142" s="320" t="str">
        <f t="shared" si="6"/>
        <v>P10</v>
      </c>
      <c r="R142" s="320" t="str">
        <f t="shared" si="6"/>
        <v>P11</v>
      </c>
      <c r="S142" s="321" t="str">
        <f t="shared" si="6"/>
        <v>P12</v>
      </c>
      <c r="T142" s="35"/>
      <c r="U142" s="35"/>
    </row>
    <row r="143" spans="1:21" ht="18.75" customHeight="1">
      <c r="A143" s="3"/>
      <c r="B143" s="775" t="str">
        <f>IF(ISBLANK(B118),"",(B118))</f>
        <v>Rata mortalităţii  - Numărul de decese cauzate de TB (toate formele) pe an, la 100,000 persoane</v>
      </c>
      <c r="C143" s="776"/>
      <c r="D143" s="777"/>
      <c r="E143" s="753" t="str">
        <f>IF(ISBLANK(E118),"",(E118))</f>
        <v>Impact 1</v>
      </c>
      <c r="F143" s="755" t="str">
        <f>IF(ISBLANK(F118),"",(F118))</f>
        <v>Nu</v>
      </c>
      <c r="G143" s="390" t="s">
        <v>374</v>
      </c>
      <c r="H143" s="479">
        <f t="shared" ref="H143:S143" si="7">H118</f>
        <v>12.7</v>
      </c>
      <c r="I143" s="479">
        <f t="shared" si="7"/>
        <v>11.6</v>
      </c>
      <c r="J143" s="479">
        <f t="shared" si="7"/>
        <v>11.6</v>
      </c>
      <c r="K143" s="479">
        <f>K118</f>
        <v>0</v>
      </c>
      <c r="L143" s="479">
        <f t="shared" si="7"/>
        <v>0</v>
      </c>
      <c r="M143" s="479">
        <f t="shared" si="7"/>
        <v>0</v>
      </c>
      <c r="N143" s="479">
        <f t="shared" si="7"/>
        <v>0</v>
      </c>
      <c r="O143" s="479">
        <f t="shared" si="7"/>
        <v>0</v>
      </c>
      <c r="P143" s="479">
        <f t="shared" si="7"/>
        <v>0</v>
      </c>
      <c r="Q143" s="479">
        <f t="shared" si="7"/>
        <v>0</v>
      </c>
      <c r="R143" s="479">
        <f t="shared" si="7"/>
        <v>0</v>
      </c>
      <c r="S143" s="381">
        <f t="shared" si="7"/>
        <v>0</v>
      </c>
      <c r="T143" s="35"/>
      <c r="U143" s="35"/>
    </row>
    <row r="144" spans="1:21" ht="17.25" customHeight="1">
      <c r="A144" s="3"/>
      <c r="B144" s="778"/>
      <c r="C144" s="779"/>
      <c r="D144" s="780"/>
      <c r="E144" s="753"/>
      <c r="F144" s="755"/>
      <c r="G144" s="390" t="s">
        <v>375</v>
      </c>
      <c r="H144" s="479">
        <f>H119</f>
        <v>14.4</v>
      </c>
      <c r="I144" s="479">
        <f>I119</f>
        <v>11.14</v>
      </c>
      <c r="J144" s="479">
        <f>J119</f>
        <v>11.22</v>
      </c>
      <c r="K144" s="479">
        <f>K119</f>
        <v>0</v>
      </c>
      <c r="L144" s="479">
        <f t="shared" ref="L144:S144" si="8">L119</f>
        <v>0</v>
      </c>
      <c r="M144" s="479">
        <f t="shared" si="8"/>
        <v>0</v>
      </c>
      <c r="N144" s="479">
        <f t="shared" si="8"/>
        <v>0</v>
      </c>
      <c r="O144" s="479">
        <f t="shared" si="8"/>
        <v>0</v>
      </c>
      <c r="P144" s="479">
        <f t="shared" si="8"/>
        <v>0</v>
      </c>
      <c r="Q144" s="479">
        <f t="shared" si="8"/>
        <v>0</v>
      </c>
      <c r="R144" s="479">
        <f t="shared" si="8"/>
        <v>0</v>
      </c>
      <c r="S144" s="381">
        <f t="shared" si="8"/>
        <v>0</v>
      </c>
      <c r="T144" s="35"/>
      <c r="U144" s="35"/>
    </row>
    <row r="145" spans="1:21" ht="15.75" customHeight="1">
      <c r="A145" s="3"/>
      <c r="B145" s="764" t="str">
        <f>IF(ISBLANK(B120),"",(B120))</f>
        <v xml:space="preserve">Numărul și procentul pacienţilor cu tuberculoză multirezistentă (confirmată în baza testului de laborator) tratați cu succes (care au urmat și terminat tratamentul), incluşi în tratamentul DOTS-Plus     </v>
      </c>
      <c r="C145" s="765"/>
      <c r="D145" s="766"/>
      <c r="E145" s="763" t="str">
        <f>IF(ISBLANK(E120),"",(E120))</f>
        <v>Rezultat 1</v>
      </c>
      <c r="F145" s="752" t="str">
        <f>IF(ISBLANK(F120),"",(F120))</f>
        <v>Nu</v>
      </c>
      <c r="G145" s="391" t="s">
        <v>374</v>
      </c>
      <c r="H145" s="480">
        <f>H120</f>
        <v>55.4</v>
      </c>
      <c r="I145" s="480">
        <f t="shared" ref="I145:P145" si="9">I120</f>
        <v>60</v>
      </c>
      <c r="J145" s="480">
        <f t="shared" si="9"/>
        <v>60</v>
      </c>
      <c r="K145" s="480">
        <f t="shared" si="9"/>
        <v>0</v>
      </c>
      <c r="L145" s="480">
        <f t="shared" si="9"/>
        <v>0</v>
      </c>
      <c r="M145" s="480">
        <f t="shared" si="9"/>
        <v>0</v>
      </c>
      <c r="N145" s="480">
        <f t="shared" si="9"/>
        <v>0</v>
      </c>
      <c r="O145" s="480">
        <f t="shared" si="9"/>
        <v>0</v>
      </c>
      <c r="P145" s="480">
        <f t="shared" si="9"/>
        <v>0</v>
      </c>
      <c r="Q145" s="480">
        <f t="shared" ref="Q145:S146" si="10">Q120</f>
        <v>0</v>
      </c>
      <c r="R145" s="480">
        <f t="shared" si="10"/>
        <v>0</v>
      </c>
      <c r="S145" s="382">
        <f t="shared" si="10"/>
        <v>0</v>
      </c>
      <c r="T145" s="35"/>
      <c r="U145" s="35"/>
    </row>
    <row r="146" spans="1:21" ht="15.75" customHeight="1">
      <c r="A146" s="3"/>
      <c r="B146" s="764"/>
      <c r="C146" s="765"/>
      <c r="D146" s="766"/>
      <c r="E146" s="763"/>
      <c r="F146" s="752"/>
      <c r="G146" s="391" t="s">
        <v>375</v>
      </c>
      <c r="H146" s="480">
        <f>H121</f>
        <v>51.53</v>
      </c>
      <c r="I146" s="480">
        <f t="shared" ref="I146:P146" si="11">I121</f>
        <v>49.3</v>
      </c>
      <c r="J146" s="480">
        <f t="shared" si="11"/>
        <v>49.3</v>
      </c>
      <c r="K146" s="480">
        <f t="shared" si="11"/>
        <v>0</v>
      </c>
      <c r="L146" s="480">
        <f t="shared" si="11"/>
        <v>0</v>
      </c>
      <c r="M146" s="480">
        <f t="shared" si="11"/>
        <v>0</v>
      </c>
      <c r="N146" s="480">
        <f t="shared" si="11"/>
        <v>0</v>
      </c>
      <c r="O146" s="480">
        <f t="shared" si="11"/>
        <v>0</v>
      </c>
      <c r="P146" s="480">
        <f t="shared" si="11"/>
        <v>0</v>
      </c>
      <c r="Q146" s="480">
        <f t="shared" si="10"/>
        <v>0</v>
      </c>
      <c r="R146" s="480">
        <f t="shared" si="10"/>
        <v>0</v>
      </c>
      <c r="S146" s="382">
        <f t="shared" si="10"/>
        <v>0</v>
      </c>
      <c r="T146" s="35"/>
      <c r="U146" s="35"/>
    </row>
    <row r="147" spans="1:21" ht="21" customHeight="1">
      <c r="A147" s="3"/>
      <c r="B147" s="757" t="str">
        <f>IF(ISBLANK(B122),"",(B122))</f>
        <v>Prevalența TB MDR printre cazurile noi TB, %</v>
      </c>
      <c r="C147" s="758"/>
      <c r="D147" s="759"/>
      <c r="E147" s="753" t="str">
        <f>IF(ISBLANK(E122),"",(E122))</f>
        <v>Rezultat 2</v>
      </c>
      <c r="F147" s="755" t="str">
        <f>IF(ISBLANK(F122),"",(F122))</f>
        <v>Nu</v>
      </c>
      <c r="G147" s="390" t="s">
        <v>374</v>
      </c>
      <c r="H147" s="479">
        <f t="shared" ref="H147:K148" si="12">H122</f>
        <v>24</v>
      </c>
      <c r="I147" s="479">
        <f t="shared" si="12"/>
        <v>22</v>
      </c>
      <c r="J147" s="479">
        <f t="shared" si="12"/>
        <v>22</v>
      </c>
      <c r="K147" s="479">
        <f t="shared" si="12"/>
        <v>0</v>
      </c>
      <c r="L147" s="479">
        <f t="shared" ref="L147:S147" si="13">L122</f>
        <v>0</v>
      </c>
      <c r="M147" s="479">
        <f t="shared" si="13"/>
        <v>0</v>
      </c>
      <c r="N147" s="479">
        <f t="shared" si="13"/>
        <v>0</v>
      </c>
      <c r="O147" s="479">
        <f t="shared" si="13"/>
        <v>0</v>
      </c>
      <c r="P147" s="479">
        <f t="shared" si="13"/>
        <v>0</v>
      </c>
      <c r="Q147" s="479">
        <f t="shared" si="13"/>
        <v>0</v>
      </c>
      <c r="R147" s="479">
        <f t="shared" si="13"/>
        <v>0</v>
      </c>
      <c r="S147" s="381">
        <f t="shared" si="13"/>
        <v>0</v>
      </c>
      <c r="T147" s="35"/>
      <c r="U147" s="35"/>
    </row>
    <row r="148" spans="1:21" ht="23.25" customHeight="1" thickBot="1">
      <c r="A148" s="3"/>
      <c r="B148" s="760"/>
      <c r="C148" s="761"/>
      <c r="D148" s="762"/>
      <c r="E148" s="754"/>
      <c r="F148" s="756"/>
      <c r="G148" s="397" t="s">
        <v>375</v>
      </c>
      <c r="H148" s="481">
        <f t="shared" si="12"/>
        <v>23.7</v>
      </c>
      <c r="I148" s="481">
        <f t="shared" si="12"/>
        <v>24.8</v>
      </c>
      <c r="J148" s="481">
        <f t="shared" si="12"/>
        <v>25.53</v>
      </c>
      <c r="K148" s="481">
        <f t="shared" si="12"/>
        <v>0</v>
      </c>
      <c r="L148" s="481">
        <f t="shared" ref="L148:S148" si="14">L123</f>
        <v>0</v>
      </c>
      <c r="M148" s="481">
        <f t="shared" si="14"/>
        <v>0</v>
      </c>
      <c r="N148" s="481">
        <f t="shared" si="14"/>
        <v>0</v>
      </c>
      <c r="O148" s="481">
        <f t="shared" si="14"/>
        <v>0</v>
      </c>
      <c r="P148" s="481">
        <f t="shared" si="14"/>
        <v>0</v>
      </c>
      <c r="Q148" s="481">
        <f t="shared" si="14"/>
        <v>0</v>
      </c>
      <c r="R148" s="481">
        <f t="shared" si="14"/>
        <v>0</v>
      </c>
      <c r="S148" s="383">
        <f t="shared" si="14"/>
        <v>0</v>
      </c>
      <c r="T148" s="35"/>
      <c r="U148" s="35"/>
    </row>
    <row r="149" spans="1:21">
      <c r="A149" s="3"/>
      <c r="B149" s="3"/>
      <c r="C149" s="3"/>
      <c r="D149" s="3"/>
      <c r="E149" s="3"/>
      <c r="F149" s="3"/>
      <c r="G149" s="3"/>
      <c r="H149" s="3"/>
      <c r="I149" s="3"/>
      <c r="J149" s="3"/>
      <c r="K149" s="3"/>
      <c r="L149" s="3"/>
      <c r="M149" s="3"/>
      <c r="N149"/>
      <c r="O149"/>
      <c r="P149" s="35"/>
      <c r="Q149" s="35"/>
      <c r="S149" s="372"/>
    </row>
    <row r="150" spans="1:21">
      <c r="N150"/>
      <c r="O150"/>
      <c r="P150" s="35"/>
      <c r="Q150" s="35"/>
    </row>
    <row r="151" spans="1:21">
      <c r="N151"/>
      <c r="O151"/>
      <c r="P151" s="35"/>
      <c r="Q151" s="35"/>
    </row>
    <row r="152" spans="1:21">
      <c r="N152"/>
      <c r="O152"/>
      <c r="P152" s="35"/>
      <c r="Q152" s="35"/>
    </row>
  </sheetData>
  <dataConsolidate/>
  <mergeCells count="73">
    <mergeCell ref="O31:O34"/>
    <mergeCell ref="E118:E119"/>
    <mergeCell ref="F118:F119"/>
    <mergeCell ref="F120:F121"/>
    <mergeCell ref="E120:E121"/>
    <mergeCell ref="F47:I47"/>
    <mergeCell ref="B147:D148"/>
    <mergeCell ref="E145:E146"/>
    <mergeCell ref="B145:D146"/>
    <mergeCell ref="B126:D127"/>
    <mergeCell ref="B128:D129"/>
    <mergeCell ref="B132:D133"/>
    <mergeCell ref="E126:E127"/>
    <mergeCell ref="E128:E129"/>
    <mergeCell ref="B134:D135"/>
    <mergeCell ref="B143:D144"/>
    <mergeCell ref="E134:E135"/>
    <mergeCell ref="B136:D137"/>
    <mergeCell ref="E136:E137"/>
    <mergeCell ref="F145:F146"/>
    <mergeCell ref="E147:E148"/>
    <mergeCell ref="F147:F148"/>
    <mergeCell ref="E143:E144"/>
    <mergeCell ref="F143:F144"/>
    <mergeCell ref="B73:C73"/>
    <mergeCell ref="C6:D6"/>
    <mergeCell ref="E6:F6"/>
    <mergeCell ref="B71:C71"/>
    <mergeCell ref="B26:C26"/>
    <mergeCell ref="D24:E24"/>
    <mergeCell ref="B29:N29"/>
    <mergeCell ref="B60:D60"/>
    <mergeCell ref="G24:H24"/>
    <mergeCell ref="I24:J24"/>
    <mergeCell ref="C8:D8"/>
    <mergeCell ref="B14:J14"/>
    <mergeCell ref="C12:D12"/>
    <mergeCell ref="D18:F18"/>
    <mergeCell ref="B21:J21"/>
    <mergeCell ref="E10:F10"/>
    <mergeCell ref="B116:D116"/>
    <mergeCell ref="B108:B111"/>
    <mergeCell ref="F128:F129"/>
    <mergeCell ref="B118:D119"/>
    <mergeCell ref="F122:F123"/>
    <mergeCell ref="B120:D121"/>
    <mergeCell ref="E124:E125"/>
    <mergeCell ref="F124:F125"/>
    <mergeCell ref="F126:F127"/>
    <mergeCell ref="A118:A123"/>
    <mergeCell ref="B130:D131"/>
    <mergeCell ref="E130:E131"/>
    <mergeCell ref="B2:J2"/>
    <mergeCell ref="C4:D4"/>
    <mergeCell ref="E4:F4"/>
    <mergeCell ref="G4:J4"/>
    <mergeCell ref="H16:I16"/>
    <mergeCell ref="C10:D10"/>
    <mergeCell ref="E12:F12"/>
    <mergeCell ref="I8:J8"/>
    <mergeCell ref="I6:J6"/>
    <mergeCell ref="G12:J12"/>
    <mergeCell ref="G10:J10"/>
    <mergeCell ref="B18:C18"/>
    <mergeCell ref="B72:C72"/>
    <mergeCell ref="F136:F137"/>
    <mergeCell ref="B124:D125"/>
    <mergeCell ref="E132:E133"/>
    <mergeCell ref="E122:E123"/>
    <mergeCell ref="B122:D123"/>
    <mergeCell ref="F134:F135"/>
    <mergeCell ref="F132:F133"/>
    <mergeCell ref="F130:F131"/>
  </mergeCells>
  <phoneticPr fontId="23" type="noConversion"/>
  <conditionalFormatting sqref="B34 B32 E33:N33 E32:H32">
    <cfRule type="expression" dxfId="44" priority="5" stopIfTrue="1">
      <formula>+AND(B31&gt;=#REF!,B31&lt;=#REF!)</formula>
    </cfRule>
  </conditionalFormatting>
  <conditionalFormatting sqref="E34:N34">
    <cfRule type="expression" dxfId="43" priority="6" stopIfTrue="1">
      <formula>+AND(E32&gt;=#REF!,E32&lt;=#REF!)</formula>
    </cfRule>
  </conditionalFormatting>
  <conditionalFormatting sqref="C30:N30 C94:N94">
    <cfRule type="cellIs" dxfId="42" priority="9" stopIfTrue="1" operator="equal">
      <formula>$C$16</formula>
    </cfRule>
  </conditionalFormatting>
  <conditionalFormatting sqref="C12:D12">
    <cfRule type="cellIs" dxfId="41" priority="11" stopIfTrue="1" operator="equal">
      <formula>"C"</formula>
    </cfRule>
    <cfRule type="cellIs" dxfId="40" priority="12" stopIfTrue="1" operator="equal">
      <formula>"B2"</formula>
    </cfRule>
    <cfRule type="cellIs" dxfId="39" priority="13" stopIfTrue="1" operator="equal">
      <formula>"B1"</formula>
    </cfRule>
  </conditionalFormatting>
  <conditionalFormatting sqref="H142:S142 H116:S117">
    <cfRule type="cellIs" dxfId="38" priority="20" stopIfTrue="1" operator="equal">
      <formula>$C$16</formula>
    </cfRule>
  </conditionalFormatting>
  <conditionalFormatting sqref="F47:I47">
    <cfRule type="expression" dxfId="37" priority="21" stopIfTrue="1">
      <formula>LEFT($F$47,2)="OK"</formula>
    </cfRule>
  </conditionalFormatting>
  <conditionalFormatting sqref="C33">
    <cfRule type="expression" dxfId="36" priority="4" stopIfTrue="1">
      <formula>+AND(C31&gt;=#REF!,C31&lt;=#REF!)</formula>
    </cfRule>
  </conditionalFormatting>
  <conditionalFormatting sqref="C34">
    <cfRule type="expression" dxfId="35" priority="3" stopIfTrue="1">
      <formula>+AND(C32&gt;=#REF!,C32&lt;=#REF!)</formula>
    </cfRule>
  </conditionalFormatting>
  <conditionalFormatting sqref="D33">
    <cfRule type="expression" dxfId="34" priority="2" stopIfTrue="1">
      <formula>+AND(D31&gt;=#REF!,D31&lt;=#REF!)</formula>
    </cfRule>
  </conditionalFormatting>
  <conditionalFormatting sqref="D34">
    <cfRule type="expression" dxfId="33" priority="1" stopIfTrue="1">
      <formula>+AND(D32&gt;=#REF!,D32&lt;=#REF!)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8" scale="75" orientation="landscape" r:id="rId1"/>
  <headerFooter>
    <oddFooter>&amp;L&amp;F&amp;C&amp;A&amp;RV1.0          &amp;D</oddFooter>
  </headerFooter>
  <rowBreaks count="2" manualBreakCount="2">
    <brk id="48" max="16383" man="1"/>
    <brk id="106" max="14" man="1"/>
  </rowBreaks>
  <ignoredErrors>
    <ignoredError sqref="H142:S142 E14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view="pageBreakPreview" zoomScaleNormal="110" zoomScaleSheetLayoutView="100" workbookViewId="0">
      <selection activeCell="G22" sqref="G22"/>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29"/>
      <c r="H1" s="2"/>
      <c r="I1" s="2"/>
      <c r="J1" s="2"/>
    </row>
    <row r="2" spans="1:24" ht="25.5" customHeight="1"/>
    <row r="3" spans="1:24" ht="36">
      <c r="B3" s="800" t="str">
        <f>+"Tabel Programatic de Evaluare: "&amp;" "&amp;+IF('Introducerea datelor'!C4="Please Select","",'Introducerea datelor'!C4&amp;" - ")&amp;+IF('Introducerea datelor'!G6="Please Select","",'Introducerea datelor'!G6)</f>
        <v>Tabel Programatic de Evaluare:  Moldova - TB</v>
      </c>
      <c r="C3" s="800"/>
      <c r="D3" s="800"/>
      <c r="E3" s="800"/>
      <c r="F3" s="800"/>
      <c r="G3" s="800"/>
      <c r="H3" s="800"/>
      <c r="I3" s="800"/>
      <c r="J3" s="800"/>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25" t="s">
        <v>284</v>
      </c>
      <c r="B6" s="802" t="str">
        <f>+IF('Introducerea datelor'!C4="Please Select","",'Introducerea datelor'!C4)</f>
        <v>Moldova</v>
      </c>
      <c r="C6" s="802"/>
      <c r="D6" s="806" t="s">
        <v>288</v>
      </c>
      <c r="E6" s="806"/>
      <c r="F6" s="807" t="str">
        <f>+'Introducerea datelor'!G4</f>
        <v>Consolidarea controlului Tuberculozei în Republica Moldova</v>
      </c>
      <c r="G6" s="807"/>
      <c r="H6" s="807"/>
      <c r="I6" s="807"/>
      <c r="J6" s="807"/>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12" t="s">
        <v>289</v>
      </c>
      <c r="B9" s="287" t="str">
        <f>+IF('Introducerea datelor'!G6="Please Select","",'Introducerea datelor'!G6)</f>
        <v>TB</v>
      </c>
      <c r="C9" s="191" t="s">
        <v>248</v>
      </c>
      <c r="D9" s="288" t="str">
        <f>+'Introducerea datelor'!C6</f>
        <v xml:space="preserve">MOL-T-PCIMU </v>
      </c>
      <c r="E9" s="804" t="s">
        <v>382</v>
      </c>
      <c r="F9" s="804"/>
      <c r="G9" s="413">
        <f>+IF(ISBLANK('Introducerea datelor'!C10),"",'Introducerea datelor'!C10)</f>
        <v>40452</v>
      </c>
      <c r="H9" s="312" t="s">
        <v>290</v>
      </c>
      <c r="I9" s="803">
        <f>+IF(ISBLANK('Introducerea datelor'!I6),"",'Introducerea datelor'!I6)</f>
        <v>12371649.98</v>
      </c>
      <c r="J9" s="803"/>
      <c r="K9" s="49"/>
      <c r="L9" s="49"/>
      <c r="M9" s="49"/>
      <c r="N9" s="49"/>
      <c r="O9" s="51"/>
      <c r="P9" s="50"/>
      <c r="Q9" s="51"/>
      <c r="R9" s="52"/>
      <c r="S9" s="17"/>
      <c r="T9" s="11"/>
      <c r="U9" s="11"/>
      <c r="V9" s="10"/>
      <c r="W9" s="10"/>
      <c r="X9" s="10"/>
    </row>
    <row r="10" spans="1:24" ht="25.5" customHeight="1">
      <c r="A10" s="312" t="s">
        <v>291</v>
      </c>
      <c r="B10" s="289" t="str">
        <f>+IF('Introducerea datelor'!G8="Please Select","",'Introducerea datelor'!G8)</f>
        <v/>
      </c>
      <c r="C10" s="191" t="s">
        <v>292</v>
      </c>
      <c r="D10" s="290" t="str">
        <f>+IF('Introducerea datelor'!I8="Please Select","",'Introducerea datelor'!I8)</f>
        <v>Faza 2</v>
      </c>
      <c r="E10" s="805" t="s">
        <v>383</v>
      </c>
      <c r="F10" s="805"/>
      <c r="G10" s="801" t="str">
        <f>+'Introducerea datelor'!C8</f>
        <v>IP UCIMP RSS</v>
      </c>
      <c r="H10" s="801"/>
      <c r="I10" s="801"/>
      <c r="J10" s="801"/>
      <c r="K10" s="53"/>
      <c r="L10" s="53"/>
      <c r="M10" s="49"/>
      <c r="N10" s="53"/>
      <c r="O10" s="51"/>
      <c r="P10" s="50"/>
      <c r="Q10" s="11"/>
      <c r="R10" s="52"/>
      <c r="S10" s="17"/>
      <c r="T10" s="11"/>
      <c r="U10" s="11"/>
    </row>
    <row r="11" spans="1:24" ht="25.5" customHeight="1">
      <c r="A11" s="312" t="s">
        <v>295</v>
      </c>
      <c r="B11" s="291" t="str">
        <f>+'Introducerea datelor'!C16</f>
        <v>P3</v>
      </c>
      <c r="C11" s="275" t="s">
        <v>296</v>
      </c>
      <c r="D11" s="414">
        <f>+IF(ISBLANK('Introducerea datelor'!E16),"",'Introducerea datelor'!E16)</f>
        <v>41640</v>
      </c>
      <c r="E11" s="804" t="s">
        <v>297</v>
      </c>
      <c r="F11" s="804"/>
      <c r="G11" s="414">
        <f>+IF(ISBLANK('Introducerea datelor'!G16),"",'Introducerea datelor'!G16)</f>
        <v>41820</v>
      </c>
      <c r="H11" s="312" t="s">
        <v>287</v>
      </c>
      <c r="I11" s="808" t="str">
        <f>+IF('Introducerea datelor'!C12="Please Select","",'Introducerea datelor'!C12)</f>
        <v>A1</v>
      </c>
      <c r="J11" s="808"/>
      <c r="K11" s="228"/>
      <c r="L11" s="53"/>
      <c r="M11" s="49"/>
      <c r="N11" s="53"/>
      <c r="O11" s="53"/>
      <c r="P11" s="50"/>
      <c r="Q11" s="11"/>
      <c r="R11" s="52"/>
      <c r="S11" s="17"/>
      <c r="T11" s="12"/>
      <c r="U11" s="11"/>
    </row>
    <row r="12" spans="1:24" ht="25.5" customHeight="1">
      <c r="A12" s="312" t="s">
        <v>293</v>
      </c>
      <c r="B12" s="801" t="str">
        <f>+IF('Introducerea datelor'!G10="Please Select","",'Introducerea datelor'!G10)</f>
        <v>PwC (PricewaterhouseCoopers)</v>
      </c>
      <c r="C12" s="801"/>
      <c r="D12" s="801"/>
      <c r="E12" s="805" t="s">
        <v>233</v>
      </c>
      <c r="F12" s="805"/>
      <c r="G12" s="801" t="str">
        <f>+'Introducerea datelor'!G12</f>
        <v>Tatiana Vinichenko</v>
      </c>
      <c r="H12" s="801"/>
      <c r="I12" s="801"/>
      <c r="J12" s="801"/>
      <c r="K12" s="53"/>
      <c r="L12" s="53"/>
      <c r="M12" s="49"/>
      <c r="N12" s="53"/>
      <c r="O12" s="17"/>
      <c r="P12" s="50"/>
      <c r="Q12" s="11"/>
      <c r="R12" s="52"/>
      <c r="S12" s="17"/>
      <c r="T12" s="11"/>
      <c r="U12" s="54"/>
      <c r="V12" s="11"/>
      <c r="W12" s="12"/>
      <c r="X12" s="11"/>
    </row>
    <row r="13" spans="1:24" ht="30.75" customHeight="1">
      <c r="A13" s="312" t="s">
        <v>384</v>
      </c>
      <c r="B13" s="801" t="str">
        <f>+'Introducerea datelor'!D18</f>
        <v>IP UCIMP RSS</v>
      </c>
      <c r="C13" s="801"/>
      <c r="D13" s="801"/>
      <c r="E13" s="809" t="s">
        <v>385</v>
      </c>
      <c r="F13" s="809"/>
      <c r="G13" s="810">
        <f>+IF(ISBLANK('Introducerea datelor'!J16),"",'Introducerea datelor'!J16)</f>
        <v>41927</v>
      </c>
      <c r="H13" s="811"/>
      <c r="I13" s="811"/>
      <c r="J13" s="811"/>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00"/>
      <c r="D16" s="16"/>
      <c r="E16" s="313"/>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23"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view="pageBreakPreview" topLeftCell="A4" zoomScaleNormal="100" zoomScaleSheetLayoutView="100" workbookViewId="0">
      <selection activeCell="I27" sqref="I27:L2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97"/>
      <c r="E1" s="198"/>
    </row>
    <row r="2" spans="1:16" ht="27.75" customHeight="1">
      <c r="B2" s="827" t="str">
        <f>+"Tabel Programatic de Evaluare:  "&amp;"  "&amp;IF(+'Introducerea datelor'!C4="Please Select","",'Introducerea datelor'!C4&amp;" - ")&amp;IF('Introducerea datelor'!G6="Please Select","",'Introducerea datelor'!G6)</f>
        <v>Tabel Programatic de Evaluare:    Moldova - TB</v>
      </c>
      <c r="C2" s="827"/>
      <c r="D2" s="827"/>
      <c r="E2" s="827"/>
      <c r="F2" s="827"/>
      <c r="G2" s="827"/>
      <c r="H2" s="827"/>
      <c r="I2" s="827"/>
      <c r="J2" s="827"/>
      <c r="K2" s="827"/>
      <c r="L2" s="827"/>
      <c r="M2" s="25"/>
      <c r="N2" s="25"/>
      <c r="O2" s="25"/>
      <c r="P2" s="25"/>
    </row>
    <row r="3" spans="1:16">
      <c r="B3" s="23" t="str">
        <f>+IF('Introducerea datelor'!G8="Please Select","",'Introducerea datelor'!G8)</f>
        <v/>
      </c>
      <c r="C3" s="831" t="str">
        <f>+IF('Introducerea datelor'!I8="Please Select","",'Introducerea datelor'!I8)</f>
        <v>Faza 2</v>
      </c>
      <c r="D3" s="831"/>
      <c r="E3" s="825"/>
      <c r="F3" s="825"/>
      <c r="G3" s="825"/>
      <c r="H3" s="825"/>
      <c r="I3" s="825"/>
      <c r="J3" s="830" t="str">
        <f>+'Introducerea datelor'!B16</f>
        <v>Perioada de Raportare:</v>
      </c>
      <c r="K3" s="830"/>
      <c r="L3" s="166" t="str">
        <f>+'Introducerea datelor'!C16</f>
        <v>P3</v>
      </c>
    </row>
    <row r="4" spans="1:16">
      <c r="B4" s="23" t="str">
        <f>+'Introducerea datelor'!B12</f>
        <v>Ultimul Rating:</v>
      </c>
      <c r="C4" s="828" t="str">
        <f>+IF('Introducerea datelor'!C12="Please Select","",'Introducerea datelor'!C12)</f>
        <v>A1</v>
      </c>
      <c r="D4" s="828"/>
      <c r="E4" s="825" t="str">
        <f>+'Introducerea datelor'!C8</f>
        <v>IP UCIMP RSS</v>
      </c>
      <c r="F4" s="825"/>
      <c r="G4" s="825"/>
      <c r="H4" s="825"/>
      <c r="I4" s="825"/>
      <c r="J4" s="830" t="str">
        <f>+'Introducerea datelor'!D16</f>
        <v>De la:</v>
      </c>
      <c r="K4" s="832"/>
      <c r="L4" s="448">
        <f>+IF(ISBLANK('Introducerea datelor'!E16),"",'Introducerea datelor'!E16)</f>
        <v>41640</v>
      </c>
    </row>
    <row r="5" spans="1:16" ht="18.75" customHeight="1">
      <c r="B5" s="23"/>
      <c r="C5" s="23"/>
      <c r="D5" s="825" t="str">
        <f>+'Introducerea datelor'!G4</f>
        <v>Consolidarea controlului Tuberculozei în Republica Moldova</v>
      </c>
      <c r="E5" s="825"/>
      <c r="F5" s="825"/>
      <c r="G5" s="825"/>
      <c r="H5" s="825"/>
      <c r="I5" s="825"/>
      <c r="J5" s="825"/>
      <c r="K5" s="23" t="str">
        <f>+'Introducerea datelor'!F16</f>
        <v>Pînă la:</v>
      </c>
      <c r="L5" s="448">
        <f>+IF(ISBLANK('Introducerea datelor'!G16),"",'Introducerea datelor'!G16)</f>
        <v>41820</v>
      </c>
    </row>
    <row r="6" spans="1:16" ht="18.75">
      <c r="B6" s="22"/>
      <c r="C6" s="23"/>
      <c r="D6" s="24"/>
      <c r="E6" s="829" t="s">
        <v>391</v>
      </c>
      <c r="F6" s="829"/>
      <c r="G6" s="829"/>
      <c r="H6" s="829"/>
      <c r="I6" s="829"/>
    </row>
    <row r="7" spans="1:16" ht="26.25" customHeight="1">
      <c r="B7" s="814" t="str">
        <f>+'Introducerea datelor'!B69&amp;"                "&amp;+J3&amp;" "&amp;+L3</f>
        <v>M1: Statutul Condițiilor Precedente și a Acțiunilor Prestabilite în Timp                 Perioada de Raportare: P3</v>
      </c>
      <c r="C7" s="815"/>
      <c r="D7" s="815"/>
      <c r="E7" s="815"/>
      <c r="F7" s="815"/>
      <c r="H7" s="814" t="str">
        <f>+'Introducerea datelor'!B76&amp;"                                                                             "&amp;+J3&amp;"  "&amp;+L3</f>
        <v>M2: Statutul pozițiilor cheie a RP                                                                              Perioada de Raportare:  P3</v>
      </c>
      <c r="I7" s="815"/>
      <c r="J7" s="815"/>
      <c r="K7" s="815"/>
      <c r="L7" s="815"/>
    </row>
    <row r="8" spans="1:16" ht="49.5" customHeight="1">
      <c r="B8" s="294" t="s">
        <v>389</v>
      </c>
      <c r="C8" s="817" t="s">
        <v>475</v>
      </c>
      <c r="D8" s="820"/>
      <c r="E8" s="820"/>
      <c r="F8" s="821"/>
      <c r="G8" s="537"/>
      <c r="H8" s="294" t="s">
        <v>389</v>
      </c>
      <c r="I8" s="817" t="s">
        <v>476</v>
      </c>
      <c r="J8" s="818"/>
      <c r="K8" s="818"/>
      <c r="L8" s="819"/>
    </row>
    <row r="9" spans="1:16" ht="22.5" customHeight="1">
      <c r="B9" s="19"/>
      <c r="C9" s="19"/>
      <c r="D9" s="19"/>
      <c r="E9" s="19"/>
      <c r="F9" s="19"/>
      <c r="G9" s="19"/>
      <c r="H9" s="19"/>
    </row>
    <row r="10" spans="1:16" ht="21" customHeight="1">
      <c r="A10" s="46"/>
      <c r="B10" s="19"/>
      <c r="C10" s="19"/>
      <c r="D10" s="826"/>
      <c r="E10" s="649"/>
      <c r="F10" s="649"/>
      <c r="G10" s="174"/>
      <c r="H10" s="19"/>
      <c r="N10" s="48"/>
      <c r="O10" s="48"/>
      <c r="P10" s="47"/>
    </row>
    <row r="11" spans="1:16">
      <c r="B11" s="19"/>
      <c r="C11" s="27"/>
      <c r="D11" s="826"/>
      <c r="E11" s="27"/>
      <c r="F11" s="27"/>
      <c r="G11" s="27"/>
      <c r="H11" s="27"/>
      <c r="N11" s="19"/>
      <c r="O11" s="19"/>
    </row>
    <row r="12" spans="1:16">
      <c r="B12" s="27"/>
      <c r="C12" s="78"/>
      <c r="D12" s="79"/>
      <c r="E12" s="79"/>
      <c r="F12" s="79"/>
      <c r="G12" s="79"/>
      <c r="H12" s="80"/>
    </row>
    <row r="13" spans="1:16">
      <c r="B13" s="27"/>
      <c r="C13" s="78"/>
      <c r="D13" s="79"/>
      <c r="E13" s="79"/>
      <c r="F13" s="79"/>
      <c r="G13" s="79"/>
      <c r="H13" s="80"/>
    </row>
    <row r="14" spans="1:16" ht="27" customHeight="1"/>
    <row r="15" spans="1:16" ht="35.25" customHeight="1">
      <c r="B15" s="814" t="str">
        <f>+'Introducerea datelor'!B81&amp;"                                                                                                 "&amp;+J3&amp;" "&amp;+L3</f>
        <v>M3: Aranjamente contractuale (SR)                                                                                                  Perioada de Raportare: P3</v>
      </c>
      <c r="C15" s="815"/>
      <c r="D15" s="815"/>
      <c r="E15" s="815"/>
      <c r="F15" s="815"/>
      <c r="G15" s="815"/>
      <c r="H15" s="814" t="str">
        <f>+'Introducerea datelor'!B86&amp;"                        "&amp;+J3&amp;" "&amp;+L3</f>
        <v>M4: Numărul rapoartelor complete recepționate la timp                        Perioada de Raportare: P3</v>
      </c>
      <c r="I15" s="815"/>
      <c r="J15" s="815"/>
      <c r="K15" s="815"/>
      <c r="L15" s="815"/>
    </row>
    <row r="16" spans="1:16" ht="51.75" customHeight="1">
      <c r="B16" s="294" t="s">
        <v>389</v>
      </c>
      <c r="C16" s="817" t="s">
        <v>477</v>
      </c>
      <c r="D16" s="818"/>
      <c r="E16" s="818"/>
      <c r="F16" s="819"/>
      <c r="G16" s="537"/>
      <c r="H16" s="294" t="s">
        <v>389</v>
      </c>
      <c r="I16" s="817" t="s">
        <v>445</v>
      </c>
      <c r="J16" s="820"/>
      <c r="K16" s="820"/>
      <c r="L16" s="821"/>
    </row>
    <row r="17" spans="2:13">
      <c r="B17" s="28"/>
      <c r="H17" s="29"/>
    </row>
    <row r="18" spans="2:13">
      <c r="M18" s="82"/>
    </row>
    <row r="26" spans="2:13" ht="40.5" customHeight="1">
      <c r="B26" s="812" t="str">
        <f>+'Introducerea datelor'!B92</f>
        <v xml:space="preserve">M5: Bugetul și Procurarea produselor medicale, echipamentului medical, medicamentelor și produselor farmaceutice </v>
      </c>
      <c r="C26" s="813"/>
      <c r="D26" s="813"/>
      <c r="E26" s="813"/>
      <c r="F26" s="813"/>
      <c r="H26" s="814" t="str">
        <f>+'Introducerea datelor'!B105&amp;"                                                                "&amp;+J3&amp;"  "&amp;+L3</f>
        <v>M6: Diferență între stocul curent și stocul de siguranță                                                                Perioada de Raportare:  P3</v>
      </c>
      <c r="I26" s="815"/>
      <c r="J26" s="815"/>
      <c r="K26" s="815"/>
      <c r="L26" s="815"/>
    </row>
    <row r="27" spans="2:13" ht="55.5" customHeight="1">
      <c r="B27" s="294" t="s">
        <v>389</v>
      </c>
      <c r="C27" s="817" t="s">
        <v>479</v>
      </c>
      <c r="D27" s="818"/>
      <c r="E27" s="818"/>
      <c r="F27" s="819"/>
      <c r="G27" s="537"/>
      <c r="H27" s="294" t="s">
        <v>1</v>
      </c>
      <c r="I27" s="817" t="s">
        <v>480</v>
      </c>
      <c r="J27" s="820"/>
      <c r="K27" s="820"/>
      <c r="L27" s="821"/>
    </row>
    <row r="28" spans="2:13" ht="15.75" thickBot="1"/>
    <row r="29" spans="2:13" ht="59.25" customHeight="1">
      <c r="F29" s="279"/>
      <c r="G29" s="279"/>
      <c r="H29" s="400" t="s">
        <v>363</v>
      </c>
      <c r="I29" s="399" t="s">
        <v>392</v>
      </c>
      <c r="J29" s="293" t="s">
        <v>394</v>
      </c>
      <c r="K29" s="185" t="s">
        <v>395</v>
      </c>
      <c r="L29" s="276" t="s">
        <v>396</v>
      </c>
    </row>
    <row r="30" spans="2:13" ht="15" customHeight="1">
      <c r="F30" s="279"/>
      <c r="G30" s="279"/>
      <c r="H30" s="822" t="str">
        <f>+'Introducerea datelor'!B108</f>
        <v>Please Select</v>
      </c>
      <c r="I30" s="277" t="str">
        <f>+'Introducerea datelor'!C108</f>
        <v>Please Select</v>
      </c>
      <c r="J30" s="360" t="str">
        <f>+'Introducerea datelor'!I108</f>
        <v/>
      </c>
      <c r="K30" s="361">
        <f>+'Introducerea datelor'!J108</f>
        <v>0</v>
      </c>
      <c r="L30" s="348" t="str">
        <f>+'Introducerea datelor'!K108</f>
        <v/>
      </c>
    </row>
    <row r="31" spans="2:13">
      <c r="F31" s="279"/>
      <c r="G31" s="279"/>
      <c r="H31" s="823"/>
      <c r="I31" s="277" t="str">
        <f>+'Introducerea datelor'!C109</f>
        <v>Please Select</v>
      </c>
      <c r="J31" s="360" t="str">
        <f>+'Introducerea datelor'!I109</f>
        <v/>
      </c>
      <c r="K31" s="361">
        <f>+'Introducerea datelor'!J109</f>
        <v>0</v>
      </c>
      <c r="L31" s="349" t="str">
        <f>+'Introducerea datelor'!K109</f>
        <v/>
      </c>
    </row>
    <row r="32" spans="2:13">
      <c r="F32" s="279"/>
      <c r="G32" s="279"/>
      <c r="H32" s="823"/>
      <c r="I32" s="277" t="str">
        <f>+'Introducerea datelor'!C110</f>
        <v>Please Select</v>
      </c>
      <c r="J32" s="360" t="str">
        <f>+'Introducerea datelor'!I110</f>
        <v/>
      </c>
      <c r="K32" s="361">
        <f>+'Introducerea datelor'!J110</f>
        <v>0</v>
      </c>
      <c r="L32" s="348" t="str">
        <f>+'Introducerea datelor'!K110</f>
        <v/>
      </c>
    </row>
    <row r="33" spans="2:12" ht="15.75" thickBot="1">
      <c r="F33" s="279"/>
      <c r="G33" s="279"/>
      <c r="H33" s="824"/>
      <c r="I33" s="278" t="str">
        <f>+'Introducerea datelor'!C111</f>
        <v>Please Select</v>
      </c>
      <c r="J33" s="362" t="str">
        <f>+'Introducerea datelor'!I111</f>
        <v/>
      </c>
      <c r="K33" s="363">
        <f>+'Introducerea datelor'!J111</f>
        <v>0</v>
      </c>
      <c r="L33" s="348" t="str">
        <f>+'Introducerea datelor'!K111</f>
        <v/>
      </c>
    </row>
    <row r="34" spans="2:12" ht="22.5" customHeight="1">
      <c r="B34" s="816" t="str">
        <f>+'Introducerea datelor'!B102</f>
        <v>* Include numai EFR categoriile 4 și 5  (Produse medicale și Echipamente medicale &amp; Medicamente și Produse farmaceutice)</v>
      </c>
      <c r="C34" s="816"/>
      <c r="D34" s="816"/>
      <c r="E34" s="816"/>
      <c r="F34" s="19"/>
      <c r="G34" s="19"/>
      <c r="H34" s="182"/>
      <c r="I34" s="183"/>
      <c r="J34" s="184"/>
      <c r="K34" s="174"/>
      <c r="L34" s="20"/>
    </row>
    <row r="35" spans="2:12">
      <c r="F35" s="19"/>
      <c r="G35" s="19"/>
      <c r="H35" s="19"/>
      <c r="I35" s="19"/>
      <c r="J35" s="19"/>
      <c r="K35" s="19"/>
      <c r="L35" s="19"/>
    </row>
  </sheetData>
  <mergeCells count="25">
    <mergeCell ref="B2:L2"/>
    <mergeCell ref="C4:D4"/>
    <mergeCell ref="E6:I6"/>
    <mergeCell ref="E3:I3"/>
    <mergeCell ref="J3:K3"/>
    <mergeCell ref="C3:D3"/>
    <mergeCell ref="E4:I4"/>
    <mergeCell ref="J4:K4"/>
    <mergeCell ref="B15:G15"/>
    <mergeCell ref="H15:L15"/>
    <mergeCell ref="I8:L8"/>
    <mergeCell ref="D5:J5"/>
    <mergeCell ref="C16:F16"/>
    <mergeCell ref="E10:F10"/>
    <mergeCell ref="C8:F8"/>
    <mergeCell ref="B7:F7"/>
    <mergeCell ref="I16:L16"/>
    <mergeCell ref="D10:D11"/>
    <mergeCell ref="H7:L7"/>
    <mergeCell ref="B26:F26"/>
    <mergeCell ref="H26:L26"/>
    <mergeCell ref="B34:E34"/>
    <mergeCell ref="C27:F27"/>
    <mergeCell ref="I27:L27"/>
    <mergeCell ref="H30:H33"/>
  </mergeCells>
  <phoneticPr fontId="23"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8" scale="95"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view="pageBreakPreview" topLeftCell="A16" zoomScale="115" zoomScaleNormal="100" zoomScaleSheetLayoutView="115" workbookViewId="0">
      <selection activeCell="I23" sqref="I23:K23"/>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850" t="str">
        <f>+"Tabel Programatic de Evaluare:  "&amp;"  "&amp;IF(+'Introducerea datelor'!C4="Please Select","",'Introducerea datelor'!C4&amp;" - ")&amp;IF('Introducerea datelor'!G6="Please Select","",'Introducerea datelor'!G6)</f>
        <v>Tabel Programatic de Evaluare:    Moldova - TB</v>
      </c>
      <c r="C2" s="850"/>
      <c r="D2" s="850"/>
      <c r="E2" s="850"/>
      <c r="F2" s="850"/>
      <c r="G2" s="850"/>
      <c r="H2" s="850"/>
      <c r="I2" s="850"/>
      <c r="J2" s="850"/>
      <c r="K2" s="850"/>
      <c r="L2" s="1"/>
      <c r="M2" s="1"/>
      <c r="N2" s="1"/>
      <c r="O2" s="1"/>
    </row>
    <row r="3" spans="2:15">
      <c r="B3" s="128" t="str">
        <f>+IF('Introducerea datelor'!G8="Please Select","",'Introducerea datelor'!G8)</f>
        <v/>
      </c>
      <c r="C3" s="855" t="str">
        <f>+IF('Introducerea datelor'!I8="Please Select","",'Introducerea datelor'!I8)</f>
        <v>Faza 2</v>
      </c>
      <c r="D3" s="855"/>
      <c r="E3" s="854"/>
      <c r="F3" s="854"/>
      <c r="G3" s="854"/>
      <c r="H3" s="854"/>
      <c r="I3" s="852" t="str">
        <f>+'Introducerea datelor'!B16</f>
        <v>Perioada de Raportare:</v>
      </c>
      <c r="J3" s="852"/>
      <c r="K3" s="166" t="str">
        <f>+'Introducerea datelor'!C16</f>
        <v>P3</v>
      </c>
      <c r="L3" s="82"/>
    </row>
    <row r="4" spans="2:15">
      <c r="B4" s="128" t="str">
        <f>+'Introducerea datelor'!B12</f>
        <v>Ultimul Rating:</v>
      </c>
      <c r="C4" s="828" t="str">
        <f>+IF('Introducerea datelor'!C12="Please Select","",'Introducerea datelor'!C12)</f>
        <v>A1</v>
      </c>
      <c r="D4" s="828"/>
      <c r="E4" s="854" t="str">
        <f>+'Introducerea datelor'!C8</f>
        <v>IP UCIMP RSS</v>
      </c>
      <c r="F4" s="854"/>
      <c r="G4" s="854"/>
      <c r="H4" s="854"/>
      <c r="I4" s="852" t="str">
        <f>+'Introducerea datelor'!D16</f>
        <v>De la:</v>
      </c>
      <c r="J4" s="853"/>
      <c r="K4" s="448">
        <f>+IF(ISBLANK('Introducerea datelor'!E16),"",'Introducerea datelor'!E16)</f>
        <v>41640</v>
      </c>
    </row>
    <row r="5" spans="2:15" ht="18.75" customHeight="1">
      <c r="B5" s="128"/>
      <c r="C5" s="128"/>
      <c r="D5" s="851" t="str">
        <f>+'Introducerea datelor'!G4</f>
        <v>Consolidarea controlului Tuberculozei în Republica Moldova</v>
      </c>
      <c r="E5" s="851"/>
      <c r="F5" s="851"/>
      <c r="G5" s="851"/>
      <c r="H5" s="851"/>
      <c r="I5" s="851"/>
      <c r="J5" s="128" t="str">
        <f>+'Introducerea datelor'!F16</f>
        <v>Pînă la:</v>
      </c>
      <c r="K5" s="448">
        <f>+IF(ISBLANK('Introducerea datelor'!G16),"",'Introducerea datelor'!G16)</f>
        <v>41820</v>
      </c>
    </row>
    <row r="6" spans="2:15" ht="18.75">
      <c r="B6" s="132"/>
      <c r="C6" s="128"/>
      <c r="D6" s="129"/>
      <c r="E6" s="838" t="s">
        <v>388</v>
      </c>
      <c r="F6" s="838"/>
      <c r="G6" s="838"/>
      <c r="H6" s="838"/>
      <c r="I6" s="3"/>
      <c r="J6" s="3"/>
      <c r="K6" s="3"/>
    </row>
    <row r="7" spans="2:15" ht="10.5" customHeight="1">
      <c r="B7" s="133"/>
      <c r="C7" s="134"/>
      <c r="D7" s="135"/>
      <c r="E7" s="136"/>
      <c r="F7" s="136"/>
      <c r="G7" s="137"/>
      <c r="H7" s="137"/>
      <c r="I7" s="131"/>
      <c r="J7" s="131"/>
      <c r="K7" s="130"/>
      <c r="O7" t="s">
        <v>387</v>
      </c>
    </row>
    <row r="8" spans="2:15" ht="26.25" customHeight="1">
      <c r="B8" s="841" t="str">
        <f>+'Introducerea datelor'!B27&amp; " - in ("&amp;'Introducerea datelor'!D26&amp;")  "&amp;+I3&amp;" "&amp;+K3</f>
        <v>F1: Bugetul și debursările de către Fondul Global - in (€)  Perioada de Raportare: P3</v>
      </c>
      <c r="C8" s="815"/>
      <c r="D8" s="815"/>
      <c r="E8" s="815"/>
      <c r="F8" s="815"/>
      <c r="H8" s="171" t="str">
        <f>+'Introducerea datelor'!B49&amp; " - in ("&amp;'Introducerea datelor'!D26&amp;")         "&amp;+I3&amp;" "&amp;+K3</f>
        <v>F3: Debursări și cheltuieli - in (€)         Perioada de Raportare: P3</v>
      </c>
      <c r="I8" s="3"/>
      <c r="J8" s="3"/>
      <c r="K8" s="3"/>
    </row>
    <row r="9" spans="2:15" ht="85.5" customHeight="1">
      <c r="B9" s="294" t="s">
        <v>389</v>
      </c>
      <c r="C9" s="817" t="s">
        <v>478</v>
      </c>
      <c r="D9" s="845"/>
      <c r="E9" s="845"/>
      <c r="F9" s="846"/>
      <c r="G9" s="538"/>
      <c r="H9" s="294" t="s">
        <v>389</v>
      </c>
      <c r="I9" s="817" t="s">
        <v>481</v>
      </c>
      <c r="J9" s="845"/>
      <c r="K9" s="84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24" customHeight="1">
      <c r="B22" s="837" t="str">
        <f>+'Introducerea datelor'!B36&amp; " - in ("&amp;'Introducerea datelor'!D26&amp;")  "&amp;+I3&amp;" "&amp;+K3</f>
        <v>F2: Bugetul și cheltuielile actuale după Obiectivele Grantului - in (€)  Perioada de Raportare: P3</v>
      </c>
      <c r="C22" s="570"/>
      <c r="D22" s="570"/>
      <c r="E22" s="570"/>
      <c r="F22" s="570"/>
      <c r="G22" s="394"/>
      <c r="H22" s="837" t="str">
        <f>+'Introducerea datelor'!B58&amp;"      "&amp;+I3&amp;" "&amp;+K3</f>
        <v>F4: Ultima perioadă de raportare și debursare a RP       Perioada de Raportare: P3</v>
      </c>
      <c r="I22" s="815"/>
      <c r="J22" s="815"/>
      <c r="K22" s="815"/>
    </row>
    <row r="23" spans="1:11" ht="185.25" customHeight="1">
      <c r="B23" s="294" t="s">
        <v>389</v>
      </c>
      <c r="C23" s="847" t="s">
        <v>482</v>
      </c>
      <c r="D23" s="848"/>
      <c r="E23" s="848"/>
      <c r="F23" s="849"/>
      <c r="G23" s="539"/>
      <c r="H23" s="294" t="s">
        <v>389</v>
      </c>
      <c r="I23" s="817" t="s">
        <v>491</v>
      </c>
      <c r="J23" s="820"/>
      <c r="K23" s="821"/>
    </row>
    <row r="24" spans="1:11" ht="15.75" thickBot="1">
      <c r="B24" s="180"/>
      <c r="C24" s="180"/>
      <c r="D24" s="180"/>
      <c r="E24" s="180"/>
      <c r="F24" s="180"/>
      <c r="G24" s="180"/>
      <c r="H24" s="181"/>
      <c r="I24" s="181"/>
      <c r="J24" s="180"/>
      <c r="K24" s="180"/>
    </row>
    <row r="25" spans="1:11" ht="29.25" customHeight="1" thickBot="1">
      <c r="B25" s="3"/>
      <c r="C25" s="3"/>
      <c r="D25" s="3"/>
      <c r="E25" s="3"/>
      <c r="F25" s="3"/>
      <c r="G25" s="273"/>
      <c r="H25" s="842" t="s">
        <v>438</v>
      </c>
      <c r="I25" s="843"/>
      <c r="J25" s="843"/>
      <c r="K25" s="844"/>
    </row>
    <row r="26" spans="1:11" ht="24.75">
      <c r="B26" s="3"/>
      <c r="C26" s="3"/>
      <c r="D26" s="3"/>
      <c r="E26" s="3"/>
      <c r="F26" s="3"/>
      <c r="G26" s="242"/>
      <c r="H26" s="833"/>
      <c r="I26" s="834"/>
      <c r="J26" s="256" t="s">
        <v>325</v>
      </c>
      <c r="K26" s="257" t="s">
        <v>326</v>
      </c>
    </row>
    <row r="27" spans="1:11" ht="23.25" customHeight="1">
      <c r="B27" s="3"/>
      <c r="C27" s="3"/>
      <c r="D27" s="3"/>
      <c r="E27" s="3"/>
      <c r="F27" s="3"/>
      <c r="G27" s="274"/>
      <c r="H27" s="839" t="str">
        <f>'Introducerea datelor'!B62</f>
        <v>Zile necesare pentru remiterea PU/DR final către ALF</v>
      </c>
      <c r="I27" s="840"/>
      <c r="J27" s="411">
        <f>+'Introducerea datelor'!C62</f>
        <v>0</v>
      </c>
      <c r="K27" s="444">
        <f>+'Introducerea datelor'!D62</f>
        <v>0</v>
      </c>
    </row>
    <row r="28" spans="1:11" ht="25.5" customHeight="1">
      <c r="B28" s="3"/>
      <c r="C28" s="3"/>
      <c r="D28" s="3"/>
      <c r="E28" s="3"/>
      <c r="F28" s="3"/>
      <c r="G28" s="274"/>
      <c r="H28" s="839" t="str">
        <f>'Introducerea datelor'!B63</f>
        <v>Zile necesare pentru debursare către RP</v>
      </c>
      <c r="I28" s="840"/>
      <c r="J28" s="411">
        <f>+'Introducerea datelor'!C63</f>
        <v>0</v>
      </c>
      <c r="K28" s="444">
        <f>+'Introducerea datelor'!D63</f>
        <v>0</v>
      </c>
    </row>
    <row r="29" spans="1:11" ht="24.75" customHeight="1" thickBot="1">
      <c r="B29" s="3"/>
      <c r="C29" s="3"/>
      <c r="D29" s="3"/>
      <c r="E29" s="3"/>
      <c r="F29" s="3"/>
      <c r="G29" s="274"/>
      <c r="H29" s="835" t="str">
        <f>'Introducerea datelor'!B64</f>
        <v>Zile necesare pentru debursare către SR</v>
      </c>
      <c r="I29" s="836"/>
      <c r="J29" s="412">
        <f>+'Introducerea datelor'!C64</f>
        <v>0</v>
      </c>
      <c r="K29" s="445">
        <f>+'Introducerea datelor'!D64</f>
        <v>0</v>
      </c>
    </row>
    <row r="30" spans="1:11">
      <c r="B30" s="3"/>
      <c r="C30" s="3"/>
      <c r="D30" s="3"/>
      <c r="E30" s="3"/>
      <c r="F30" s="3"/>
      <c r="G30" s="3"/>
      <c r="H30" s="3"/>
      <c r="I30" s="3"/>
      <c r="J30" s="3"/>
      <c r="K30" s="3"/>
    </row>
    <row r="31" spans="1:11">
      <c r="B31" s="3"/>
      <c r="C31" s="15"/>
      <c r="D31" s="201"/>
      <c r="E31" s="3"/>
      <c r="F31" s="3"/>
      <c r="G31" s="3"/>
      <c r="H31" s="3"/>
      <c r="I31" s="3"/>
      <c r="J31" s="3"/>
      <c r="K31" s="3"/>
    </row>
    <row r="32" spans="1:11">
      <c r="B32" s="3"/>
      <c r="C32" s="15"/>
      <c r="D32" s="201"/>
      <c r="E32" s="3"/>
      <c r="F32" s="3"/>
      <c r="G32" s="3"/>
      <c r="H32" s="3"/>
      <c r="I32" s="3"/>
      <c r="J32" s="3"/>
      <c r="K32" s="3"/>
    </row>
    <row r="34" spans="5:5">
      <c r="E34" s="19"/>
    </row>
  </sheetData>
  <mergeCells count="21">
    <mergeCell ref="B2:K2"/>
    <mergeCell ref="D5:I5"/>
    <mergeCell ref="I4:J4"/>
    <mergeCell ref="I3:J3"/>
    <mergeCell ref="E3:H3"/>
    <mergeCell ref="E4:H4"/>
    <mergeCell ref="C3:D3"/>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s>
  <phoneticPr fontId="23" type="noConversion"/>
  <conditionalFormatting sqref="K27:K29">
    <cfRule type="cellIs" dxfId="17" priority="4" stopIfTrue="1" operator="greaterThan">
      <formula>J27</formula>
    </cfRule>
    <cfRule type="cellIs" dxfId="16" priority="5" stopIfTrue="1" operator="between">
      <formula>J27</formula>
      <formula>1</formula>
    </cfRule>
    <cfRule type="cellIs" dxfId="15" priority="6" stopIfTrue="1" operator="equal">
      <formula>0</formula>
    </cfRule>
  </conditionalFormatting>
  <conditionalFormatting sqref="C4:D4">
    <cfRule type="cellIs" dxfId="14" priority="1" stopIfTrue="1" operator="equal">
      <formula>"C"</formula>
    </cfRule>
    <cfRule type="cellIs" dxfId="13" priority="2" stopIfTrue="1" operator="equal">
      <formula>"B2"</formula>
    </cfRule>
    <cfRule type="cellIs" dxfId="12" priority="3" stopIfTrue="1" operator="equal">
      <formula>"B1"</formula>
    </cfRule>
  </conditionalFormatting>
  <pageMargins left="0.70866141732283472" right="0.70866141732283472" top="0.74803149606299213" bottom="0.74803149606299213" header="0.31496062992125984" footer="0.31496062992125984"/>
  <pageSetup paperSize="8" scale="105"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zoomScaleNormal="100" zoomScaleSheetLayoutView="100" workbookViewId="0">
      <selection activeCell="L27" sqref="L27:Q27"/>
    </sheetView>
  </sheetViews>
  <sheetFormatPr defaultColWidth="11" defaultRowHeight="15"/>
  <cols>
    <col min="1" max="1" width="9.42578125" style="407" customWidth="1"/>
    <col min="2" max="2" width="11.28515625" customWidth="1"/>
    <col min="3" max="3" width="14.140625" customWidth="1"/>
    <col min="4" max="4" width="14.85546875" customWidth="1"/>
    <col min="5" max="5" width="6.7109375" style="408" customWidth="1"/>
    <col min="6" max="6" width="11.5703125" style="408" customWidth="1"/>
    <col min="7" max="7" width="5.7109375" customWidth="1"/>
    <col min="8" max="8" width="6.28515625" customWidth="1"/>
    <col min="9" max="9" width="7.5703125" customWidth="1"/>
    <col min="10" max="10" width="6.85546875" customWidth="1"/>
    <col min="11" max="11" width="12.42578125" customWidth="1"/>
    <col min="12" max="12" width="11.42578125" customWidth="1"/>
    <col min="13" max="13" width="5" customWidth="1"/>
    <col min="14" max="14" width="6.5703125" customWidth="1"/>
    <col min="15" max="15" width="4.140625" customWidth="1"/>
    <col min="16" max="16" width="10.7109375" customWidth="1"/>
    <col min="17" max="17" width="14.28515625" customWidth="1"/>
    <col min="18" max="18" width="6.5703125" customWidth="1"/>
  </cols>
  <sheetData>
    <row r="1" spans="1:35" ht="26.25" customHeight="1">
      <c r="A1" s="406"/>
      <c r="B1" s="3"/>
      <c r="C1" s="3"/>
      <c r="D1" s="3"/>
      <c r="E1" s="409"/>
      <c r="F1" s="409"/>
      <c r="G1" s="3"/>
      <c r="H1" s="3"/>
      <c r="I1" s="3"/>
      <c r="J1" s="3"/>
      <c r="K1" s="3"/>
      <c r="L1" s="3"/>
      <c r="M1" s="3"/>
      <c r="N1" s="3"/>
      <c r="O1" s="3"/>
      <c r="P1" s="3"/>
    </row>
    <row r="2" spans="1:35" ht="21.75" customHeight="1">
      <c r="A2" s="406"/>
      <c r="B2" s="898" t="str">
        <f>+"Tabel Programatic de Evaluare:  "&amp;"  "&amp;IF(+'Introducerea datelor'!C4="Please Select","",'Introducerea datelor'!C4&amp;" - ")&amp;IF('Introducerea datelor'!G6="Please Select","",'Introducerea datelor'!G6)</f>
        <v>Tabel Programatic de Evaluare:    Moldova - TB</v>
      </c>
      <c r="C2" s="898"/>
      <c r="D2" s="898"/>
      <c r="E2" s="898"/>
      <c r="F2" s="898"/>
      <c r="G2" s="898"/>
      <c r="H2" s="898"/>
      <c r="I2" s="898"/>
      <c r="J2" s="898"/>
      <c r="K2" s="898"/>
      <c r="L2" s="898"/>
      <c r="M2" s="898"/>
      <c r="N2" s="898"/>
      <c r="O2" s="898"/>
      <c r="P2" s="898"/>
      <c r="Q2" s="898"/>
    </row>
    <row r="3" spans="1:35" ht="18.75" customHeight="1">
      <c r="A3" s="406"/>
      <c r="B3" s="128" t="str">
        <f>+IF('Introducerea datelor'!G8="Please Select","",'Introducerea datelor'!G8)</f>
        <v/>
      </c>
      <c r="C3" s="855" t="str">
        <f>+IF('Introducerea datelor'!I8="Please Select","",'Introducerea datelor'!I8)</f>
        <v>Faza 2</v>
      </c>
      <c r="D3" s="855"/>
      <c r="E3" s="854"/>
      <c r="F3" s="854"/>
      <c r="G3" s="854"/>
      <c r="H3" s="854"/>
      <c r="I3" s="901"/>
      <c r="J3" s="901"/>
      <c r="K3" s="901"/>
      <c r="L3" s="3"/>
      <c r="M3" s="3"/>
      <c r="N3" s="862" t="str">
        <f>+'Introducerea datelor'!B16</f>
        <v>Perioada de Raportare:</v>
      </c>
      <c r="O3" s="815"/>
      <c r="P3" s="815"/>
      <c r="Q3" s="167" t="str">
        <f>+'Introducerea datelor'!C16</f>
        <v>P3</v>
      </c>
    </row>
    <row r="4" spans="1:35" ht="12" customHeight="1">
      <c r="A4" s="406"/>
      <c r="B4" s="128" t="str">
        <f>+'Introducerea datelor'!B12</f>
        <v>Ultimul Rating:</v>
      </c>
      <c r="C4" s="902" t="str">
        <f>+IF('Introducerea datelor'!C12="Please Select","",'Introducerea datelor'!C12)</f>
        <v>A1</v>
      </c>
      <c r="D4" s="902"/>
      <c r="E4" s="854" t="str">
        <f>+'Introducerea datelor'!C8</f>
        <v>IP UCIMP RSS</v>
      </c>
      <c r="F4" s="854"/>
      <c r="G4" s="854"/>
      <c r="H4" s="854"/>
      <c r="I4" s="854"/>
      <c r="J4" s="854"/>
      <c r="K4" s="854"/>
      <c r="L4" s="854"/>
      <c r="M4" s="3"/>
      <c r="O4" s="281"/>
      <c r="P4" s="128" t="str">
        <f>+'Introducerea datelor'!D16</f>
        <v>De la:</v>
      </c>
      <c r="Q4" s="449">
        <f>+IF(ISBLANK('Introducerea datelor'!E16),"",'Introducerea datelor'!E16)</f>
        <v>41640</v>
      </c>
      <c r="Y4" s="70"/>
      <c r="Z4" s="70"/>
      <c r="AA4" s="70"/>
      <c r="AB4" s="70"/>
      <c r="AC4" s="70"/>
    </row>
    <row r="5" spans="1:35" ht="15.75" customHeight="1">
      <c r="A5" s="406"/>
      <c r="B5" s="128"/>
      <c r="C5" s="128"/>
      <c r="D5" s="854" t="str">
        <f>+'Introducerea datelor'!G4</f>
        <v>Consolidarea controlului Tuberculozei în Republica Moldova</v>
      </c>
      <c r="E5" s="854"/>
      <c r="F5" s="854"/>
      <c r="G5" s="854"/>
      <c r="H5" s="854"/>
      <c r="I5" s="854"/>
      <c r="J5" s="854"/>
      <c r="K5" s="854"/>
      <c r="L5" s="854"/>
      <c r="M5" s="854"/>
      <c r="N5" s="854"/>
      <c r="P5" s="128" t="str">
        <f>+'Introducerea datelor'!F16</f>
        <v>Pînă la:</v>
      </c>
      <c r="Q5" s="449">
        <f>+IF(ISBLANK('Introducerea datelor'!G16),"",'Introducerea datelor'!G16)</f>
        <v>41820</v>
      </c>
      <c r="S5" s="192"/>
      <c r="T5" s="192"/>
      <c r="U5" s="192"/>
      <c r="V5" s="192"/>
      <c r="W5" s="192"/>
      <c r="X5" s="192"/>
      <c r="Y5" s="70"/>
      <c r="Z5" s="70"/>
      <c r="AA5" s="70" t="s">
        <v>23</v>
      </c>
      <c r="AB5" s="70"/>
      <c r="AC5" s="70" t="s">
        <v>214</v>
      </c>
      <c r="AD5" s="192"/>
      <c r="AE5" s="192"/>
      <c r="AF5" s="192"/>
      <c r="AG5" s="192"/>
      <c r="AH5" s="192"/>
      <c r="AI5" s="192"/>
    </row>
    <row r="6" spans="1:35" ht="15.75" customHeight="1">
      <c r="A6" s="406"/>
      <c r="B6" s="128"/>
      <c r="C6" s="128"/>
      <c r="D6" s="190"/>
      <c r="E6" s="190"/>
      <c r="F6" s="900" t="s">
        <v>403</v>
      </c>
      <c r="G6" s="900"/>
      <c r="H6" s="900"/>
      <c r="I6" s="900"/>
      <c r="J6" s="900"/>
      <c r="K6" s="900"/>
      <c r="L6" s="190"/>
      <c r="M6" s="3"/>
      <c r="N6" s="3"/>
      <c r="O6" s="169"/>
      <c r="P6" s="218"/>
      <c r="S6" s="192"/>
      <c r="T6" s="192"/>
      <c r="U6" s="192"/>
      <c r="V6" s="192"/>
      <c r="W6" s="192"/>
      <c r="X6" s="192"/>
      <c r="Y6" s="70"/>
      <c r="Z6" s="70"/>
      <c r="AA6" s="70"/>
      <c r="AB6" s="70"/>
      <c r="AC6" s="70"/>
      <c r="AD6" s="192"/>
      <c r="AE6" s="192"/>
      <c r="AF6" s="192"/>
      <c r="AG6" s="192"/>
      <c r="AH6" s="192"/>
      <c r="AI6" s="192"/>
    </row>
    <row r="7" spans="1:35" ht="3" customHeight="1">
      <c r="A7" s="406"/>
      <c r="B7" s="128"/>
      <c r="C7" s="128"/>
      <c r="D7" s="190"/>
      <c r="E7" s="190"/>
      <c r="F7" s="190"/>
      <c r="G7" s="190"/>
      <c r="H7" s="190"/>
      <c r="I7" s="190"/>
      <c r="J7" s="190"/>
      <c r="K7" s="190"/>
      <c r="L7" s="190"/>
      <c r="M7" s="3"/>
      <c r="N7" s="3"/>
      <c r="O7" s="169"/>
      <c r="P7" s="168"/>
      <c r="Q7" s="168"/>
      <c r="S7" s="192"/>
      <c r="T7" s="192"/>
      <c r="U7" s="192"/>
      <c r="V7" s="192"/>
      <c r="W7" s="192"/>
      <c r="X7" s="192"/>
      <c r="Y7" s="70"/>
      <c r="Z7" s="70"/>
      <c r="AA7" s="70"/>
      <c r="AB7" s="70"/>
      <c r="AC7" s="70"/>
      <c r="AD7" s="192"/>
      <c r="AE7" s="192"/>
      <c r="AF7" s="192"/>
      <c r="AG7" s="192"/>
      <c r="AH7" s="192"/>
      <c r="AI7" s="192"/>
    </row>
    <row r="8" spans="1:35" ht="42.75" customHeight="1">
      <c r="A8" s="406"/>
      <c r="B8" s="861" t="str">
        <f>+'Introducerea datelor'!B118</f>
        <v>Rata mortalităţii  - Numărul de decese cauzate de TB (toate formele) pe an, la 100,000 persoane</v>
      </c>
      <c r="C8" s="861"/>
      <c r="D8" s="861"/>
      <c r="E8" s="861"/>
      <c r="F8" s="861" t="str">
        <f>+'Introducerea datelor'!B120</f>
        <v xml:space="preserve">Numărul și procentul pacienţilor cu tuberculoză multirezistentă (confirmată în baza testului de laborator) tratați cu succes (care au urmat și terminat tratamentul), incluşi în tratamentul DOTS-Plus     </v>
      </c>
      <c r="G8" s="861"/>
      <c r="H8" s="861"/>
      <c r="I8" s="861"/>
      <c r="J8" s="861"/>
      <c r="K8" s="861"/>
      <c r="L8" s="899" t="str">
        <f>+'Introducerea datelor'!B122</f>
        <v>Prevalența TB MDR printre cazurile noi TB, %</v>
      </c>
      <c r="M8" s="899"/>
      <c r="N8" s="899"/>
      <c r="O8" s="899"/>
      <c r="P8" s="899"/>
      <c r="Q8" s="899"/>
      <c r="S8" s="192"/>
      <c r="T8" s="192"/>
      <c r="U8" s="192"/>
      <c r="V8" s="192"/>
      <c r="W8" s="192"/>
      <c r="X8" s="192"/>
      <c r="Y8" s="70"/>
      <c r="Z8" s="70"/>
      <c r="AA8" s="70"/>
      <c r="AB8" s="70"/>
      <c r="AC8" s="70"/>
      <c r="AD8" s="192"/>
      <c r="AE8" s="192"/>
      <c r="AF8" s="192"/>
      <c r="AG8" s="192"/>
      <c r="AH8" s="192"/>
      <c r="AI8" s="192"/>
    </row>
    <row r="9" spans="1:35" ht="309" customHeight="1">
      <c r="A9" s="406"/>
      <c r="B9" s="384" t="s">
        <v>398</v>
      </c>
      <c r="C9" s="856" t="s">
        <v>483</v>
      </c>
      <c r="D9" s="857"/>
      <c r="E9" s="858"/>
      <c r="F9" s="540" t="s">
        <v>399</v>
      </c>
      <c r="G9" s="856" t="s">
        <v>486</v>
      </c>
      <c r="H9" s="859"/>
      <c r="I9" s="859"/>
      <c r="J9" s="859"/>
      <c r="K9" s="860"/>
      <c r="L9" s="541" t="s">
        <v>400</v>
      </c>
      <c r="M9" s="856" t="s">
        <v>487</v>
      </c>
      <c r="N9" s="857"/>
      <c r="O9" s="857"/>
      <c r="P9" s="857"/>
      <c r="Q9" s="858"/>
      <c r="S9" s="503"/>
      <c r="T9" s="192"/>
      <c r="U9" s="192"/>
      <c r="V9" s="192"/>
      <c r="W9" s="192"/>
      <c r="X9" s="192"/>
      <c r="Y9" s="192"/>
      <c r="Z9" s="192"/>
      <c r="AA9" s="192"/>
      <c r="AB9" s="192"/>
      <c r="AC9" s="192"/>
      <c r="AD9" s="192"/>
      <c r="AE9" s="192"/>
      <c r="AF9" s="192"/>
      <c r="AG9" s="192"/>
      <c r="AH9" s="192"/>
      <c r="AI9" s="192"/>
    </row>
    <row r="10" spans="1:35" ht="18.75" customHeight="1">
      <c r="A10" s="406"/>
      <c r="B10" s="128"/>
      <c r="C10" s="128"/>
      <c r="D10" s="190"/>
      <c r="E10" s="190"/>
      <c r="F10" s="190"/>
      <c r="G10" s="190"/>
      <c r="H10" s="190"/>
      <c r="I10" s="190"/>
      <c r="J10" s="190"/>
      <c r="K10" s="190"/>
      <c r="L10" s="190"/>
      <c r="M10" s="3"/>
      <c r="N10" s="3"/>
      <c r="O10" s="169"/>
      <c r="P10" s="168"/>
      <c r="S10" s="192"/>
      <c r="T10" s="192"/>
      <c r="U10" s="192"/>
      <c r="V10" s="192"/>
      <c r="W10" s="192"/>
      <c r="X10" s="192"/>
      <c r="Y10" s="192"/>
      <c r="Z10" s="192"/>
      <c r="AA10" s="192"/>
      <c r="AB10" s="192"/>
      <c r="AC10" s="192"/>
      <c r="AD10" s="192"/>
      <c r="AE10" s="192"/>
      <c r="AF10" s="192"/>
      <c r="AG10" s="192"/>
      <c r="AH10" s="192"/>
      <c r="AI10" s="192"/>
    </row>
    <row r="11" spans="1:35" ht="18.75" customHeight="1">
      <c r="A11" s="406"/>
      <c r="B11" s="128"/>
      <c r="C11" s="128"/>
      <c r="D11" s="190"/>
      <c r="E11" s="190"/>
      <c r="F11" s="190"/>
      <c r="G11" s="190"/>
      <c r="H11" s="190"/>
      <c r="I11" s="190"/>
      <c r="J11" s="190"/>
      <c r="K11" s="190"/>
      <c r="L11" s="190"/>
      <c r="M11" s="3"/>
      <c r="N11" s="3"/>
      <c r="O11" s="169"/>
      <c r="P11" s="168"/>
      <c r="S11" s="192"/>
      <c r="T11" s="192"/>
      <c r="U11" s="192"/>
      <c r="V11" s="192"/>
      <c r="W11" s="192"/>
      <c r="X11" s="192"/>
      <c r="Y11" s="192"/>
      <c r="Z11" s="192"/>
      <c r="AA11" s="192"/>
      <c r="AB11" s="192"/>
      <c r="AC11" s="192"/>
      <c r="AD11" s="192"/>
      <c r="AE11" s="192"/>
      <c r="AF11" s="192"/>
      <c r="AG11" s="192"/>
      <c r="AH11" s="192"/>
      <c r="AI11" s="192"/>
    </row>
    <row r="12" spans="1:35" ht="18.75" customHeight="1">
      <c r="A12" s="406"/>
      <c r="B12" s="128"/>
      <c r="C12" s="128"/>
      <c r="D12" s="190"/>
      <c r="E12" s="190"/>
      <c r="F12" s="190"/>
      <c r="G12" s="190"/>
      <c r="H12" s="190"/>
      <c r="I12" s="190"/>
      <c r="J12" s="190"/>
      <c r="K12" s="190"/>
      <c r="L12" s="190"/>
      <c r="M12" s="3"/>
      <c r="N12" s="3"/>
      <c r="O12" s="169"/>
      <c r="P12" s="168"/>
      <c r="S12" s="192"/>
      <c r="T12" s="192"/>
      <c r="U12" s="192"/>
      <c r="V12" s="192"/>
      <c r="W12" s="192"/>
      <c r="X12" s="192"/>
      <c r="Y12" s="192"/>
      <c r="Z12" s="192"/>
      <c r="AA12" s="192"/>
      <c r="AB12" s="192"/>
      <c r="AC12" s="192"/>
      <c r="AD12" s="192"/>
      <c r="AE12" s="192"/>
      <c r="AF12" s="192"/>
      <c r="AG12" s="192"/>
      <c r="AH12" s="192"/>
      <c r="AI12" s="192"/>
    </row>
    <row r="13" spans="1:35" ht="18.75" customHeight="1">
      <c r="A13" s="406"/>
      <c r="B13" s="128"/>
      <c r="C13" s="128"/>
      <c r="D13" s="190"/>
      <c r="E13" s="190"/>
      <c r="F13" s="190"/>
      <c r="G13" s="190"/>
      <c r="H13" s="190"/>
      <c r="I13" s="190"/>
      <c r="J13" s="190"/>
      <c r="K13" s="190"/>
      <c r="L13" s="190"/>
      <c r="M13" s="3"/>
      <c r="N13" s="3"/>
      <c r="O13" s="169"/>
      <c r="P13" s="168"/>
      <c r="S13" s="192"/>
      <c r="T13" s="192"/>
      <c r="U13" s="192"/>
      <c r="V13" s="192"/>
      <c r="W13" s="192"/>
      <c r="X13" s="192"/>
      <c r="Y13" s="192"/>
      <c r="Z13" s="192"/>
      <c r="AA13" s="192"/>
      <c r="AB13" s="192"/>
      <c r="AC13" s="192"/>
      <c r="AD13" s="192"/>
      <c r="AE13" s="192"/>
      <c r="AF13" s="192"/>
      <c r="AG13" s="192"/>
      <c r="AH13" s="192"/>
      <c r="AI13" s="192"/>
    </row>
    <row r="14" spans="1:35" ht="18.75" customHeight="1">
      <c r="A14" s="406"/>
      <c r="B14" s="128"/>
      <c r="C14" s="128"/>
      <c r="D14" s="190"/>
      <c r="E14" s="190"/>
      <c r="F14" s="190"/>
      <c r="G14" s="190"/>
      <c r="H14" s="190"/>
      <c r="I14" s="190"/>
      <c r="J14" s="190"/>
      <c r="K14" s="190"/>
      <c r="L14" s="190"/>
      <c r="M14" s="3"/>
      <c r="N14" s="3"/>
      <c r="O14" s="169"/>
      <c r="P14" s="168"/>
      <c r="S14" s="192"/>
      <c r="T14" s="192"/>
      <c r="U14" s="192"/>
      <c r="V14" s="192"/>
      <c r="W14" s="192"/>
      <c r="X14" s="192"/>
      <c r="Y14" s="192"/>
      <c r="Z14" s="192"/>
      <c r="AA14" s="192"/>
      <c r="AB14" s="192"/>
      <c r="AC14" s="192"/>
      <c r="AD14" s="192"/>
      <c r="AE14" s="192"/>
      <c r="AF14" s="192"/>
      <c r="AG14" s="192"/>
      <c r="AH14" s="192"/>
      <c r="AI14" s="192"/>
    </row>
    <row r="15" spans="1:35" ht="18.75" customHeight="1">
      <c r="A15" s="406"/>
      <c r="B15" s="128"/>
      <c r="C15" s="128"/>
      <c r="D15" s="190"/>
      <c r="E15" s="190"/>
      <c r="F15" s="190"/>
      <c r="G15" s="190"/>
      <c r="H15" s="190"/>
      <c r="I15" s="190"/>
      <c r="J15" s="190"/>
      <c r="K15" s="190"/>
      <c r="L15" s="190"/>
      <c r="M15" s="3"/>
      <c r="N15" s="3"/>
      <c r="O15" s="169"/>
      <c r="P15" s="168"/>
      <c r="S15" s="192"/>
      <c r="T15" s="192"/>
      <c r="U15" s="192"/>
      <c r="V15" s="192"/>
      <c r="W15" s="192"/>
      <c r="X15" s="192"/>
      <c r="Y15" s="192"/>
      <c r="Z15" s="192"/>
      <c r="AA15" s="192"/>
      <c r="AB15" s="192"/>
      <c r="AC15" s="192"/>
      <c r="AD15" s="192"/>
      <c r="AE15" s="192"/>
      <c r="AF15" s="192"/>
      <c r="AG15" s="192"/>
      <c r="AH15" s="192"/>
      <c r="AI15" s="192"/>
    </row>
    <row r="16" spans="1:35" ht="18.75" customHeight="1">
      <c r="A16" s="406"/>
      <c r="B16" s="128"/>
      <c r="C16" s="128"/>
      <c r="D16" s="190"/>
      <c r="E16" s="190"/>
      <c r="F16" s="190"/>
      <c r="G16" s="190"/>
      <c r="H16" s="190"/>
      <c r="I16" s="190"/>
      <c r="J16" s="190"/>
      <c r="K16" s="190"/>
      <c r="L16" s="190"/>
      <c r="M16" s="3"/>
      <c r="N16" s="3"/>
      <c r="O16" s="169"/>
      <c r="P16" s="168"/>
      <c r="S16" s="192"/>
      <c r="T16" s="192"/>
      <c r="U16" s="192"/>
      <c r="V16" s="192"/>
      <c r="W16" s="192"/>
      <c r="X16" s="192"/>
      <c r="Y16" s="192"/>
      <c r="Z16" s="192"/>
      <c r="AA16" s="192"/>
      <c r="AB16" s="192"/>
      <c r="AC16" s="192"/>
      <c r="AD16" s="192"/>
      <c r="AE16" s="192"/>
      <c r="AF16" s="192"/>
      <c r="AG16" s="192"/>
      <c r="AH16" s="192"/>
      <c r="AI16" s="192"/>
    </row>
    <row r="17" spans="1:35" ht="17.25" customHeight="1">
      <c r="A17" s="406"/>
      <c r="B17" s="128"/>
      <c r="C17" s="128"/>
      <c r="D17" s="190"/>
      <c r="E17" s="190"/>
      <c r="F17" s="190"/>
      <c r="G17" s="190"/>
      <c r="H17" s="190"/>
      <c r="I17" s="190"/>
      <c r="J17" s="190"/>
      <c r="K17" s="190"/>
      <c r="L17" s="190"/>
      <c r="M17" s="3"/>
      <c r="N17" s="3"/>
      <c r="O17" s="169"/>
      <c r="P17" s="168"/>
      <c r="S17" s="192"/>
      <c r="T17" s="192"/>
      <c r="U17" s="192"/>
      <c r="V17" s="192"/>
      <c r="W17" s="192"/>
      <c r="X17" s="192"/>
      <c r="Y17" s="192"/>
      <c r="Z17" s="192"/>
      <c r="AA17" s="192"/>
      <c r="AB17" s="192"/>
      <c r="AC17" s="192"/>
      <c r="AD17" s="192"/>
      <c r="AE17" s="192"/>
      <c r="AF17" s="192"/>
      <c r="AG17" s="192"/>
      <c r="AH17" s="192"/>
      <c r="AI17" s="192"/>
    </row>
    <row r="18" spans="1:35" ht="6" customHeight="1">
      <c r="A18" s="406"/>
      <c r="B18" s="132"/>
      <c r="C18" s="128"/>
      <c r="D18" s="129"/>
      <c r="E18" s="883"/>
      <c r="F18" s="883"/>
      <c r="G18" s="883"/>
      <c r="H18" s="883"/>
      <c r="I18" s="883"/>
      <c r="J18" s="883"/>
      <c r="K18" s="883"/>
      <c r="L18" s="3"/>
      <c r="M18" s="3"/>
      <c r="N18" s="3"/>
      <c r="O18" s="3"/>
      <c r="P18" s="3"/>
      <c r="S18" s="192"/>
      <c r="T18" s="192"/>
      <c r="U18" s="192"/>
      <c r="V18" s="192"/>
      <c r="W18" s="192"/>
      <c r="X18" s="192"/>
      <c r="Y18" s="192"/>
      <c r="Z18" s="192"/>
      <c r="AA18" s="192"/>
      <c r="AB18" s="192"/>
      <c r="AC18" s="192"/>
      <c r="AD18" s="192"/>
      <c r="AE18" s="192"/>
      <c r="AF18" s="192"/>
      <c r="AG18" s="192"/>
      <c r="AH18" s="192"/>
      <c r="AI18" s="192"/>
    </row>
    <row r="19" spans="1:35" ht="24" customHeight="1">
      <c r="A19" s="406"/>
      <c r="B19" s="884" t="s">
        <v>401</v>
      </c>
      <c r="C19" s="884"/>
      <c r="D19" s="884"/>
      <c r="E19" s="138" t="s">
        <v>374</v>
      </c>
      <c r="F19" s="138" t="s">
        <v>375</v>
      </c>
      <c r="G19" s="894" t="s">
        <v>249</v>
      </c>
      <c r="H19" s="895"/>
      <c r="I19" s="896" t="s">
        <v>250</v>
      </c>
      <c r="J19" s="897"/>
      <c r="K19" s="280" t="s">
        <v>251</v>
      </c>
      <c r="L19" s="891" t="s">
        <v>402</v>
      </c>
      <c r="M19" s="892"/>
      <c r="N19" s="892"/>
      <c r="O19" s="892"/>
      <c r="P19" s="892"/>
      <c r="Q19" s="893"/>
      <c r="S19" s="64" t="s">
        <v>55</v>
      </c>
      <c r="T19" s="65">
        <v>0</v>
      </c>
      <c r="U19" s="66">
        <v>0.3</v>
      </c>
      <c r="V19" s="66">
        <v>0.6</v>
      </c>
      <c r="W19" s="66">
        <v>0.9</v>
      </c>
      <c r="X19" s="66">
        <v>1</v>
      </c>
      <c r="Y19" s="70"/>
      <c r="Z19" s="70"/>
      <c r="AA19" s="64" t="s">
        <v>55</v>
      </c>
      <c r="AB19" s="65">
        <v>0</v>
      </c>
      <c r="AC19" s="66">
        <v>0.2</v>
      </c>
      <c r="AD19" s="66">
        <v>0.4</v>
      </c>
      <c r="AE19" s="66">
        <v>0.6</v>
      </c>
      <c r="AF19" s="66">
        <v>0.8</v>
      </c>
      <c r="AG19" s="70"/>
      <c r="AH19" s="70"/>
      <c r="AI19" s="70"/>
    </row>
    <row r="20" spans="1:35" ht="112.5" customHeight="1">
      <c r="A20" s="446" t="s">
        <v>435</v>
      </c>
      <c r="B20" s="872" t="str">
        <f>+'Introducerea datelor'!B118</f>
        <v>Rata mortalităţii  - Numărul de decese cauzate de TB (toate formele) pe an, la 100,000 persoane</v>
      </c>
      <c r="C20" s="872"/>
      <c r="D20" s="872"/>
      <c r="E20" s="458">
        <f ca="1">OFFSET('Introducerea datelor'!$G$117,1,RIGHT('Introducerea datelor'!$C$16,LEN('Introducerea datelor'!$C$16)-1),1,1)</f>
        <v>11.6</v>
      </c>
      <c r="F20" s="458">
        <f ca="1">OFFSET('Introducerea datelor'!$G$117,2,RIGHT('Introducerea datelor'!$C$16,LEN('Introducerea datelor'!$C$16)-1),1,1)</f>
        <v>11.22</v>
      </c>
      <c r="G20" s="869">
        <f ca="1">+IF(ISERROR(E20/F20),0,E20/F20)</f>
        <v>1.0338680926916219</v>
      </c>
      <c r="H20" s="870"/>
      <c r="I20" s="870"/>
      <c r="J20" s="870"/>
      <c r="K20" s="871"/>
      <c r="L20" s="875" t="s">
        <v>484</v>
      </c>
      <c r="M20" s="876"/>
      <c r="N20" s="876"/>
      <c r="O20" s="876"/>
      <c r="P20" s="876"/>
      <c r="Q20" s="877"/>
      <c r="S20" s="64" t="s">
        <v>56</v>
      </c>
      <c r="T20" s="67">
        <v>0.3</v>
      </c>
      <c r="U20" s="66">
        <v>0.6</v>
      </c>
      <c r="V20" s="66">
        <v>0.9</v>
      </c>
      <c r="W20" s="66">
        <v>1</v>
      </c>
      <c r="X20" s="66">
        <v>2</v>
      </c>
      <c r="Y20" s="70"/>
      <c r="Z20" s="70"/>
      <c r="AA20" s="64" t="s">
        <v>56</v>
      </c>
      <c r="AB20" s="67">
        <v>0.2</v>
      </c>
      <c r="AC20" s="66">
        <v>0.4</v>
      </c>
      <c r="AD20" s="66">
        <v>0.6</v>
      </c>
      <c r="AE20" s="66">
        <v>0.8</v>
      </c>
      <c r="AF20" s="66">
        <v>1</v>
      </c>
      <c r="AG20" s="70"/>
      <c r="AH20" s="70"/>
      <c r="AI20" s="70"/>
    </row>
    <row r="21" spans="1:35" ht="231" customHeight="1">
      <c r="A21" s="446" t="s">
        <v>465</v>
      </c>
      <c r="B21" s="872" t="str">
        <f>+'Introducerea datelor'!B120</f>
        <v xml:space="preserve">Numărul și procentul pacienţilor cu tuberculoză multirezistentă (confirmată în baza testului de laborator) tratați cu succes (care au urmat și terminat tratamentul), incluşi în tratamentul DOTS-Plus     </v>
      </c>
      <c r="C21" s="872"/>
      <c r="D21" s="872"/>
      <c r="E21" s="458">
        <f ca="1">OFFSET('Introducerea datelor'!$G$117,3,RIGHT('Introducerea datelor'!$C$16,LEN('Introducerea datelor'!$C$16)-1),1,1)</f>
        <v>60</v>
      </c>
      <c r="F21" s="458">
        <f ca="1">OFFSET('Introducerea datelor'!$G$117,4,RIGHT('Introducerea datelor'!$C$16,LEN('Introducerea datelor'!$C$16)-1),1,1)</f>
        <v>49.3</v>
      </c>
      <c r="G21" s="869">
        <f ca="1">+IF(ISERROR(F21/E21),0,F21/E21)</f>
        <v>0.82166666666666666</v>
      </c>
      <c r="H21" s="870"/>
      <c r="I21" s="870"/>
      <c r="J21" s="870"/>
      <c r="K21" s="871"/>
      <c r="L21" s="875" t="s">
        <v>485</v>
      </c>
      <c r="M21" s="876"/>
      <c r="N21" s="876"/>
      <c r="O21" s="876"/>
      <c r="P21" s="876"/>
      <c r="Q21" s="877"/>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70" t="s">
        <v>215</v>
      </c>
      <c r="AA21" s="68" t="s">
        <v>214</v>
      </c>
      <c r="AB21" s="69" t="str">
        <f>"de "&amp;AB19&amp;" a "&amp;AB20</f>
        <v>de 0 a 0,2</v>
      </c>
      <c r="AC21" s="69" t="str">
        <f>"de "&amp;AC19&amp;" a "&amp;AC20</f>
        <v>de 0,2 a 0,4</v>
      </c>
      <c r="AD21" s="69" t="str">
        <f>"de "&amp;AD19&amp;" a "&amp;AD20</f>
        <v>de 0,4 a 0,6</v>
      </c>
      <c r="AE21" s="69" t="str">
        <f>"de "&amp;AE19&amp;" a "&amp;AE20</f>
        <v>de 0,6 a 0,8</v>
      </c>
      <c r="AF21" s="69" t="str">
        <f>"de "&amp;AF19&amp;" a "&amp;AF20</f>
        <v>de 0,8 a 1</v>
      </c>
      <c r="AG21" s="70"/>
      <c r="AH21" s="70"/>
      <c r="AI21" s="70"/>
    </row>
    <row r="22" spans="1:35" ht="121.5" customHeight="1">
      <c r="A22" s="451" t="s">
        <v>463</v>
      </c>
      <c r="B22" s="872" t="str">
        <f>+'Introducerea datelor'!B122</f>
        <v>Prevalența TB MDR printre cazurile noi TB, %</v>
      </c>
      <c r="C22" s="872"/>
      <c r="D22" s="872"/>
      <c r="E22" s="458">
        <f ca="1">OFFSET('Introducerea datelor'!$G$117,5,RIGHT('Introducerea datelor'!$C$16,LEN('Introducerea datelor'!$C$16)-1),1,1)</f>
        <v>22</v>
      </c>
      <c r="F22" s="458">
        <f ca="1">OFFSET('Introducerea datelor'!$G$117,6,RIGHT('Introducerea datelor'!$C$16,LEN('Introducerea datelor'!$C$16)-1),1,1)</f>
        <v>25.53</v>
      </c>
      <c r="G22" s="869">
        <f ca="1">+IF(ISERROR(E22/F22),0,E22/F22)</f>
        <v>0.86173129651390512</v>
      </c>
      <c r="H22" s="870"/>
      <c r="I22" s="870"/>
      <c r="J22" s="870"/>
      <c r="K22" s="871"/>
      <c r="L22" s="875" t="s">
        <v>487</v>
      </c>
      <c r="M22" s="876"/>
      <c r="N22" s="876"/>
      <c r="O22" s="876"/>
      <c r="P22" s="876"/>
      <c r="Q22" s="877"/>
      <c r="S22" s="68"/>
      <c r="T22" s="66" t="e">
        <f t="shared" ref="T22:W33" si="0">IF($K20&gt;T$19,IF($K20&lt;=T$20,$K20,NA()),NA())</f>
        <v>#N/A</v>
      </c>
      <c r="U22" s="66" t="e">
        <f t="shared" si="0"/>
        <v>#N/A</v>
      </c>
      <c r="V22" s="66" t="e">
        <f t="shared" si="0"/>
        <v>#N/A</v>
      </c>
      <c r="W22" s="66" t="e">
        <f t="shared" si="0"/>
        <v>#N/A</v>
      </c>
      <c r="X22" s="66" t="e">
        <f>IF($K20&gt;X$19,IF($K20&lt;=X$20,1,NA()),NA())</f>
        <v>#N/A</v>
      </c>
      <c r="Y22" s="70"/>
      <c r="Z22" s="165" t="e">
        <f>+'Detail despre Grant'!#REF!</f>
        <v>#REF!</v>
      </c>
      <c r="AA22" s="66" t="e">
        <f>+IF(Z22="A1",1,IF(Z22="A2",0.8,IF(Z22="B1",0.6,IF(Z22="B2",0.4,0.2))))</f>
        <v>#REF!</v>
      </c>
      <c r="AB22" s="66" t="e">
        <f>IF($AA22&gt;AB$19,IF($AA22&lt;=AB$20,$AA22,NA()),NA())</f>
        <v>#REF!</v>
      </c>
      <c r="AC22" s="66" t="e">
        <f t="shared" ref="AC22:AF24" si="1">IF($AA22&gt;AC$19,IF($AA22&lt;=AC$20,$AA22,NA()),NA())</f>
        <v>#REF!</v>
      </c>
      <c r="AD22" s="66" t="e">
        <f t="shared" si="1"/>
        <v>#REF!</v>
      </c>
      <c r="AE22" s="66" t="e">
        <f t="shared" si="1"/>
        <v>#REF!</v>
      </c>
      <c r="AF22" s="66" t="e">
        <f t="shared" si="1"/>
        <v>#REF!</v>
      </c>
      <c r="AG22" s="70"/>
      <c r="AH22" s="70"/>
      <c r="AI22" s="70"/>
    </row>
    <row r="23" spans="1:35" ht="112.5" customHeight="1">
      <c r="A23" s="451" t="s">
        <v>466</v>
      </c>
      <c r="B23" s="872" t="str">
        <f>+'Introducerea datelor'!B124</f>
        <v xml:space="preserve">Prevalența TB-MDR printre cazurile TB anterior tratate, % </v>
      </c>
      <c r="C23" s="872"/>
      <c r="D23" s="872"/>
      <c r="E23" s="458">
        <f ca="1">OFFSET('Introducerea datelor'!$G$117,7,RIGHT('Introducerea datelor'!$C$16,LEN('Introducerea datelor'!$C$16)-1),1,1)</f>
        <v>57</v>
      </c>
      <c r="F23" s="458">
        <f ca="1">OFFSET('Introducerea datelor'!$G$117,8,RIGHT('Introducerea datelor'!$C$16,LEN('Introducerea datelor'!$C$16)-1),1,1)</f>
        <v>62.38</v>
      </c>
      <c r="G23" s="869">
        <f ca="1">+IF(ISERROR(E23/F23),0,E23/F23)</f>
        <v>0.91375440846425138</v>
      </c>
      <c r="H23" s="870"/>
      <c r="I23" s="870"/>
      <c r="J23" s="870"/>
      <c r="K23" s="871"/>
      <c r="L23" s="875" t="s">
        <v>488</v>
      </c>
      <c r="M23" s="876"/>
      <c r="N23" s="876"/>
      <c r="O23" s="876"/>
      <c r="P23" s="876"/>
      <c r="Q23" s="877"/>
      <c r="S23" s="68"/>
      <c r="T23" s="66" t="e">
        <f t="shared" si="0"/>
        <v>#N/A</v>
      </c>
      <c r="U23" s="66" t="e">
        <f t="shared" si="0"/>
        <v>#N/A</v>
      </c>
      <c r="V23" s="66" t="e">
        <f t="shared" si="0"/>
        <v>#N/A</v>
      </c>
      <c r="W23" s="66" t="e">
        <f t="shared" si="0"/>
        <v>#N/A</v>
      </c>
      <c r="X23" s="66" t="e">
        <f>IF($K21&gt;X$19,IF($K21&lt;=X$20,1,1),NA())</f>
        <v>#N/A</v>
      </c>
      <c r="Y23" s="70"/>
      <c r="Z23" s="165" t="e">
        <f>+'Detail despre Grant'!#REF!</f>
        <v>#REF!</v>
      </c>
      <c r="AA23" s="66" t="e">
        <f>+IF(Z23="A1",1,IF(Z23="A2",0.8,IF(Z23="B1",0.6,IF(Z23="B2",0.4,0.2))))</f>
        <v>#REF!</v>
      </c>
      <c r="AB23" s="66" t="e">
        <f>IF($AA23&gt;AB$19,IF($AA23&lt;=AB$20,$AA23,NA()),NA())</f>
        <v>#REF!</v>
      </c>
      <c r="AC23" s="66" t="e">
        <f t="shared" si="1"/>
        <v>#REF!</v>
      </c>
      <c r="AD23" s="66" t="e">
        <f t="shared" si="1"/>
        <v>#REF!</v>
      </c>
      <c r="AE23" s="66" t="e">
        <f t="shared" si="1"/>
        <v>#REF!</v>
      </c>
      <c r="AF23" s="66" t="e">
        <f t="shared" si="1"/>
        <v>#REF!</v>
      </c>
      <c r="AG23" s="70"/>
      <c r="AH23" s="70"/>
      <c r="AI23" s="70"/>
    </row>
    <row r="24" spans="1:35" ht="99.75" customHeight="1">
      <c r="A24" s="447">
        <v>1.1000000000000001</v>
      </c>
      <c r="B24" s="872" t="str">
        <f>+'Introducerea datelor'!B126</f>
        <v xml:space="preserve">Numărul pacienţilor cu tuberculoză multirezistentă (confirmată în baza testului de laborator) care beneficiază de tratamentul DOTS Plus             </v>
      </c>
      <c r="C24" s="872"/>
      <c r="D24" s="872"/>
      <c r="E24" s="428">
        <f ca="1">OFFSET('Introducerea datelor'!$G$117,9,RIGHT('Introducerea datelor'!$C$16,LEN('Introducerea datelor'!$C$16)-1),1,1)</f>
        <v>330</v>
      </c>
      <c r="F24" s="428">
        <f ca="1">OFFSET('Introducerea datelor'!$G$117,10,RIGHT('Introducerea datelor'!$C$16,LEN('Introducerea datelor'!$C$16)-1),1,1)</f>
        <v>464</v>
      </c>
      <c r="G24" s="869">
        <f ca="1">+IF(ISERROR(F24/E24),0,F24/E24)</f>
        <v>1.406060606060606</v>
      </c>
      <c r="H24" s="870"/>
      <c r="I24" s="870"/>
      <c r="J24" s="870"/>
      <c r="K24" s="871"/>
      <c r="L24" s="875" t="s">
        <v>489</v>
      </c>
      <c r="M24" s="876"/>
      <c r="N24" s="876"/>
      <c r="O24" s="876"/>
      <c r="P24" s="876"/>
      <c r="Q24" s="877"/>
      <c r="S24" s="68"/>
      <c r="T24" s="66" t="e">
        <f t="shared" si="0"/>
        <v>#N/A</v>
      </c>
      <c r="U24" s="66" t="e">
        <f t="shared" si="0"/>
        <v>#N/A</v>
      </c>
      <c r="V24" s="66" t="e">
        <f t="shared" si="0"/>
        <v>#N/A</v>
      </c>
      <c r="W24" s="66" t="e">
        <f t="shared" si="0"/>
        <v>#N/A</v>
      </c>
      <c r="X24" s="66" t="e">
        <f t="shared" ref="X24:X33" si="2">IF($K22&gt;X$19,IF($K22&lt;=X$20,1,NA()),NA())</f>
        <v>#N/A</v>
      </c>
      <c r="Y24" s="70"/>
      <c r="Z24" s="165" t="e">
        <f>+'Detail despre Grant'!#REF!</f>
        <v>#REF!</v>
      </c>
      <c r="AA24" s="66" t="e">
        <f>+IF(Z24="A1",1,IF(Z24="A2",0.8,IF(Z24="B1",0.6,IF(Z24="B2",0.4,0.2))))</f>
        <v>#REF!</v>
      </c>
      <c r="AB24" s="66" t="e">
        <f>IF($AA24&gt;AB$19,IF($AA24&lt;=AB$20,$AA24,NA()),NA())</f>
        <v>#REF!</v>
      </c>
      <c r="AC24" s="66" t="e">
        <f t="shared" si="1"/>
        <v>#REF!</v>
      </c>
      <c r="AD24" s="66" t="e">
        <f t="shared" si="1"/>
        <v>#REF!</v>
      </c>
      <c r="AE24" s="66" t="e">
        <f t="shared" si="1"/>
        <v>#REF!</v>
      </c>
      <c r="AF24" s="66" t="e">
        <f t="shared" si="1"/>
        <v>#REF!</v>
      </c>
      <c r="AG24" s="70"/>
      <c r="AH24" s="70"/>
      <c r="AI24" s="70"/>
    </row>
    <row r="25" spans="1:35" ht="47.25" hidden="1" customHeight="1">
      <c r="A25" s="447">
        <v>1.4</v>
      </c>
      <c r="B25" s="872" t="str">
        <f>+'Introducerea datelor'!B126</f>
        <v xml:space="preserve">Numărul pacienţilor cu tuberculoză multirezistentă (confirmată în baza testului de laborator) care beneficiază de tratamentul DOTS Plus             </v>
      </c>
      <c r="C25" s="872"/>
      <c r="D25" s="872"/>
      <c r="E25" s="458">
        <f ca="1">OFFSET('Introducerea datelor'!$G$117,11,RIGHT('Introducerea datelor'!$C$16,LEN('Introducerea datelor'!$C$16)-1),1,1)</f>
        <v>68.099999999999994</v>
      </c>
      <c r="F25" s="458">
        <f ca="1">OFFSET('Introducerea datelor'!$G$117,12,RIGHT('Introducerea datelor'!$C$16,LEN('Introducerea datelor'!$C$16)-1),1,1)</f>
        <v>77.7</v>
      </c>
      <c r="G25" s="869">
        <f ca="1">+IF(ISERROR(F25/E25),0,F25/E25)</f>
        <v>1.1409691629955949</v>
      </c>
      <c r="H25" s="870"/>
      <c r="I25" s="870"/>
      <c r="J25" s="870"/>
      <c r="K25" s="871"/>
      <c r="L25" s="882" t="s">
        <v>446</v>
      </c>
      <c r="M25" s="882"/>
      <c r="N25" s="882"/>
      <c r="O25" s="882"/>
      <c r="P25" s="882"/>
      <c r="Q25" s="882"/>
      <c r="S25" s="68"/>
      <c r="T25" s="66" t="e">
        <f t="shared" si="0"/>
        <v>#N/A</v>
      </c>
      <c r="U25" s="66" t="e">
        <f t="shared" si="0"/>
        <v>#N/A</v>
      </c>
      <c r="V25" s="66" t="e">
        <f t="shared" si="0"/>
        <v>#N/A</v>
      </c>
      <c r="W25" s="66" t="e">
        <f t="shared" si="0"/>
        <v>#N/A</v>
      </c>
      <c r="X25" s="66" t="e">
        <f t="shared" si="2"/>
        <v>#N/A</v>
      </c>
      <c r="Y25" s="70"/>
      <c r="Z25" s="70"/>
      <c r="AA25" s="70"/>
      <c r="AB25" s="70"/>
      <c r="AC25" s="70"/>
      <c r="AD25" s="70"/>
      <c r="AE25" s="70"/>
      <c r="AF25" s="70"/>
      <c r="AG25" s="70"/>
      <c r="AH25" s="70"/>
      <c r="AI25" s="70"/>
    </row>
    <row r="26" spans="1:35" ht="85.5" customHeight="1">
      <c r="A26" s="447">
        <v>1.2</v>
      </c>
      <c r="B26" s="865" t="str">
        <f>+'Introducerea datelor'!B128</f>
        <v xml:space="preserve">Rezultatul interimar al tratamentului cazurilor MDR-TB, rata interimară a succesului  </v>
      </c>
      <c r="C26" s="866"/>
      <c r="D26" s="867"/>
      <c r="E26" s="458">
        <f ca="1">OFFSET('Introducerea datelor'!$G$117,11,RIGHT('Introducerea datelor'!$C$16,LEN('Introducerea datelor'!$C$16)-1),1,1)</f>
        <v>68.099999999999994</v>
      </c>
      <c r="F26" s="458">
        <f ca="1">OFFSET('Introducerea datelor'!$G$117,12,RIGHT('Introducerea datelor'!$C$16,LEN('Introducerea datelor'!$C$16)-1),1,1)</f>
        <v>77.7</v>
      </c>
      <c r="G26" s="869">
        <f ca="1">+IF(ISERROR(F25/E25),0,F25/E25)</f>
        <v>1.1409691629955949</v>
      </c>
      <c r="H26" s="870"/>
      <c r="I26" s="870"/>
      <c r="J26" s="870"/>
      <c r="K26" s="871"/>
      <c r="L26" s="875" t="s">
        <v>492</v>
      </c>
      <c r="M26" s="876"/>
      <c r="N26" s="876"/>
      <c r="O26" s="876"/>
      <c r="P26" s="876"/>
      <c r="Q26" s="877"/>
      <c r="S26" s="68"/>
      <c r="T26" s="66"/>
      <c r="U26" s="66"/>
      <c r="V26" s="66"/>
      <c r="W26" s="66"/>
      <c r="X26" s="66"/>
      <c r="Y26" s="70"/>
      <c r="Z26" s="70"/>
      <c r="AA26" s="70"/>
      <c r="AB26" s="70"/>
      <c r="AC26" s="70"/>
      <c r="AD26" s="70"/>
      <c r="AE26" s="70"/>
      <c r="AF26" s="70"/>
      <c r="AG26" s="70"/>
      <c r="AH26" s="70"/>
      <c r="AI26" s="70"/>
    </row>
    <row r="27" spans="1:35" ht="105" customHeight="1">
      <c r="A27" s="447">
        <v>1.3</v>
      </c>
      <c r="B27" s="872" t="str">
        <f>+'Introducerea datelor'!B130</f>
        <v>Rezultatul interimar de abandon al tratamentului cazurilor MDR-TB</v>
      </c>
      <c r="C27" s="872"/>
      <c r="D27" s="872"/>
      <c r="E27" s="458">
        <f ca="1">OFFSET('Introducerea datelor'!$G$117,13,RIGHT('Introducerea datelor'!$C$16,LEN('Introducerea datelor'!$C$16)-1),1,1)</f>
        <v>7.5</v>
      </c>
      <c r="F27" s="459">
        <f ca="1">OFFSET('Introducerea datelor'!$G$117,14,RIGHT('Introducerea datelor'!$C$16,LEN('Introducerea datelor'!$C$16)-1),1,1)</f>
        <v>6.8490000000000002</v>
      </c>
      <c r="G27" s="869">
        <f ca="1">+IF(ISERROR(E27/F27),0,E27/F27)</f>
        <v>1.0950503723171265</v>
      </c>
      <c r="H27" s="870"/>
      <c r="I27" s="870"/>
      <c r="J27" s="870"/>
      <c r="K27" s="871"/>
      <c r="L27" s="882" t="s">
        <v>493</v>
      </c>
      <c r="M27" s="882"/>
      <c r="N27" s="882"/>
      <c r="O27" s="882"/>
      <c r="P27" s="882"/>
      <c r="Q27" s="882"/>
      <c r="S27" s="68"/>
      <c r="T27" s="66" t="e">
        <f t="shared" ref="T27:W28" si="3">IF($K24&gt;T$19,IF($K24&lt;=T$20,$K24,NA()),NA())</f>
        <v>#N/A</v>
      </c>
      <c r="U27" s="66" t="e">
        <f t="shared" si="3"/>
        <v>#N/A</v>
      </c>
      <c r="V27" s="66" t="e">
        <f t="shared" si="3"/>
        <v>#N/A</v>
      </c>
      <c r="W27" s="66" t="e">
        <f t="shared" si="3"/>
        <v>#N/A</v>
      </c>
      <c r="X27" s="66" t="e">
        <f>IF($K24&gt;X$19,IF($K24&lt;=X$20,1,NA()),NA())</f>
        <v>#N/A</v>
      </c>
      <c r="Y27" s="70"/>
      <c r="Z27" s="70"/>
      <c r="AA27" s="70"/>
      <c r="AB27" s="70"/>
      <c r="AC27" s="70"/>
      <c r="AD27" s="70"/>
      <c r="AE27" s="70"/>
      <c r="AF27" s="70"/>
      <c r="AG27" s="70"/>
      <c r="AH27" s="70"/>
      <c r="AI27" s="70"/>
    </row>
    <row r="28" spans="1:35" ht="59.25" customHeight="1">
      <c r="A28" s="447">
        <v>2.1</v>
      </c>
      <c r="B28" s="865" t="str">
        <f>+'Introducerea datelor'!B132</f>
        <v>Procentul deținuților testați pentru TB, la echipamentul radiologic digital mobil MRP</v>
      </c>
      <c r="C28" s="866"/>
      <c r="D28" s="867"/>
      <c r="E28" s="458">
        <f ca="1">OFFSET('Introducerea datelor'!$G$117,15,RIGHT('Introducerea datelor'!$C$16,LEN('Introducerea datelor'!$C$16)-1),1,1)</f>
        <v>95</v>
      </c>
      <c r="F28" s="458">
        <f ca="1">OFFSET('Introducerea datelor'!$G$117,16,RIGHT('Introducerea datelor'!$C$16,LEN('Introducerea datelor'!$C$16)-1),1,1)</f>
        <v>99.08</v>
      </c>
      <c r="G28" s="869">
        <f ca="1">+IF(ISERROR(F28/E28),0,F28/E28)</f>
        <v>1.0429473684210526</v>
      </c>
      <c r="H28" s="870"/>
      <c r="I28" s="870"/>
      <c r="J28" s="870"/>
      <c r="K28" s="871"/>
      <c r="L28" s="882" t="s">
        <v>490</v>
      </c>
      <c r="M28" s="882"/>
      <c r="N28" s="882"/>
      <c r="O28" s="882"/>
      <c r="P28" s="882"/>
      <c r="Q28" s="882"/>
      <c r="S28" s="68"/>
      <c r="T28" s="66" t="e">
        <f t="shared" si="3"/>
        <v>#N/A</v>
      </c>
      <c r="U28" s="66" t="e">
        <f t="shared" si="3"/>
        <v>#N/A</v>
      </c>
      <c r="V28" s="66" t="e">
        <f t="shared" si="3"/>
        <v>#N/A</v>
      </c>
      <c r="W28" s="66" t="e">
        <f t="shared" si="3"/>
        <v>#N/A</v>
      </c>
      <c r="X28" s="66" t="e">
        <f>IF($K25&gt;X$19,IF($K25&lt;=X$20,1,NA()),NA())</f>
        <v>#N/A</v>
      </c>
      <c r="Y28" s="70"/>
      <c r="Z28" s="70"/>
      <c r="AA28" s="70"/>
      <c r="AB28" s="70"/>
      <c r="AC28" s="70"/>
      <c r="AD28" s="70"/>
      <c r="AE28" s="70"/>
      <c r="AF28" s="70"/>
      <c r="AG28" s="70"/>
      <c r="AH28" s="70"/>
      <c r="AI28" s="70"/>
    </row>
    <row r="29" spans="1:35" ht="40.5" hidden="1" customHeight="1">
      <c r="A29" s="447"/>
      <c r="B29" s="868"/>
      <c r="C29" s="868"/>
      <c r="D29" s="868"/>
      <c r="E29" s="458">
        <f ca="1">OFFSET('Introducerea datelor'!$G$117,17,RIGHT('Introducerea datelor'!$C$16,LEN('Introducerea datelor'!$C$16)-1),1,1)</f>
        <v>0</v>
      </c>
      <c r="F29" s="458">
        <f ca="1">OFFSET('Introducerea datelor'!$G$117,18,RIGHT('Introducerea datelor'!$C$16,LEN('Introducerea datelor'!$C$16)-1),1,1)</f>
        <v>0</v>
      </c>
      <c r="G29" s="888">
        <f ca="1">+IF(ISERROR(F29/E29),0,F29/E29)</f>
        <v>0</v>
      </c>
      <c r="H29" s="889"/>
      <c r="I29" s="889"/>
      <c r="J29" s="889"/>
      <c r="K29" s="890"/>
      <c r="L29" s="878"/>
      <c r="M29" s="879"/>
      <c r="N29" s="879"/>
      <c r="O29" s="879"/>
      <c r="P29" s="879"/>
      <c r="Q29" s="880"/>
      <c r="S29" s="68"/>
      <c r="T29" s="66" t="e">
        <f t="shared" si="0"/>
        <v>#N/A</v>
      </c>
      <c r="U29" s="66" t="e">
        <f t="shared" si="0"/>
        <v>#N/A</v>
      </c>
      <c r="V29" s="66" t="e">
        <f t="shared" si="0"/>
        <v>#N/A</v>
      </c>
      <c r="W29" s="66" t="e">
        <f t="shared" si="0"/>
        <v>#N/A</v>
      </c>
      <c r="X29" s="66" t="e">
        <f t="shared" si="2"/>
        <v>#N/A</v>
      </c>
      <c r="Y29" s="70"/>
      <c r="Z29" s="70"/>
      <c r="AA29" s="70"/>
      <c r="AB29" s="70"/>
      <c r="AC29" s="70"/>
      <c r="AD29" s="70"/>
      <c r="AE29" s="70"/>
      <c r="AF29" s="70"/>
      <c r="AG29" s="70"/>
      <c r="AH29" s="70"/>
      <c r="AI29" s="70"/>
    </row>
    <row r="30" spans="1:35" ht="22.5" customHeight="1">
      <c r="A30" s="406"/>
      <c r="B30" s="864"/>
      <c r="C30" s="864"/>
      <c r="D30" s="864"/>
      <c r="E30" s="864"/>
      <c r="F30" s="863"/>
      <c r="G30" s="863"/>
      <c r="H30" s="863"/>
      <c r="I30" s="863"/>
      <c r="J30" s="863"/>
      <c r="K30" s="863"/>
      <c r="L30" s="881"/>
      <c r="M30" s="881"/>
      <c r="N30" s="881"/>
      <c r="O30" s="881"/>
      <c r="P30" s="881"/>
      <c r="Q30" s="538"/>
      <c r="S30" s="68"/>
      <c r="T30" s="66" t="e">
        <f>IF($K29&gt;T$19,IF($K29&lt;=T$20,$K29,NA()),NA())</f>
        <v>#N/A</v>
      </c>
      <c r="U30" s="66" t="e">
        <f>IF($K29&gt;U$19,IF($K29&lt;=U$20,$K29,NA()),NA())</f>
        <v>#N/A</v>
      </c>
      <c r="V30" s="66" t="e">
        <f>IF($K29&gt;V$19,IF($K29&lt;=V$20,$K29,NA()),NA())</f>
        <v>#N/A</v>
      </c>
      <c r="W30" s="66" t="e">
        <f>IF($K29&gt;W$19,IF($K29&lt;=W$20,$K29,NA()),NA())</f>
        <v>#N/A</v>
      </c>
      <c r="X30" s="66" t="e">
        <f>IF($K29&gt;X$19,IF($K29&lt;=X$20,1,NA()),NA())</f>
        <v>#N/A</v>
      </c>
      <c r="Y30" s="70"/>
      <c r="Z30" s="70"/>
      <c r="AA30" s="70"/>
      <c r="AB30" s="70"/>
      <c r="AC30" s="70"/>
      <c r="AD30" s="70"/>
      <c r="AE30" s="70"/>
      <c r="AF30" s="70"/>
      <c r="AG30" s="70"/>
      <c r="AH30" s="70"/>
      <c r="AI30" s="70"/>
    </row>
    <row r="31" spans="1:35" ht="22.5" customHeight="1">
      <c r="A31" s="406"/>
      <c r="B31" s="886"/>
      <c r="C31" s="886"/>
      <c r="D31" s="886"/>
      <c r="E31" s="887"/>
      <c r="F31" s="873"/>
      <c r="G31" s="874"/>
      <c r="H31" s="874"/>
      <c r="I31" s="874"/>
      <c r="J31" s="874"/>
      <c r="K31" s="887"/>
      <c r="L31" s="873"/>
      <c r="M31" s="874"/>
      <c r="N31" s="874"/>
      <c r="O31" s="874"/>
      <c r="P31" s="874"/>
      <c r="S31" s="68"/>
      <c r="T31" s="66" t="e">
        <f>IF(#REF!&gt;T$19,IF(#REF!&lt;=T$20,#REF!,NA()),NA())</f>
        <v>#REF!</v>
      </c>
      <c r="U31" s="66" t="e">
        <f>IF(#REF!&gt;U$19,IF(#REF!&lt;=U$20,#REF!,NA()),NA())</f>
        <v>#REF!</v>
      </c>
      <c r="V31" s="66" t="e">
        <f>IF(#REF!&gt;V$19,IF(#REF!&lt;=V$20,#REF!,NA()),NA())</f>
        <v>#REF!</v>
      </c>
      <c r="W31" s="66" t="e">
        <f>IF(#REF!&gt;W$19,IF(#REF!&lt;=W$20,#REF!,NA()),NA())</f>
        <v>#REF!</v>
      </c>
      <c r="X31" s="66" t="e">
        <f>IF(#REF!&gt;X$19,IF(#REF!&lt;=X$20,1,NA()),NA())</f>
        <v>#REF!</v>
      </c>
      <c r="Y31" s="70"/>
      <c r="Z31" s="70"/>
      <c r="AA31" s="70"/>
      <c r="AB31" s="70"/>
      <c r="AC31" s="70"/>
      <c r="AD31" s="70"/>
      <c r="AE31" s="70"/>
      <c r="AF31" s="70"/>
      <c r="AG31" s="70"/>
      <c r="AH31" s="70"/>
      <c r="AI31" s="70"/>
    </row>
    <row r="32" spans="1:35">
      <c r="A32" s="406"/>
      <c r="B32" s="193"/>
      <c r="C32" s="193"/>
      <c r="D32" s="193"/>
      <c r="E32" s="410"/>
      <c r="F32" s="410"/>
      <c r="G32" s="193"/>
      <c r="H32" s="194"/>
      <c r="I32" s="193"/>
      <c r="J32" s="193"/>
      <c r="K32" s="193"/>
      <c r="L32" s="193"/>
      <c r="M32" s="193"/>
      <c r="N32" s="193"/>
      <c r="O32" s="193"/>
      <c r="P32" s="193"/>
      <c r="S32" s="68"/>
      <c r="T32" s="66" t="e">
        <f t="shared" si="0"/>
        <v>#N/A</v>
      </c>
      <c r="U32" s="66" t="e">
        <f t="shared" si="0"/>
        <v>#N/A</v>
      </c>
      <c r="V32" s="66" t="e">
        <f t="shared" si="0"/>
        <v>#N/A</v>
      </c>
      <c r="W32" s="66" t="e">
        <f t="shared" si="0"/>
        <v>#N/A</v>
      </c>
      <c r="X32" s="66" t="e">
        <f t="shared" si="2"/>
        <v>#N/A</v>
      </c>
      <c r="Y32" s="70"/>
      <c r="Z32" s="70"/>
      <c r="AA32" s="70"/>
      <c r="AB32" s="70"/>
      <c r="AC32" s="70"/>
      <c r="AD32" s="70"/>
      <c r="AE32" s="70"/>
      <c r="AF32" s="70"/>
      <c r="AG32" s="70"/>
      <c r="AH32" s="70"/>
      <c r="AI32" s="70"/>
    </row>
    <row r="33" spans="1:35">
      <c r="A33" s="406"/>
      <c r="B33" s="885"/>
      <c r="C33" s="885"/>
      <c r="D33" s="885"/>
      <c r="E33" s="885"/>
      <c r="F33" s="885"/>
      <c r="G33" s="885"/>
      <c r="H33" s="885"/>
      <c r="I33" s="885"/>
      <c r="J33" s="885"/>
      <c r="K33" s="885"/>
      <c r="L33" s="193"/>
      <c r="M33" s="193"/>
      <c r="N33" s="193"/>
      <c r="O33" s="193"/>
      <c r="P33" s="193"/>
      <c r="S33" s="68"/>
      <c r="T33" s="66" t="e">
        <f t="shared" si="0"/>
        <v>#N/A</v>
      </c>
      <c r="U33" s="66" t="e">
        <f t="shared" si="0"/>
        <v>#N/A</v>
      </c>
      <c r="V33" s="66" t="e">
        <f t="shared" si="0"/>
        <v>#N/A</v>
      </c>
      <c r="W33" s="66" t="e">
        <f t="shared" si="0"/>
        <v>#N/A</v>
      </c>
      <c r="X33" s="66" t="e">
        <f t="shared" si="2"/>
        <v>#N/A</v>
      </c>
      <c r="Y33" s="70"/>
      <c r="Z33" s="70"/>
      <c r="AA33" s="70"/>
      <c r="AB33" s="70"/>
      <c r="AC33" s="70"/>
      <c r="AD33" s="70"/>
      <c r="AE33" s="70"/>
      <c r="AF33" s="70"/>
      <c r="AG33" s="70"/>
      <c r="AH33" s="70"/>
      <c r="AI33" s="70"/>
    </row>
    <row r="34" spans="1:35">
      <c r="A34" s="406"/>
      <c r="B34" s="885"/>
      <c r="C34" s="885"/>
      <c r="D34" s="885"/>
      <c r="E34" s="885"/>
      <c r="F34" s="885"/>
      <c r="G34" s="885"/>
      <c r="H34" s="885"/>
      <c r="I34" s="885"/>
      <c r="J34" s="885"/>
      <c r="K34" s="885"/>
      <c r="L34" s="193"/>
      <c r="M34" s="193"/>
      <c r="N34" s="193"/>
      <c r="O34" s="193"/>
      <c r="P34" s="193"/>
      <c r="S34" s="70"/>
      <c r="T34" s="70"/>
      <c r="U34" s="70"/>
      <c r="V34" s="70"/>
      <c r="W34" s="70"/>
      <c r="X34" s="70"/>
      <c r="Y34" s="70"/>
      <c r="Z34" s="70"/>
      <c r="AA34" s="70"/>
      <c r="AB34" s="70"/>
      <c r="AC34" s="70"/>
      <c r="AD34" s="70"/>
      <c r="AE34" s="70"/>
      <c r="AF34" s="70"/>
      <c r="AG34" s="70"/>
      <c r="AH34" s="70"/>
      <c r="AI34" s="70"/>
    </row>
    <row r="35" spans="1:35">
      <c r="A35" s="406"/>
      <c r="B35" s="3"/>
      <c r="C35" s="3"/>
      <c r="D35" s="3"/>
      <c r="E35" s="409"/>
      <c r="F35" s="409"/>
      <c r="G35" s="3"/>
      <c r="H35" s="3"/>
      <c r="I35" s="98"/>
      <c r="J35" s="98"/>
      <c r="K35" s="98"/>
      <c r="L35" s="3"/>
      <c r="M35" s="3"/>
      <c r="N35" s="3"/>
      <c r="O35" s="3"/>
      <c r="P35" s="3"/>
      <c r="S35" s="70"/>
      <c r="T35" s="70"/>
      <c r="U35" s="70"/>
      <c r="V35" s="70"/>
      <c r="W35" s="70"/>
      <c r="X35" s="70"/>
      <c r="Y35" s="70"/>
      <c r="Z35" s="70"/>
      <c r="AA35" s="70"/>
      <c r="AB35" s="70"/>
      <c r="AC35" s="70"/>
      <c r="AD35" s="70"/>
      <c r="AE35" s="70"/>
      <c r="AF35" s="70"/>
      <c r="AG35" s="70"/>
      <c r="AH35" s="70"/>
      <c r="AI35" s="70"/>
    </row>
    <row r="36" spans="1:35">
      <c r="A36" s="406"/>
      <c r="B36" s="3"/>
      <c r="C36" s="3"/>
      <c r="D36" s="3"/>
      <c r="E36" s="409"/>
      <c r="F36" s="409"/>
      <c r="G36" s="3"/>
      <c r="H36" s="3"/>
      <c r="I36" s="139"/>
      <c r="J36" s="140"/>
      <c r="K36" s="140"/>
      <c r="L36" s="3"/>
      <c r="M36" s="3"/>
      <c r="N36" s="3"/>
      <c r="O36" s="3"/>
      <c r="P36" s="3"/>
      <c r="S36" s="70"/>
      <c r="T36" s="70"/>
      <c r="U36" s="70"/>
      <c r="V36" s="70"/>
      <c r="W36" s="70"/>
      <c r="X36" s="70"/>
      <c r="Y36" s="70"/>
      <c r="Z36" s="70"/>
      <c r="AA36" s="70"/>
      <c r="AB36" s="70"/>
      <c r="AC36" s="70"/>
      <c r="AD36" s="70"/>
      <c r="AE36" s="70"/>
      <c r="AF36" s="70"/>
      <c r="AG36" s="70"/>
      <c r="AH36" s="70"/>
      <c r="AI36" s="70"/>
    </row>
    <row r="37" spans="1:35">
      <c r="A37" s="406"/>
      <c r="B37" s="3"/>
      <c r="C37" s="3"/>
      <c r="D37" s="3"/>
      <c r="E37" s="409"/>
      <c r="F37" s="409"/>
      <c r="G37" s="3"/>
      <c r="H37" s="3"/>
      <c r="I37" s="141"/>
      <c r="J37" s="142"/>
      <c r="K37" s="100"/>
      <c r="L37" s="3"/>
      <c r="M37" s="3"/>
      <c r="N37" s="3"/>
      <c r="O37" s="3"/>
      <c r="P37" s="3"/>
      <c r="S37" s="70"/>
      <c r="T37" s="70"/>
      <c r="U37" s="70"/>
      <c r="V37" s="70"/>
      <c r="W37" s="70"/>
      <c r="X37" s="70"/>
      <c r="Y37" s="70"/>
      <c r="Z37" s="70"/>
      <c r="AA37" s="70"/>
      <c r="AB37" s="70"/>
      <c r="AC37" s="70"/>
      <c r="AD37" s="70"/>
      <c r="AE37" s="70"/>
      <c r="AF37" s="70"/>
      <c r="AG37" s="70"/>
      <c r="AH37" s="70"/>
      <c r="AI37" s="70"/>
    </row>
    <row r="38" spans="1:35">
      <c r="A38" s="406"/>
      <c r="B38" s="3"/>
      <c r="C38" s="3"/>
      <c r="D38" s="3"/>
      <c r="E38" s="409"/>
      <c r="F38" s="409"/>
      <c r="G38" s="3"/>
      <c r="H38" s="3"/>
      <c r="I38" s="143"/>
      <c r="J38" s="142"/>
      <c r="K38" s="100"/>
      <c r="L38" s="3"/>
      <c r="M38" s="3"/>
      <c r="N38" s="3"/>
      <c r="O38" s="3"/>
      <c r="P38" s="3"/>
      <c r="S38" s="70"/>
      <c r="T38" s="70"/>
      <c r="U38" s="70"/>
      <c r="V38" s="70"/>
      <c r="W38" s="70"/>
      <c r="X38" s="70"/>
      <c r="Y38" s="70"/>
      <c r="Z38" s="70"/>
      <c r="AA38" s="70"/>
      <c r="AB38" s="70"/>
      <c r="AC38" s="70"/>
      <c r="AD38" s="70"/>
      <c r="AE38" s="70"/>
      <c r="AF38" s="70"/>
      <c r="AG38" s="70"/>
      <c r="AH38" s="70"/>
      <c r="AI38" s="70"/>
    </row>
    <row r="39" spans="1:35">
      <c r="A39" s="406"/>
      <c r="B39" s="3"/>
      <c r="C39" s="3"/>
      <c r="D39" s="3"/>
      <c r="E39" s="409"/>
      <c r="F39" s="409"/>
      <c r="G39" s="3"/>
      <c r="H39" s="3"/>
      <c r="I39" s="141"/>
      <c r="J39" s="142"/>
      <c r="K39" s="100"/>
      <c r="L39" s="3"/>
      <c r="M39" s="3"/>
      <c r="N39" s="3"/>
      <c r="O39" s="3"/>
      <c r="P39" s="3"/>
      <c r="S39" s="70"/>
      <c r="T39" s="70"/>
      <c r="U39" s="70"/>
      <c r="V39" s="70"/>
      <c r="W39" s="70"/>
      <c r="X39" s="70"/>
      <c r="Y39" s="70"/>
      <c r="Z39" s="70"/>
      <c r="AA39" s="70"/>
      <c r="AB39" s="70"/>
      <c r="AC39" s="70"/>
      <c r="AD39" s="70"/>
      <c r="AE39" s="70"/>
      <c r="AF39" s="70"/>
      <c r="AG39" s="70"/>
      <c r="AH39" s="70"/>
      <c r="AI39" s="70"/>
    </row>
    <row r="40" spans="1:35">
      <c r="A40" s="406"/>
      <c r="B40" s="3"/>
      <c r="C40" s="3"/>
      <c r="D40" s="3"/>
      <c r="E40" s="409"/>
      <c r="F40" s="409"/>
      <c r="G40" s="3"/>
      <c r="H40" s="3"/>
      <c r="I40" s="3"/>
      <c r="J40" s="3"/>
      <c r="K40" s="3"/>
      <c r="L40" s="3"/>
      <c r="M40" s="3"/>
      <c r="N40" s="3"/>
      <c r="O40" s="3"/>
      <c r="P40" s="3"/>
      <c r="S40" s="70"/>
      <c r="T40" s="70"/>
      <c r="U40" s="70"/>
      <c r="V40" s="70"/>
      <c r="W40" s="70"/>
      <c r="X40" s="70"/>
      <c r="Y40" s="70"/>
      <c r="Z40" s="70"/>
      <c r="AA40" s="70"/>
      <c r="AB40" s="70"/>
      <c r="AC40" s="70"/>
      <c r="AD40" s="70"/>
      <c r="AE40" s="70"/>
      <c r="AF40" s="70"/>
      <c r="AG40" s="70"/>
      <c r="AH40" s="70"/>
      <c r="AI40" s="70"/>
    </row>
    <row r="41" spans="1:35">
      <c r="A41" s="406"/>
      <c r="B41" s="3"/>
      <c r="C41" s="3"/>
      <c r="D41" s="3"/>
      <c r="E41" s="409"/>
      <c r="F41" s="409"/>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406"/>
      <c r="B42" s="3"/>
      <c r="C42" s="3"/>
      <c r="D42" s="3"/>
      <c r="E42" s="409"/>
      <c r="F42" s="409"/>
      <c r="G42" s="3"/>
      <c r="H42" s="3"/>
      <c r="I42" s="3"/>
      <c r="J42" s="3"/>
      <c r="K42" s="3"/>
      <c r="L42" s="3"/>
      <c r="M42" s="3"/>
      <c r="N42" s="3"/>
      <c r="O42" s="3"/>
      <c r="P42" s="3"/>
      <c r="S42" s="63"/>
      <c r="T42" s="63"/>
      <c r="U42" s="63"/>
      <c r="V42" s="63"/>
      <c r="W42" s="63"/>
      <c r="X42" s="63"/>
      <c r="Y42" s="63"/>
      <c r="Z42" s="63"/>
      <c r="AA42" s="63"/>
      <c r="AB42" s="63"/>
    </row>
    <row r="43" spans="1:35">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sheetData>
  <mergeCells count="58">
    <mergeCell ref="B2:Q2"/>
    <mergeCell ref="D5:N5"/>
    <mergeCell ref="L8:Q8"/>
    <mergeCell ref="F6:K6"/>
    <mergeCell ref="E3:K3"/>
    <mergeCell ref="C4:D4"/>
    <mergeCell ref="G23:K23"/>
    <mergeCell ref="G24:K24"/>
    <mergeCell ref="G25:K25"/>
    <mergeCell ref="G27:K27"/>
    <mergeCell ref="L19:Q19"/>
    <mergeCell ref="L25:Q25"/>
    <mergeCell ref="L27:Q27"/>
    <mergeCell ref="G22:K22"/>
    <mergeCell ref="G19:H19"/>
    <mergeCell ref="I19:J19"/>
    <mergeCell ref="L26:Q26"/>
    <mergeCell ref="E18:K18"/>
    <mergeCell ref="B19:D19"/>
    <mergeCell ref="B20:D20"/>
    <mergeCell ref="G20:K20"/>
    <mergeCell ref="B33:D34"/>
    <mergeCell ref="E33:G34"/>
    <mergeCell ref="H33:K34"/>
    <mergeCell ref="B23:D23"/>
    <mergeCell ref="B24:D24"/>
    <mergeCell ref="B25:D25"/>
    <mergeCell ref="B22:D22"/>
    <mergeCell ref="G21:K21"/>
    <mergeCell ref="B31:E31"/>
    <mergeCell ref="F31:K31"/>
    <mergeCell ref="B21:D21"/>
    <mergeCell ref="G29:K29"/>
    <mergeCell ref="L31:P31"/>
    <mergeCell ref="L20:Q20"/>
    <mergeCell ref="L21:Q21"/>
    <mergeCell ref="L22:Q22"/>
    <mergeCell ref="L29:Q29"/>
    <mergeCell ref="L30:P30"/>
    <mergeCell ref="L23:Q23"/>
    <mergeCell ref="L24:Q24"/>
    <mergeCell ref="L28:Q28"/>
    <mergeCell ref="F30:K30"/>
    <mergeCell ref="B30:E30"/>
    <mergeCell ref="B28:D28"/>
    <mergeCell ref="B29:D29"/>
    <mergeCell ref="G26:K26"/>
    <mergeCell ref="B26:D26"/>
    <mergeCell ref="B27:D27"/>
    <mergeCell ref="G28:K28"/>
    <mergeCell ref="C9:E9"/>
    <mergeCell ref="G9:K9"/>
    <mergeCell ref="M9:Q9"/>
    <mergeCell ref="C3:D3"/>
    <mergeCell ref="E4:L4"/>
    <mergeCell ref="B8:E8"/>
    <mergeCell ref="F8:K8"/>
    <mergeCell ref="N3:P3"/>
  </mergeCells>
  <phoneticPr fontId="23" type="noConversion"/>
  <conditionalFormatting sqref="C4:D4">
    <cfRule type="cellIs" dxfId="11" priority="56" stopIfTrue="1" operator="equal">
      <formula>"C"</formula>
    </cfRule>
    <cfRule type="cellIs" dxfId="10" priority="57" stopIfTrue="1" operator="equal">
      <formula>"B2"</formula>
    </cfRule>
    <cfRule type="cellIs" dxfId="9" priority="58" stopIfTrue="1" operator="equal">
      <formula>"B1"</formula>
    </cfRule>
  </conditionalFormatting>
  <conditionalFormatting sqref="G20:G29">
    <cfRule type="cellIs" dxfId="8" priority="62" stopIfTrue="1" operator="between">
      <formula>0</formula>
      <formula>0.599</formula>
    </cfRule>
    <cfRule type="cellIs" dxfId="7" priority="63" stopIfTrue="1" operator="between">
      <formula>0.6</formula>
      <formula>0.899</formula>
    </cfRule>
    <cfRule type="cellIs" dxfId="6" priority="64" stopIfTrue="1" operator="greaterThanOrEqual">
      <formula>0.9</formula>
    </cfRule>
  </conditionalFormatting>
  <pageMargins left="0.70866141732283472" right="0.70866141732283472" top="0.74803149606299213" bottom="0.74803149606299213" header="0.31496062992125984" footer="0.31496062992125984"/>
  <pageSetup paperSize="8" scale="70" orientation="portrait"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T42"/>
  <sheetViews>
    <sheetView showGridLines="0" view="pageBreakPreview" topLeftCell="A31" zoomScale="75" zoomScaleNormal="90" zoomScaleSheetLayoutView="75" workbookViewId="0">
      <selection activeCell="D30" sqref="D30:G30"/>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38.140625"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45"/>
      <c r="B1" s="145"/>
      <c r="C1" s="145"/>
      <c r="D1" s="145"/>
      <c r="E1" s="145"/>
      <c r="F1" s="145"/>
      <c r="G1" s="145"/>
      <c r="H1" s="145"/>
      <c r="I1" s="145"/>
      <c r="J1" s="145"/>
      <c r="K1" s="146"/>
      <c r="L1" s="145"/>
      <c r="M1" s="145"/>
      <c r="N1" s="145"/>
    </row>
    <row r="2" spans="1:15" customFormat="1" ht="27.75" customHeight="1">
      <c r="A2" s="3"/>
      <c r="B2" s="898" t="str">
        <f>+"Tabel Programatic de evaluare:  "&amp;"  "&amp;IF(+'Introducerea datelor'!C4="Please Select","",'Introducerea datelor'!C4&amp;" - ")&amp;IF('Introducerea datelor'!G6="Please Select","",'Introducerea datelor'!G6)</f>
        <v>Tabel Programatic de evaluare:    Moldova - TB</v>
      </c>
      <c r="C2" s="898"/>
      <c r="D2" s="898"/>
      <c r="E2" s="898"/>
      <c r="F2" s="898"/>
      <c r="G2" s="898"/>
      <c r="H2" s="898"/>
      <c r="I2" s="898"/>
      <c r="J2" s="898"/>
      <c r="K2" s="898"/>
      <c r="L2" s="898"/>
      <c r="M2" s="898"/>
      <c r="N2" s="898"/>
      <c r="O2" s="72"/>
    </row>
    <row r="3" spans="1:15" customFormat="1" ht="18.75">
      <c r="A3" s="3"/>
      <c r="B3" s="128" t="str">
        <f>+IF('Introducerea datelor'!G8="Please Select","",'Introducerea datelor'!G8)</f>
        <v/>
      </c>
      <c r="C3" s="855" t="str">
        <f>+IF('Introducerea datelor'!I8="Please Select","",'Introducerea datelor'!I8)</f>
        <v>Faza 2</v>
      </c>
      <c r="D3" s="855"/>
      <c r="E3" s="395"/>
      <c r="F3" s="395"/>
      <c r="G3" s="395"/>
      <c r="H3" s="395"/>
      <c r="I3" s="395"/>
      <c r="J3" s="395"/>
      <c r="K3" s="395"/>
      <c r="L3" s="128" t="str">
        <f>+'Introducerea datelor'!B16</f>
        <v>Perioada de Raportare:</v>
      </c>
      <c r="M3" s="167" t="str">
        <f>+'Introducerea datelor'!C16</f>
        <v>P3</v>
      </c>
      <c r="N3" s="167"/>
      <c r="O3" s="30"/>
    </row>
    <row r="4" spans="1:15" customFormat="1" ht="15">
      <c r="A4" s="3"/>
      <c r="B4" s="128" t="str">
        <f>+'Introducerea datelor'!B12</f>
        <v>Ultimul Rating:</v>
      </c>
      <c r="C4" s="902" t="str">
        <f>+IF('Introducerea datelor'!C12="Please Select","",'Introducerea datelor'!C12)</f>
        <v>A1</v>
      </c>
      <c r="D4" s="902"/>
      <c r="E4" s="854" t="str">
        <f>+'Introducerea datelor'!C8</f>
        <v>IP UCIMP RSS</v>
      </c>
      <c r="F4" s="854"/>
      <c r="G4" s="854"/>
      <c r="H4" s="854"/>
      <c r="I4" s="854"/>
      <c r="J4" s="854"/>
      <c r="K4" s="854"/>
      <c r="L4" s="128" t="str">
        <f>+'Introducerea datelor'!D16</f>
        <v>De la:</v>
      </c>
      <c r="M4" s="168">
        <f>+IF(ISBLANK('Introducerea datelor'!E16),"",'Introducerea datelor'!E16)</f>
        <v>41640</v>
      </c>
      <c r="N4" s="168"/>
      <c r="O4" s="30"/>
    </row>
    <row r="5" spans="1:15" customFormat="1" ht="18.75" customHeight="1">
      <c r="A5" s="3"/>
      <c r="B5" s="128"/>
      <c r="C5" s="128"/>
      <c r="D5" s="129"/>
      <c r="E5" s="854" t="str">
        <f>+'Introducerea datelor'!G4</f>
        <v>Consolidarea controlului Tuberculozei în Republica Moldova</v>
      </c>
      <c r="F5" s="854"/>
      <c r="G5" s="854"/>
      <c r="H5" s="854"/>
      <c r="I5" s="854"/>
      <c r="J5" s="854"/>
      <c r="K5" s="854"/>
      <c r="L5" s="128" t="str">
        <f>+'Introducerea datelor'!F16</f>
        <v>Pînă la:</v>
      </c>
      <c r="M5" s="168">
        <f>+IF(ISBLANK('Introducerea datelor'!G16),"",'Introducerea datelor'!G16)</f>
        <v>41820</v>
      </c>
      <c r="N5" s="168"/>
    </row>
    <row r="6" spans="1:15" customFormat="1" ht="22.5" customHeight="1">
      <c r="A6" s="3"/>
      <c r="B6" s="133"/>
      <c r="C6" s="134"/>
      <c r="D6" s="135"/>
      <c r="E6" s="931" t="s">
        <v>404</v>
      </c>
      <c r="F6" s="931"/>
      <c r="G6" s="931"/>
      <c r="H6" s="931"/>
      <c r="I6" s="931"/>
      <c r="J6" s="931"/>
      <c r="K6" s="931"/>
      <c r="L6" s="2"/>
      <c r="M6" s="2"/>
      <c r="N6" s="2"/>
    </row>
    <row r="7" spans="1:15" s="32" customFormat="1" ht="4.5" customHeight="1">
      <c r="A7" s="147"/>
      <c r="B7" s="148"/>
      <c r="C7" s="148"/>
      <c r="D7" s="148"/>
      <c r="E7" s="148"/>
      <c r="F7" s="148"/>
      <c r="G7" s="148"/>
      <c r="H7" s="148"/>
      <c r="I7" s="148"/>
      <c r="J7" s="148"/>
      <c r="K7" s="148"/>
      <c r="L7" s="149"/>
      <c r="M7" s="149"/>
      <c r="N7" s="150"/>
    </row>
    <row r="8" spans="1:15" s="32" customFormat="1" ht="21" customHeight="1" thickBot="1">
      <c r="A8" s="147"/>
      <c r="B8" s="930" t="s">
        <v>410</v>
      </c>
      <c r="C8" s="930"/>
      <c r="D8" s="930"/>
      <c r="E8" s="930"/>
      <c r="F8" s="930"/>
      <c r="G8" s="930"/>
      <c r="H8" s="930"/>
      <c r="I8" s="930"/>
      <c r="J8" s="930"/>
      <c r="K8" s="930"/>
      <c r="L8" s="930"/>
      <c r="M8" s="930"/>
      <c r="N8" s="930"/>
    </row>
    <row r="9" spans="1:15" s="32" customFormat="1" ht="3.75" customHeight="1" thickBot="1">
      <c r="A9" s="147"/>
      <c r="B9" s="148"/>
      <c r="C9" s="148"/>
      <c r="D9" s="148"/>
      <c r="E9" s="148"/>
      <c r="F9" s="148"/>
      <c r="G9" s="148"/>
      <c r="H9" s="148"/>
      <c r="I9" s="148"/>
      <c r="J9" s="148"/>
      <c r="K9" s="148"/>
      <c r="L9" s="149"/>
      <c r="M9" s="149"/>
      <c r="N9" s="150"/>
    </row>
    <row r="10" spans="1:15" s="33" customFormat="1" ht="25.5" customHeight="1" thickBot="1">
      <c r="A10" s="151"/>
      <c r="B10" s="948" t="s">
        <v>405</v>
      </c>
      <c r="C10" s="949"/>
      <c r="D10" s="938" t="s">
        <v>406</v>
      </c>
      <c r="E10" s="939"/>
      <c r="F10" s="939"/>
      <c r="G10" s="940"/>
      <c r="H10" s="152"/>
      <c r="I10" s="938" t="s">
        <v>404</v>
      </c>
      <c r="J10" s="939"/>
      <c r="K10" s="939"/>
      <c r="L10" s="939"/>
      <c r="M10" s="939"/>
      <c r="N10" s="940"/>
    </row>
    <row r="11" spans="1:15" s="33" customFormat="1" ht="36.75" customHeight="1">
      <c r="A11" s="151"/>
      <c r="B11" s="415" t="s">
        <v>58</v>
      </c>
      <c r="C11" s="416"/>
      <c r="D11" s="957" t="str">
        <f>IF(ISBLANK(Financiar!C9),"",(Financiar!C9))</f>
        <v xml:space="preserve">Fondul Global a debursat în avans intreaga sumă a grantului </v>
      </c>
      <c r="E11" s="957"/>
      <c r="F11" s="957"/>
      <c r="G11" s="958"/>
      <c r="H11" s="542"/>
      <c r="I11" s="950"/>
      <c r="J11" s="951"/>
      <c r="K11" s="951"/>
      <c r="L11" s="951"/>
      <c r="M11" s="951"/>
      <c r="N11" s="952"/>
    </row>
    <row r="12" spans="1:15" s="33" customFormat="1" ht="159.75" customHeight="1">
      <c r="A12" s="151"/>
      <c r="B12" s="419" t="s">
        <v>59</v>
      </c>
      <c r="C12" s="420"/>
      <c r="D12" s="922" t="str">
        <f>IF(ISBLANK(Financiar!C23),"",(Financiar!C23))</f>
        <v>În perioada raportată activităţile implementate în cadrul celor două obiective -  1: Fortificarea implicării comunității și a parteneriatelor pentru un control eficient al TB prin ameliorarea diagnosticului de TB prin identificare și screening activ (ameliorarea diagnosticului TB în sectorul penitenciar prin suportul efectuării screening-ului deținuților la TB) și 2: Asigurarea accesului universal la diagnosticul şi tratamentul cazurilor de TB drogrezistentă, au facut posibile obţinerea unor economii în suma totala de 350,88 mii EUR (244,55 mii EUR economii din bugetul perioadei 2 de implementare si 106,33 mii EUR dobînda bancara şi rambursări de la SR).  Utilizarea economiilor a fost discutată la sedinţa CNC şi aprobată de către acesta şi de către Secretaritul FG pentru procurarea cantităţilor adiţionale de medicamente antituberculoase de linia a doua pentru un număr suplimentar de 90 pacienţi cu TB-MDR (pentru semestrul I.2015).</v>
      </c>
      <c r="E12" s="922"/>
      <c r="F12" s="922"/>
      <c r="G12" s="953"/>
      <c r="H12" s="542"/>
      <c r="I12" s="950"/>
      <c r="J12" s="951"/>
      <c r="K12" s="951"/>
      <c r="L12" s="951"/>
      <c r="M12" s="951"/>
      <c r="N12" s="952"/>
    </row>
    <row r="13" spans="1:15" s="33" customFormat="1" ht="69" customHeight="1">
      <c r="A13" s="151"/>
      <c r="B13" s="419" t="s">
        <v>60</v>
      </c>
      <c r="C13" s="420"/>
      <c r="D13" s="922" t="str">
        <f>IF(ISBLANK(Financiar!I9),"",(Financiar!I9))</f>
        <v>RP are angajamente financiare în volum de aprx. 9,4 mii EUR pentru achitarea costurilor de mentinere a echipamentului HAIN din Laboratoarele de Referinţă; și salariile restante pentru o lună a personalului de la Depozitul IFP şi şoferilor pentru transportarea sputei.</v>
      </c>
      <c r="E13" s="922"/>
      <c r="F13" s="922"/>
      <c r="G13" s="953"/>
      <c r="H13" s="542"/>
      <c r="I13" s="950"/>
      <c r="J13" s="951"/>
      <c r="K13" s="951"/>
      <c r="L13" s="951"/>
      <c r="M13" s="951"/>
      <c r="N13" s="952"/>
    </row>
    <row r="14" spans="1:15" s="33" customFormat="1" ht="75" customHeight="1" thickBot="1">
      <c r="A14" s="151"/>
      <c r="B14" s="417" t="s">
        <v>61</v>
      </c>
      <c r="C14" s="418"/>
      <c r="D14" s="959" t="str">
        <f>IF(ISBLANK(Financiar!I23),"",(Financiar!I23))</f>
        <v xml:space="preserve">Conform aranjamentelor de raportare pentru anul 2014, nu va fi prezentat un raport de progres standard către Secretariatul FG pentru semestrul I.2014. Actualizarea atingerii ţintelor pentru indicatorii de impact, rezultat şi pentru trei indicatori de proces; dar şi prezentarea informaţiei despre sursele financiare disponibile la data de 30 iunie 2014 a fost efectuată la 20 august 2014. </v>
      </c>
      <c r="E14" s="959"/>
      <c r="F14" s="959"/>
      <c r="G14" s="960"/>
      <c r="H14" s="542"/>
      <c r="I14" s="932"/>
      <c r="J14" s="933"/>
      <c r="K14" s="933"/>
      <c r="L14" s="933"/>
      <c r="M14" s="933"/>
      <c r="N14" s="934"/>
    </row>
    <row r="15" spans="1:15" s="33" customFormat="1" ht="4.5" customHeight="1">
      <c r="A15" s="151"/>
      <c r="B15" s="156"/>
      <c r="C15" s="157"/>
      <c r="D15" s="543"/>
      <c r="E15" s="543"/>
      <c r="F15" s="543"/>
      <c r="G15" s="543"/>
      <c r="H15" s="542"/>
      <c r="I15" s="544"/>
      <c r="J15" s="544"/>
      <c r="K15" s="544"/>
      <c r="L15" s="544"/>
      <c r="M15" s="544"/>
      <c r="N15" s="544"/>
      <c r="O15" s="74"/>
    </row>
    <row r="16" spans="1:15" s="32" customFormat="1" ht="21" customHeight="1" thickBot="1">
      <c r="A16" s="147"/>
      <c r="B16" s="930" t="s">
        <v>409</v>
      </c>
      <c r="C16" s="930"/>
      <c r="D16" s="930"/>
      <c r="E16" s="930"/>
      <c r="F16" s="930"/>
      <c r="G16" s="930"/>
      <c r="H16" s="930"/>
      <c r="I16" s="930"/>
      <c r="J16" s="930"/>
      <c r="K16" s="930"/>
      <c r="L16" s="930"/>
      <c r="M16" s="930"/>
      <c r="N16" s="930"/>
    </row>
    <row r="17" spans="1:20" s="33" customFormat="1" ht="3.75" customHeight="1" thickBot="1">
      <c r="A17" s="151"/>
      <c r="B17" s="545"/>
      <c r="C17" s="154"/>
      <c r="D17" s="546"/>
      <c r="E17" s="547"/>
      <c r="F17" s="548"/>
      <c r="G17" s="548"/>
      <c r="H17" s="549"/>
      <c r="I17" s="155"/>
      <c r="J17" s="550"/>
      <c r="K17" s="551"/>
      <c r="L17" s="552"/>
      <c r="M17" s="153"/>
      <c r="N17" s="553"/>
    </row>
    <row r="18" spans="1:20" s="33" customFormat="1" ht="22.5" customHeight="1" thickBot="1">
      <c r="A18" s="151"/>
      <c r="B18" s="947" t="s">
        <v>57</v>
      </c>
      <c r="C18" s="927"/>
      <c r="D18" s="919" t="s">
        <v>406</v>
      </c>
      <c r="E18" s="920"/>
      <c r="F18" s="920"/>
      <c r="G18" s="921"/>
      <c r="H18" s="554"/>
      <c r="I18" s="954" t="s">
        <v>404</v>
      </c>
      <c r="J18" s="955"/>
      <c r="K18" s="955"/>
      <c r="L18" s="955"/>
      <c r="M18" s="956"/>
      <c r="N18" s="956"/>
    </row>
    <row r="19" spans="1:20" s="33" customFormat="1" ht="39" customHeight="1">
      <c r="A19" s="151"/>
      <c r="B19" s="421" t="s">
        <v>66</v>
      </c>
      <c r="C19" s="422"/>
      <c r="D19" s="924" t="str">
        <f>IF(ISBLANK(Management!C8),"",(Management!C8))</f>
        <v>Totae cele patru condiții precedente stipulate în Acordul de Grant au fost îndeplinite de către RP</v>
      </c>
      <c r="E19" s="924"/>
      <c r="F19" s="924"/>
      <c r="G19" s="925"/>
      <c r="H19" s="555"/>
      <c r="I19" s="941"/>
      <c r="J19" s="942"/>
      <c r="K19" s="942"/>
      <c r="L19" s="942"/>
      <c r="M19" s="942"/>
      <c r="N19" s="943"/>
    </row>
    <row r="20" spans="1:20" ht="31.5" customHeight="1">
      <c r="A20" s="145"/>
      <c r="B20" s="425" t="s">
        <v>67</v>
      </c>
      <c r="C20" s="426"/>
      <c r="D20" s="922" t="str">
        <f>IF(ISBLANK(Management!I8),"",(Management!I8))</f>
        <v>Nu sunt posturi libere în cadrul echipei ce gestionează Grantul Consolidat TB</v>
      </c>
      <c r="E20" s="922" t="e">
        <f>+'Introducerea datelor'!D73/'Introducerea datelor'!G73</f>
        <v>#DIV/0!</v>
      </c>
      <c r="F20" s="922" t="e">
        <f>+('Introducerea datelor'!E73+'Introducerea datelor'!F73)/'Introducerea datelor'!G73</f>
        <v>#DIV/0!</v>
      </c>
      <c r="G20" s="923"/>
      <c r="H20" s="555"/>
      <c r="I20" s="935"/>
      <c r="J20" s="936"/>
      <c r="K20" s="936"/>
      <c r="L20" s="936"/>
      <c r="M20" s="936"/>
      <c r="N20" s="937"/>
      <c r="O20" s="34"/>
    </row>
    <row r="21" spans="1:20" ht="44.25" customHeight="1">
      <c r="A21" s="145"/>
      <c r="B21" s="427" t="s">
        <v>68</v>
      </c>
      <c r="C21" s="426"/>
      <c r="D21" s="922" t="str">
        <f>IF(ISBLANK(Management!C16),"",(Management!C16))</f>
        <v>În perioada doi de implementare a Grantului Consolidat IP UCIMP RSS nu are aranjamentele contractuale cu SR pentru realizarea activităților în perioada raportată</v>
      </c>
      <c r="E21" s="922"/>
      <c r="F21" s="922"/>
      <c r="G21" s="923"/>
      <c r="H21" s="555"/>
      <c r="I21" s="935"/>
      <c r="J21" s="936"/>
      <c r="K21" s="936"/>
      <c r="L21" s="936"/>
      <c r="M21" s="936"/>
      <c r="N21" s="937"/>
      <c r="O21" s="34"/>
    </row>
    <row r="22" spans="1:20" ht="29.25" customHeight="1">
      <c r="A22" s="145"/>
      <c r="B22" s="427" t="s">
        <v>69</v>
      </c>
      <c r="C22" s="426"/>
      <c r="D22" s="922" t="str">
        <f>IF(ISBLANK(Management!I16),"",(Management!I16))</f>
        <v>N/A</v>
      </c>
      <c r="E22" s="922"/>
      <c r="F22" s="922"/>
      <c r="G22" s="923"/>
      <c r="H22" s="555"/>
      <c r="I22" s="935"/>
      <c r="J22" s="936"/>
      <c r="K22" s="936"/>
      <c r="L22" s="936"/>
      <c r="M22" s="936"/>
      <c r="N22" s="937"/>
      <c r="O22" s="34"/>
    </row>
    <row r="23" spans="1:20" ht="48.75" customHeight="1">
      <c r="A23" s="145"/>
      <c r="B23" s="427" t="s">
        <v>70</v>
      </c>
      <c r="C23" s="426"/>
      <c r="D23" s="922" t="str">
        <f>IF(ISBLANK(Management!C27),"",(Management!C27))</f>
        <v>RP are angajamente financiare semnate în volum de aprx. 7,5 mii EUR pentru achitarea costurilor de mentinere a echipamentelor HAIN din Laboratoarele de Referinţă.</v>
      </c>
      <c r="E23" s="922"/>
      <c r="F23" s="922"/>
      <c r="G23" s="923"/>
      <c r="H23" s="555"/>
      <c r="I23" s="935"/>
      <c r="J23" s="936"/>
      <c r="K23" s="936"/>
      <c r="L23" s="936"/>
      <c r="M23" s="936"/>
      <c r="N23" s="937"/>
      <c r="O23" s="34"/>
    </row>
    <row r="24" spans="1:20" ht="63" customHeight="1" thickBot="1">
      <c r="A24" s="145"/>
      <c r="B24" s="423" t="s">
        <v>71</v>
      </c>
      <c r="C24" s="424"/>
      <c r="D24" s="928" t="str">
        <f>IF(ISBLANK(Management!I27),"",(Management!I27))</f>
        <v>Analiza stocului (la data de 30 iunie 2014) a medicamentelor de linia a II, a numărului de pacienți în tratament la aceeași dată, precum si a livrarilor planificate arata prezența unui stock buffer între 5 și 20 de luni ce previne riscul lipsei de preparate.</v>
      </c>
      <c r="E24" s="928"/>
      <c r="F24" s="928"/>
      <c r="G24" s="929"/>
      <c r="H24" s="555"/>
      <c r="I24" s="944"/>
      <c r="J24" s="945"/>
      <c r="K24" s="945"/>
      <c r="L24" s="945"/>
      <c r="M24" s="945"/>
      <c r="N24" s="946"/>
      <c r="O24" s="34"/>
      <c r="T24" s="504"/>
    </row>
    <row r="25" spans="1:20" ht="4.5" customHeight="1">
      <c r="A25" s="147"/>
      <c r="B25" s="556"/>
      <c r="C25" s="557"/>
      <c r="D25" s="558"/>
      <c r="E25" s="559"/>
      <c r="F25" s="560"/>
      <c r="G25" s="560"/>
      <c r="H25" s="554"/>
      <c r="I25" s="559"/>
      <c r="J25" s="561"/>
      <c r="K25" s="551"/>
      <c r="L25" s="552"/>
      <c r="M25" s="153"/>
      <c r="N25" s="553"/>
      <c r="O25" s="34"/>
    </row>
    <row r="26" spans="1:20" s="32" customFormat="1" ht="21" customHeight="1" thickBot="1">
      <c r="A26" s="147"/>
      <c r="B26" s="930" t="s">
        <v>408</v>
      </c>
      <c r="C26" s="930"/>
      <c r="D26" s="930"/>
      <c r="E26" s="930"/>
      <c r="F26" s="930"/>
      <c r="G26" s="930"/>
      <c r="H26" s="930"/>
      <c r="I26" s="930"/>
      <c r="J26" s="930"/>
      <c r="K26" s="930"/>
      <c r="L26" s="930"/>
      <c r="M26" s="930"/>
      <c r="N26" s="930"/>
      <c r="R26" s="505"/>
    </row>
    <row r="27" spans="1:20" ht="3.75" customHeight="1" thickBot="1">
      <c r="A27" s="147"/>
      <c r="B27" s="556"/>
      <c r="C27" s="557"/>
      <c r="D27" s="558"/>
      <c r="E27" s="559"/>
      <c r="F27" s="560"/>
      <c r="G27" s="560"/>
      <c r="H27" s="554"/>
      <c r="I27" s="559"/>
      <c r="J27" s="561"/>
      <c r="K27" s="551"/>
      <c r="L27" s="552"/>
      <c r="M27" s="153"/>
      <c r="N27" s="553"/>
      <c r="O27" s="34"/>
    </row>
    <row r="28" spans="1:20" ht="21.75" customHeight="1" thickBot="1">
      <c r="A28" s="145"/>
      <c r="B28" s="926" t="s">
        <v>407</v>
      </c>
      <c r="C28" s="927"/>
      <c r="D28" s="909" t="s">
        <v>406</v>
      </c>
      <c r="E28" s="910"/>
      <c r="F28" s="910"/>
      <c r="G28" s="911"/>
      <c r="H28" s="554"/>
      <c r="I28" s="909" t="s">
        <v>404</v>
      </c>
      <c r="J28" s="910"/>
      <c r="K28" s="910"/>
      <c r="L28" s="910"/>
      <c r="M28" s="910"/>
      <c r="N28" s="911"/>
      <c r="O28" s="34"/>
    </row>
    <row r="29" spans="1:20" ht="93" customHeight="1">
      <c r="A29" s="145"/>
      <c r="B29" s="562" t="s">
        <v>244</v>
      </c>
      <c r="C29" s="563"/>
      <c r="D29" s="912" t="str">
        <f>IF(ISBLANK(Programatic!C9),"",(Programatic!C9))</f>
        <v xml:space="preserve">Date finale pentru anul 2013:  456 persoane au decedat din cauza TB, toate formele.                                                                                                                                  Notă: Se constată descreșterea ratei de decese cauzate de TB pe parcursul ultimilor ani.  Astfel, rata mortalității în 2013 s-a micșorat cu 30,4% față de anul 2010 (16,10 la 100 mii) și cu 22,2% față de anul 2012 (14,4 la 100 mii). Rezultatul actual este mai bun decît ţinta prestabilită în acordul de Grant pentru perioada raportată (11,6 la 100 mii) şi faţă de estimarea  OMS pentru acest indicator (18,0 la 100 mii).          </v>
      </c>
      <c r="E29" s="913"/>
      <c r="F29" s="913"/>
      <c r="G29" s="914"/>
      <c r="H29" s="555"/>
      <c r="I29" s="915"/>
      <c r="J29" s="916"/>
      <c r="K29" s="916"/>
      <c r="L29" s="916"/>
      <c r="M29" s="916"/>
      <c r="N29" s="917"/>
      <c r="O29" s="34"/>
    </row>
    <row r="30" spans="1:20" ht="236.25" customHeight="1">
      <c r="A30" s="145"/>
      <c r="B30" s="564" t="s">
        <v>245</v>
      </c>
      <c r="C30" s="565"/>
      <c r="D30" s="918" t="str">
        <f>IF(ISBLANK(Programatic!G9),"",(Programatic!G9))</f>
        <v xml:space="preserve">Date finale pentru cohorta MDR-TB a anului 2010: 391 cazuri confirmate de TB MDR au fost tratate cu succes (vindecate și tratamente încheiate), din 793 înregistrate sub DOTS Plus în 2010.                                                                                               Notă 1: Rata de succes terapeutic în rândul pacienţilor TB-MDR incluşi în tratamentul DOTS-Plus în 2010,  a constituit 49,3%, fiind ceva mai joasă decât rata succesului a cohortei anului 2009 (51,5%), precum şi comparativ cu ținta prestabilită în  Acordul de grant de 60,0% pentru perioada raportată. Nivelul jos al ratei succesului a fost influenţat de către 10,3% eşecuri, 27,4 % abandonuri şi 12,7% decese.                                                                                                  Notă 2: Totodată, se constată că suportul social al pacienţilor cu TB MDR aflaţi în tratament ambulator realizat de către CNAM şi Grantul FG (RP - Centrul PAS), implicarea ONG în activităţi de control al TB, dar şi dezvoltarea reţelei de Centre Comunitare au asigurat tendinţe pozitive în evoluţia ratei succesului tratamentului pacienţilor, atît cu TB sensibilă, cît şi cu cea rezistentă. Astfel, datele preliminare pentru cohorta MDR-TB 2011, constată o creștere ușoară a ratei succesului în 2011 comparativ cu 2010 - 54,3%, reducerea ratei de abandon (23,1%) şi a eşecurilor (9,5%). Datele tratamentului interimar (rata de succes şi de abandon) sunt mult mai sugestive pentru cohorta anului 2012 şi cea din I semestru 2013, prezentate în cadrul indicatorilor de proces, mai jos.                                                                                                             </v>
      </c>
      <c r="E30" s="907"/>
      <c r="F30" s="907"/>
      <c r="G30" s="908"/>
      <c r="H30" s="555"/>
      <c r="I30" s="903"/>
      <c r="J30" s="904"/>
      <c r="K30" s="904"/>
      <c r="L30" s="904"/>
      <c r="M30" s="904"/>
      <c r="N30" s="905"/>
      <c r="O30" s="34"/>
    </row>
    <row r="31" spans="1:20" ht="120.75" customHeight="1">
      <c r="A31" s="145"/>
      <c r="B31" s="564" t="s">
        <v>246</v>
      </c>
      <c r="C31" s="565"/>
      <c r="D31" s="918" t="str">
        <f>IF(ISBLANK(Programatic!M9),"",(Programatic!M9))</f>
        <v xml:space="preserve">Date finale pentru anul 2013: 411 cazuri noi TB cu cultura pozitivă, testate la DST pentru preparatele de linia I, din 1,610 investigate în 2013, au fost diagnosticate cu MDR (25,5%).                                                                                                                                        Notă. Comparativ cu datele pentru anul 2012 de 23,7% de TB-MDR printre cazurile noi, se constată o creştere a datelor indicatorului cu 7,6%. Totodată, nu a fost atinsă şi ţinta indicatorului de 22,0% stipulată în Acordul de Grant. Nivelul înalt al rezistenţei diagnosticate poate fi explicat prin răspîndirea rezistenţei la medicamentele antituberculoase în populaţie pe parcursul ultimilor 10 ani şi de ameliorarea diagnosticării acesteia prin întroducerea metodelor moderne rapide de diagnostic. </v>
      </c>
      <c r="E31" s="907"/>
      <c r="F31" s="907"/>
      <c r="G31" s="908"/>
      <c r="H31" s="555"/>
      <c r="I31" s="903"/>
      <c r="J31" s="904"/>
      <c r="K31" s="904"/>
      <c r="L31" s="904"/>
      <c r="M31" s="904"/>
      <c r="N31" s="905"/>
      <c r="O31" s="34"/>
    </row>
    <row r="32" spans="1:20" ht="83.25" hidden="1" customHeight="1">
      <c r="A32" s="145"/>
      <c r="B32" s="566" t="s">
        <v>62</v>
      </c>
      <c r="C32" s="565"/>
      <c r="D32" s="906" t="str">
        <f>IF(ISBLANK(Programatic!L20),"",(Programatic!L20))</f>
        <v xml:space="preserve">Date finale pentru anul 2013:  456 persoane au decedat din cauza TB, toate formele.                                                                                                                                                      Notă: Se constată descreșterea ratei de decese cauzate de TB pe parcursul ultimilor ani.  Astfel, rata mortalității în 2013 s-a micșorat cu 30,4% față de anul 2010 (16,10 la 100 mii) și cu 22,2% față de anul 2012 (14,4 la 100 mii). Rezultatul actual este mai bun decît ţinta prestabilită în acordul de Grant pentru perioada raportată (11,6 la 100 mii) şi faţă de estimarea  OMS pentru acest indicator (18,0 la 100 mii).                                                                                                                                                                Notă 2: Ținta a fost atinsă.                                                                                                                                                                    </v>
      </c>
      <c r="E32" s="907"/>
      <c r="F32" s="907"/>
      <c r="G32" s="908"/>
      <c r="H32" s="555"/>
      <c r="I32" s="903"/>
      <c r="J32" s="904"/>
      <c r="K32" s="904"/>
      <c r="L32" s="904"/>
      <c r="M32" s="904"/>
      <c r="N32" s="905"/>
      <c r="O32" s="34"/>
    </row>
    <row r="33" spans="1:15" ht="90.75" hidden="1" customHeight="1">
      <c r="A33" s="145"/>
      <c r="B33" s="566" t="s">
        <v>63</v>
      </c>
      <c r="C33" s="565"/>
      <c r="D33" s="906" t="str">
        <f>IF(ISBLANK(Programatic!L21),"",(Programatic!L21))</f>
        <v xml:space="preserve">Date finale pentru cohorta MDR-TB a anului 2010: 391 cazuri confirmate de TB MDR au fost tratate cu succes (vindecate și tratamente încheiate), din 793 înregistrate sub DOTS Plus în 2010.                                                                                               Notă 1: Rata de succes terapeutic în rândul pacienţilor TB-MDR incluşi în tratamentul DOTS-Plus în 2010,  a constituit 49,3%, fiind ceva mai joasă decât rata succesului a cohortei anului 2009 (51,5%), precum şi comparativ cu ținta prestabilită în  Acordul de grant de 60,0% pentru perioada raportată. Nivelul jos al ratei succesului a fost influenţat de către 10,3% eşecuri, 27,4 % abandonuri şi 12,7% decese.                                                                                                  Notă 2: Totodată, se constată că suportul social al pacienţilor cu TB MDR aflaţi în tratament ambulator realizat de către CNAM şi Grantul FG (RP - Centrul PAS), implicarea ONG în activităţi de control al TB, dar şi dezvoltarea reţelei de Centre Comunitare au asigurat tendinţe pozitive în evoluţia ratei succesului tratamentului pacienţilor, atît cu TB sensibilă, cît şi cu cea rezistentă. Astfel, datele preliminare pentru cohorta MDR-TB 2011, constată o creștere ușoară a ratei succesului în 2011 comparativ cu 2010 - 54,3%, reducerea ratei de abandon (23,1%) şi a eşecurilor (9,5%). Datele tratamentului interimar (rata de succes şi de abandon) sunt mult mai sugestive pentru cohorta anului 2012 şi cea din I semestru 2013, prezentate în cadrul indicatorilor de proces, mai jos.     </v>
      </c>
      <c r="E33" s="907"/>
      <c r="F33" s="907"/>
      <c r="G33" s="908"/>
      <c r="H33" s="555"/>
      <c r="I33" s="903"/>
      <c r="J33" s="904"/>
      <c r="K33" s="904"/>
      <c r="L33" s="904"/>
      <c r="M33" s="904"/>
      <c r="N33" s="905"/>
      <c r="O33" s="34"/>
    </row>
    <row r="34" spans="1:15" ht="132" hidden="1" customHeight="1">
      <c r="A34" s="145"/>
      <c r="B34" s="566" t="s">
        <v>64</v>
      </c>
      <c r="C34" s="565"/>
      <c r="D34" s="906" t="str">
        <f>IF(ISBLANK(Programatic!L22),"",(Programatic!L22))</f>
        <v xml:space="preserve">Date finale pentru anul 2013: 411 cazuri noi TB cu cultura pozitivă, testate la DST pentru preparatele de linia I, din 1,610 investigate în 2013, au fost diagnosticate cu MDR (25,5%).                                                                                                                                        Notă. Comparativ cu datele pentru anul 2012 de 23,7% de TB-MDR printre cazurile noi, se constată o creştere a datelor indicatorului cu 7,6%. Totodată, nu a fost atinsă şi ţinta indicatorului de 22,0% stipulată în Acordul de Grant. Nivelul înalt al rezistenţei diagnosticate poate fi explicat prin răspîndirea rezistenţei la medicamentele antituberculoase în populaţie pe parcursul ultimilor 10 ani şi de ameliorarea diagnosticării acesteia prin întroducerea metodelor moderne rapide de diagnostic. </v>
      </c>
      <c r="E34" s="907"/>
      <c r="F34" s="907"/>
      <c r="G34" s="908"/>
      <c r="H34" s="555"/>
      <c r="I34" s="903"/>
      <c r="J34" s="904"/>
      <c r="K34" s="904"/>
      <c r="L34" s="904"/>
      <c r="M34" s="904"/>
      <c r="N34" s="905"/>
      <c r="O34" s="34"/>
    </row>
    <row r="35" spans="1:15" ht="115.5" customHeight="1">
      <c r="A35" s="145"/>
      <c r="B35" s="566" t="s">
        <v>65</v>
      </c>
      <c r="C35" s="567"/>
      <c r="D35" s="906" t="str">
        <f>IF(ISBLANK(Programatic!L23),"",(Programatic!L23))</f>
        <v xml:space="preserve">Date finale pentru anul 2013: 630 cazuri TB cu cultura pozitivă, anterior tratate, testate la DST pentru preparatele de linia I, din 1,010 investigate în 2013, au fost diagnosticate cu MDR (62,4%).                                                                                                                                                                       Notă. Comparativ cu datele pentru anul 2012 de 62,76% de TB-MDR printre cazurile anterior tratate de TB, se constată că nivelul indicatorului rămîne constant. Nivelul înalt al rezistenţei diagnosticate poate fi explicat prin răspîndirea rezistenţei la medicamentele antituberculoase în populaţie pe parcursul ultimilor 10 ani şi de ameliorarea diagnosticării acesteia prin întroducerea metodelor moderne rapide de diagnostic.      </v>
      </c>
      <c r="E35" s="907"/>
      <c r="F35" s="907"/>
      <c r="G35" s="908"/>
      <c r="H35" s="555"/>
      <c r="I35" s="903"/>
      <c r="J35" s="904"/>
      <c r="K35" s="904"/>
      <c r="L35" s="904"/>
      <c r="M35" s="904"/>
      <c r="N35" s="905"/>
      <c r="O35" s="34"/>
    </row>
    <row r="36" spans="1:15" ht="101.25" customHeight="1">
      <c r="A36" s="145"/>
      <c r="B36" s="566" t="s">
        <v>72</v>
      </c>
      <c r="C36" s="567"/>
      <c r="D36" s="906" t="str">
        <f>IF(ISBLANK(Programatic!L24),"",(Programatic!L24))</f>
        <v xml:space="preserve">Pe parcursul Q1.2014 - 251 și Q2.2014 - 213 pacienți TB-MDR au fost incluși în tratamentul DOTS Plus comparativ cu 330 preconizați pentru semestrul I, 2014.                                                                                                                                                                   Nota: În perioada raportată, a fost implementată practica anterioară de includere în tratamentul DOTS-Plus a unui număr mai mare de pacienți, astfel, înlocuindu-se cazurile de eșec, deces sau abandon înregistrate imediat după inițierea administrării medicamentelor, atunci cînd medicamentele în cauză rămîn a fi încă disponibile.       </v>
      </c>
      <c r="E36" s="907"/>
      <c r="F36" s="907"/>
      <c r="G36" s="908"/>
      <c r="H36" s="555"/>
      <c r="I36" s="903"/>
      <c r="J36" s="904"/>
      <c r="K36" s="904"/>
      <c r="L36" s="904"/>
      <c r="M36" s="904"/>
      <c r="N36" s="905"/>
      <c r="O36" s="34"/>
    </row>
    <row r="37" spans="1:15" ht="102.75" customHeight="1">
      <c r="A37" s="145"/>
      <c r="B37" s="566" t="s">
        <v>73</v>
      </c>
      <c r="C37" s="567"/>
      <c r="D37" s="906" t="str">
        <f>IF(ISBLANK(Programatic!L26),"",(Programatic!L26))</f>
        <v>170 pacienți din 227 incluși în tratamentul DOTS Plus în trimestrul I, 2013 și 182 pacienți din 226 incluși în tratamentul DOTS Plus în trimestrul II, 2013, au obținut un test de cultură negativ, după 6 luni de tratament DOTS Plus.                                                                                                                        Notă: Rezultatul acestui indicator depăşeşte ținta preconizată pentru această perioadă cu 14,1%. Deasemenea comparativ cu datele pentru cohorta anului 2012, se constată o creştere a ratei interimare de succes a tratamentului cu 12,7% (68,96%)</v>
      </c>
      <c r="E37" s="907"/>
      <c r="F37" s="907"/>
      <c r="G37" s="908"/>
      <c r="H37" s="555"/>
      <c r="I37" s="903"/>
      <c r="J37" s="904"/>
      <c r="K37" s="904"/>
      <c r="L37" s="904"/>
      <c r="M37" s="904"/>
      <c r="N37" s="905"/>
      <c r="O37" s="34"/>
    </row>
    <row r="38" spans="1:15" ht="105.75" customHeight="1">
      <c r="A38" s="145"/>
      <c r="B38" s="566" t="s">
        <v>74</v>
      </c>
      <c r="C38" s="567"/>
      <c r="D38" s="906" t="str">
        <f>IF(ISBLANK(Programatic!L27),"",(Programatic!L27))</f>
        <v>16 pacienți din 227 incluși în tratamentul DOTS Plus în trimestrul I, 2013 și 15 pacienți din 226 incluși în tratamentul DOTS Plus în trimestrul II, 2013, au abandonat tratamentul după 6 luni de tratament DOTS Plus.                                                                                                                          Notă: Rezultatul interimar de abandon al tratamentului cazurilor MDR-TB este mai bun  în comparație cu ținta stabilită pentru această perioadă - cu 9,3%.  Totodată se constată şi reducerea ratei de abandon a tratamentului DOTS Plus cu 9,3% faţă de  rata cohortei anului 2012.</v>
      </c>
      <c r="E38" s="907"/>
      <c r="F38" s="907"/>
      <c r="G38" s="908"/>
      <c r="H38" s="555"/>
      <c r="I38" s="903"/>
      <c r="J38" s="904"/>
      <c r="K38" s="904"/>
      <c r="L38" s="904"/>
      <c r="M38" s="904"/>
      <c r="N38" s="905"/>
      <c r="O38" s="34"/>
    </row>
    <row r="39" spans="1:15" ht="55.5" customHeight="1">
      <c r="A39" s="145"/>
      <c r="B39" s="566" t="s">
        <v>75</v>
      </c>
      <c r="C39" s="567"/>
      <c r="D39" s="906" t="str">
        <f>IF(ISBLANK(Programatic!L28),"",(Programatic!L28))</f>
        <v>În perioada raportată, 3,880 deținuți au fost testați  pentru TB la echipamentul radiologic digital mobil MRP, din 3,916 deținuti care necesitau această examinare. Ţinta indicatorului a fost depăţită cu 4,3%.</v>
      </c>
      <c r="E39" s="907"/>
      <c r="F39" s="907"/>
      <c r="G39" s="908"/>
      <c r="H39" s="555"/>
      <c r="I39" s="903"/>
      <c r="J39" s="904"/>
      <c r="K39" s="904"/>
      <c r="L39" s="904"/>
      <c r="M39" s="904"/>
      <c r="N39" s="905"/>
      <c r="O39" s="34"/>
    </row>
    <row r="40" spans="1:15" ht="13.5" customHeight="1">
      <c r="A40" s="145"/>
      <c r="B40" s="352"/>
      <c r="C40" s="199"/>
      <c r="D40" s="906" t="str">
        <f>IF(ISBLANK(Programatic!L29),"",(Programatic!L29))</f>
        <v/>
      </c>
      <c r="E40" s="907"/>
      <c r="F40" s="907"/>
      <c r="G40" s="908"/>
      <c r="H40" s="158"/>
      <c r="I40" s="500"/>
      <c r="J40" s="506"/>
      <c r="K40" s="506"/>
      <c r="L40" s="506"/>
      <c r="M40" s="506"/>
      <c r="N40" s="501"/>
      <c r="O40" s="34"/>
    </row>
    <row r="41" spans="1:15" ht="13.5" customHeight="1" thickBot="1">
      <c r="A41" s="145"/>
      <c r="B41" s="352"/>
      <c r="C41" s="159"/>
      <c r="D41" s="906" t="str">
        <f>IF(ISBLANK(Programatic!L30),"",(Programatic!L30))</f>
        <v/>
      </c>
      <c r="E41" s="907"/>
      <c r="F41" s="907"/>
      <c r="G41" s="908"/>
      <c r="H41" s="158"/>
      <c r="I41" s="507"/>
      <c r="J41" s="508"/>
      <c r="K41" s="508"/>
      <c r="L41" s="508"/>
      <c r="M41" s="508"/>
      <c r="N41" s="509"/>
      <c r="O41" s="34"/>
    </row>
    <row r="42" spans="1:15" ht="14.25">
      <c r="A42" s="145"/>
      <c r="B42" s="160"/>
      <c r="C42" s="160"/>
      <c r="D42" s="161"/>
      <c r="E42" s="145"/>
      <c r="F42" s="160"/>
      <c r="G42" s="160"/>
      <c r="H42" s="145"/>
      <c r="I42" s="162"/>
      <c r="J42" s="145"/>
      <c r="K42" s="163"/>
      <c r="L42" s="163"/>
      <c r="M42" s="163"/>
      <c r="N42" s="163"/>
      <c r="O42" s="34"/>
    </row>
  </sheetData>
  <mergeCells count="62">
    <mergeCell ref="I19:N19"/>
    <mergeCell ref="I24:N24"/>
    <mergeCell ref="I20:N20"/>
    <mergeCell ref="B18:C18"/>
    <mergeCell ref="B10:C10"/>
    <mergeCell ref="D10:G10"/>
    <mergeCell ref="I12:N12"/>
    <mergeCell ref="D12:G12"/>
    <mergeCell ref="I11:N11"/>
    <mergeCell ref="D23:G23"/>
    <mergeCell ref="I18:N18"/>
    <mergeCell ref="D11:G11"/>
    <mergeCell ref="D13:G13"/>
    <mergeCell ref="I13:N13"/>
    <mergeCell ref="D14:G14"/>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D36:G36"/>
    <mergeCell ref="D30:G30"/>
    <mergeCell ref="D31:G31"/>
    <mergeCell ref="D33:G33"/>
    <mergeCell ref="D18:G18"/>
    <mergeCell ref="D20:G20"/>
    <mergeCell ref="D19:G19"/>
    <mergeCell ref="D21:G21"/>
    <mergeCell ref="D22:G22"/>
    <mergeCell ref="D41:G41"/>
    <mergeCell ref="I28:N28"/>
    <mergeCell ref="D40:G40"/>
    <mergeCell ref="D34:G34"/>
    <mergeCell ref="D29:G29"/>
    <mergeCell ref="D28:G28"/>
    <mergeCell ref="D35:G35"/>
    <mergeCell ref="D32:G32"/>
    <mergeCell ref="D39:G39"/>
    <mergeCell ref="D38:G38"/>
    <mergeCell ref="I29:N29"/>
    <mergeCell ref="I30:N30"/>
    <mergeCell ref="I31:N31"/>
    <mergeCell ref="I32:N32"/>
    <mergeCell ref="I33:N33"/>
    <mergeCell ref="D37:G37"/>
    <mergeCell ref="I39:N39"/>
    <mergeCell ref="I34:N34"/>
    <mergeCell ref="I35:N35"/>
    <mergeCell ref="I36:N36"/>
    <mergeCell ref="I37:N37"/>
    <mergeCell ref="I38:N38"/>
  </mergeCells>
  <phoneticPr fontId="23"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75"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topLeftCell="A4" zoomScaleNormal="100" zoomScaleSheetLayoutView="100" workbookViewId="0">
      <selection activeCell="L4" sqref="L4"/>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27" t="str">
        <f>+"Tabel Programatic de Evaluare:  "&amp;"  "&amp;IF(+'Introducerea datelor'!C4="Please Select","",'Introducerea datelor'!C4&amp;" - ")&amp;IF('Introducerea datelor'!G6="Please Select","",'Introducerea datelor'!G6)</f>
        <v>Tabel Programatic de Evaluare:    Moldova - TB</v>
      </c>
      <c r="C2" s="827"/>
      <c r="D2" s="827"/>
      <c r="E2" s="827"/>
      <c r="F2" s="827"/>
      <c r="G2" s="827"/>
      <c r="H2" s="827"/>
      <c r="I2" s="827"/>
      <c r="J2" s="827"/>
      <c r="K2" s="827"/>
      <c r="L2" s="827"/>
    </row>
    <row r="3" spans="1:13">
      <c r="B3" s="23" t="str">
        <f>+IF('Introducerea datelor'!G8="Please Select","",'Introducerea datelor'!G8)</f>
        <v/>
      </c>
      <c r="C3" s="831" t="str">
        <f>+IF('Introducerea datelor'!I8="Please Select","",'Introducerea datelor'!I8)</f>
        <v>Faza 2</v>
      </c>
      <c r="D3" s="831"/>
      <c r="E3" s="825"/>
      <c r="F3" s="825"/>
      <c r="G3" s="825"/>
      <c r="H3" s="825"/>
      <c r="I3" s="825"/>
      <c r="J3" s="830" t="str">
        <f>+'Introducerea datelor'!B16</f>
        <v>Perioada de Raportare:</v>
      </c>
      <c r="K3" s="830"/>
      <c r="L3" s="167" t="str">
        <f>+'Introducerea datelor'!C16</f>
        <v>P3</v>
      </c>
      <c r="M3" s="84"/>
    </row>
    <row r="4" spans="1:13">
      <c r="B4" s="23" t="str">
        <f>+'Introducerea datelor'!B12</f>
        <v>Ultimul Rating:</v>
      </c>
      <c r="C4" s="979" t="str">
        <f>+IF('Introducerea datelor'!C12="Please Select","",'Introducerea datelor'!C12)</f>
        <v>A1</v>
      </c>
      <c r="D4" s="979"/>
      <c r="E4" s="825" t="str">
        <f>+'Introducerea datelor'!C8</f>
        <v>IP UCIMP RSS</v>
      </c>
      <c r="F4" s="825"/>
      <c r="G4" s="825"/>
      <c r="H4" s="825"/>
      <c r="I4" s="825"/>
      <c r="J4" s="830" t="str">
        <f>+'Introducerea datelor'!D16</f>
        <v>De la:</v>
      </c>
      <c r="K4" s="832"/>
      <c r="L4" s="168">
        <f>+IF(ISBLANK('Introducerea datelor'!E16),"",'Introducerea datelor'!E16)</f>
        <v>41640</v>
      </c>
    </row>
    <row r="5" spans="1:13" ht="18.75" customHeight="1">
      <c r="B5" s="23"/>
      <c r="C5" s="23"/>
      <c r="D5" s="825" t="str">
        <f>+'Introducerea datelor'!G4</f>
        <v>Consolidarea controlului Tuberculozei în Republica Moldova</v>
      </c>
      <c r="E5" s="825"/>
      <c r="F5" s="825"/>
      <c r="G5" s="825"/>
      <c r="H5" s="825"/>
      <c r="I5" s="825"/>
      <c r="J5" s="825"/>
      <c r="K5" s="23" t="str">
        <f>+'Introducerea datelor'!F16</f>
        <v>Pînă la:</v>
      </c>
      <c r="L5" s="168">
        <f>+IF(ISBLANK('Introducerea datelor'!G16),"",'Introducerea datelor'!G16)</f>
        <v>41820</v>
      </c>
    </row>
    <row r="6" spans="1:13" ht="18.75">
      <c r="B6" s="22"/>
      <c r="C6" s="23"/>
      <c r="D6" s="24"/>
      <c r="E6" s="829" t="s">
        <v>411</v>
      </c>
      <c r="F6" s="829"/>
      <c r="G6" s="829"/>
      <c r="H6" s="829"/>
      <c r="I6" s="829"/>
    </row>
    <row r="7" spans="1:13" ht="18.75">
      <c r="E7" s="71"/>
      <c r="F7" s="71"/>
      <c r="G7" s="71"/>
      <c r="H7" s="71"/>
      <c r="I7" s="71"/>
    </row>
    <row r="8" spans="1:13" s="32" customFormat="1" ht="21" customHeight="1" thickBot="1">
      <c r="B8" s="75" t="s">
        <v>412</v>
      </c>
      <c r="C8" s="75"/>
      <c r="D8" s="75"/>
      <c r="E8" s="75"/>
      <c r="F8" s="75"/>
      <c r="G8" s="75"/>
      <c r="H8" s="75"/>
      <c r="I8" s="75"/>
      <c r="J8" s="75"/>
      <c r="K8" s="75"/>
      <c r="L8" s="75"/>
    </row>
    <row r="9" spans="1:13" ht="6" customHeight="1">
      <c r="B9" s="73"/>
    </row>
    <row r="10" spans="1:13" ht="19.5" customHeight="1">
      <c r="B10" s="961"/>
      <c r="C10" s="962"/>
      <c r="D10" s="962"/>
      <c r="E10" s="962"/>
      <c r="F10" s="962"/>
      <c r="G10" s="962"/>
      <c r="H10" s="962"/>
      <c r="I10" s="962"/>
      <c r="J10" s="962"/>
      <c r="K10" s="962"/>
      <c r="L10" s="963"/>
    </row>
    <row r="11" spans="1:13" ht="18" customHeight="1">
      <c r="B11" s="964"/>
      <c r="C11" s="965"/>
      <c r="D11" s="965"/>
      <c r="E11" s="965"/>
      <c r="F11" s="965"/>
      <c r="G11" s="965"/>
      <c r="H11" s="965"/>
      <c r="I11" s="965"/>
      <c r="J11" s="965"/>
      <c r="K11" s="965"/>
      <c r="L11" s="966"/>
    </row>
    <row r="12" spans="1:13" ht="15.75" thickBot="1"/>
    <row r="13" spans="1:13" ht="26.25" customHeight="1" thickBot="1">
      <c r="B13" s="975" t="s">
        <v>413</v>
      </c>
      <c r="C13" s="976"/>
      <c r="D13" s="976"/>
      <c r="E13" s="977"/>
      <c r="F13" s="76"/>
      <c r="G13" s="969" t="s">
        <v>414</v>
      </c>
      <c r="H13" s="967"/>
      <c r="I13" s="967"/>
      <c r="J13" s="77" t="s">
        <v>415</v>
      </c>
      <c r="K13" s="967" t="s">
        <v>416</v>
      </c>
      <c r="L13" s="968"/>
    </row>
    <row r="14" spans="1:13" ht="39.75" customHeight="1">
      <c r="A14" s="986" t="s">
        <v>417</v>
      </c>
      <c r="B14" s="1000"/>
      <c r="C14" s="1001"/>
      <c r="D14" s="1001"/>
      <c r="E14" s="1002"/>
      <c r="F14" s="45"/>
      <c r="G14" s="999"/>
      <c r="H14" s="980"/>
      <c r="I14" s="980"/>
      <c r="J14" s="980"/>
      <c r="K14" s="980"/>
      <c r="L14" s="981"/>
    </row>
    <row r="15" spans="1:13" ht="39.75" customHeight="1">
      <c r="A15" s="987"/>
      <c r="B15" s="992"/>
      <c r="C15" s="993"/>
      <c r="D15" s="993"/>
      <c r="E15" s="994"/>
      <c r="F15" s="45"/>
      <c r="G15" s="970"/>
      <c r="H15" s="971"/>
      <c r="I15" s="971"/>
      <c r="J15" s="971"/>
      <c r="K15" s="971"/>
      <c r="L15" s="982"/>
    </row>
    <row r="16" spans="1:13" ht="45" customHeight="1">
      <c r="A16" s="987"/>
      <c r="B16" s="989"/>
      <c r="C16" s="990"/>
      <c r="D16" s="990"/>
      <c r="E16" s="991"/>
      <c r="F16" s="45"/>
      <c r="G16" s="970"/>
      <c r="H16" s="971"/>
      <c r="I16" s="971"/>
      <c r="J16" s="971"/>
      <c r="K16" s="971"/>
      <c r="L16" s="982"/>
    </row>
    <row r="17" spans="1:12" ht="33" customHeight="1">
      <c r="A17" s="987"/>
      <c r="B17" s="992"/>
      <c r="C17" s="993"/>
      <c r="D17" s="993"/>
      <c r="E17" s="994"/>
      <c r="F17" s="45"/>
      <c r="G17" s="970"/>
      <c r="H17" s="971"/>
      <c r="I17" s="971"/>
      <c r="J17" s="971"/>
      <c r="K17" s="971"/>
      <c r="L17" s="982"/>
    </row>
    <row r="18" spans="1:12" ht="26.25" customHeight="1">
      <c r="A18" s="987"/>
      <c r="B18" s="989"/>
      <c r="C18" s="990"/>
      <c r="D18" s="990"/>
      <c r="E18" s="991"/>
      <c r="F18" s="45"/>
      <c r="G18" s="1004"/>
      <c r="H18" s="1005"/>
      <c r="I18" s="1006"/>
      <c r="J18" s="971"/>
      <c r="K18" s="971"/>
      <c r="L18" s="982"/>
    </row>
    <row r="19" spans="1:12" ht="28.5" customHeight="1">
      <c r="A19" s="987"/>
      <c r="B19" s="992"/>
      <c r="C19" s="993"/>
      <c r="D19" s="993"/>
      <c r="E19" s="994"/>
      <c r="F19" s="45"/>
      <c r="G19" s="1007"/>
      <c r="H19" s="1008"/>
      <c r="I19" s="1009"/>
      <c r="J19" s="971"/>
      <c r="K19" s="971"/>
      <c r="L19" s="982"/>
    </row>
    <row r="20" spans="1:12">
      <c r="A20" s="987"/>
      <c r="B20" s="995"/>
      <c r="C20" s="995"/>
      <c r="D20" s="995"/>
      <c r="E20" s="996"/>
      <c r="F20" s="45"/>
      <c r="G20" s="970"/>
      <c r="H20" s="971"/>
      <c r="I20" s="971"/>
      <c r="J20" s="971"/>
      <c r="K20" s="971"/>
      <c r="L20" s="982"/>
    </row>
    <row r="21" spans="1:12">
      <c r="A21" s="987"/>
      <c r="B21" s="995"/>
      <c r="C21" s="995"/>
      <c r="D21" s="995"/>
      <c r="E21" s="996"/>
      <c r="F21" s="45"/>
      <c r="G21" s="970"/>
      <c r="H21" s="971"/>
      <c r="I21" s="971"/>
      <c r="J21" s="971"/>
      <c r="K21" s="971"/>
      <c r="L21" s="982"/>
    </row>
    <row r="22" spans="1:12">
      <c r="A22" s="987"/>
      <c r="B22" s="995"/>
      <c r="C22" s="995"/>
      <c r="D22" s="995"/>
      <c r="E22" s="996"/>
      <c r="F22" s="45"/>
      <c r="G22" s="970"/>
      <c r="H22" s="971"/>
      <c r="I22" s="971"/>
      <c r="J22" s="971"/>
      <c r="K22" s="971"/>
      <c r="L22" s="982"/>
    </row>
    <row r="23" spans="1:12">
      <c r="A23" s="987"/>
      <c r="B23" s="995"/>
      <c r="C23" s="995"/>
      <c r="D23" s="995"/>
      <c r="E23" s="996"/>
      <c r="F23" s="45"/>
      <c r="G23" s="970"/>
      <c r="H23" s="971"/>
      <c r="I23" s="971"/>
      <c r="J23" s="971"/>
      <c r="K23" s="971"/>
      <c r="L23" s="982"/>
    </row>
    <row r="24" spans="1:12">
      <c r="A24" s="987"/>
      <c r="B24" s="995"/>
      <c r="C24" s="995"/>
      <c r="D24" s="995"/>
      <c r="E24" s="996"/>
      <c r="F24" s="45"/>
      <c r="G24" s="970"/>
      <c r="H24" s="971"/>
      <c r="I24" s="971"/>
      <c r="J24" s="971"/>
      <c r="K24" s="971"/>
      <c r="L24" s="982"/>
    </row>
    <row r="25" spans="1:12" ht="15.75" thickBot="1">
      <c r="A25" s="988"/>
      <c r="B25" s="997"/>
      <c r="C25" s="997"/>
      <c r="D25" s="997"/>
      <c r="E25" s="998"/>
      <c r="F25" s="45"/>
      <c r="G25" s="972"/>
      <c r="H25" s="973"/>
      <c r="I25" s="973"/>
      <c r="J25" s="973"/>
      <c r="K25" s="973"/>
      <c r="L25" s="1010"/>
    </row>
    <row r="27" spans="1:12" ht="18.75">
      <c r="E27" s="974" t="s">
        <v>418</v>
      </c>
      <c r="F27" s="974"/>
      <c r="G27" s="974"/>
      <c r="H27" s="974"/>
      <c r="I27" s="974"/>
    </row>
    <row r="28" spans="1:12" ht="6" customHeight="1">
      <c r="E28" s="71"/>
      <c r="F28" s="71"/>
      <c r="G28" s="71"/>
      <c r="H28" s="71"/>
      <c r="I28" s="71"/>
    </row>
    <row r="29" spans="1:12" s="32" customFormat="1" ht="21" customHeight="1" thickBot="1">
      <c r="B29" s="75" t="s">
        <v>419</v>
      </c>
      <c r="C29" s="75"/>
      <c r="D29" s="75"/>
      <c r="E29" s="75"/>
      <c r="F29" s="75"/>
      <c r="G29" s="75"/>
      <c r="H29" s="75"/>
      <c r="I29" s="75"/>
      <c r="J29" s="75"/>
      <c r="K29" s="75"/>
      <c r="L29" s="75"/>
    </row>
    <row r="30" spans="1:12" ht="6" customHeight="1" thickBot="1">
      <c r="B30" s="73"/>
    </row>
    <row r="31" spans="1:12" ht="38.25" customHeight="1" thickBot="1">
      <c r="B31" s="975" t="s">
        <v>414</v>
      </c>
      <c r="C31" s="976"/>
      <c r="D31" s="976"/>
      <c r="E31" s="977"/>
      <c r="F31" s="76"/>
      <c r="G31" s="969" t="s">
        <v>420</v>
      </c>
      <c r="H31" s="967"/>
      <c r="I31" s="967"/>
      <c r="J31" s="77" t="s">
        <v>421</v>
      </c>
      <c r="K31" s="967" t="s">
        <v>416</v>
      </c>
      <c r="L31" s="968"/>
    </row>
    <row r="32" spans="1:12" ht="24" customHeight="1">
      <c r="A32" s="986" t="s">
        <v>422</v>
      </c>
      <c r="B32" s="1021"/>
      <c r="C32" s="1022"/>
      <c r="D32" s="1022"/>
      <c r="E32" s="1023"/>
      <c r="F32" s="45"/>
      <c r="G32" s="983"/>
      <c r="H32" s="984"/>
      <c r="I32" s="984"/>
      <c r="J32" s="984"/>
      <c r="K32" s="984"/>
      <c r="L32" s="1013"/>
    </row>
    <row r="33" spans="1:12" ht="26.25" customHeight="1">
      <c r="A33" s="987"/>
      <c r="B33" s="1007"/>
      <c r="C33" s="1008"/>
      <c r="D33" s="1008"/>
      <c r="E33" s="1024"/>
      <c r="F33" s="45"/>
      <c r="G33" s="985"/>
      <c r="H33" s="978"/>
      <c r="I33" s="978"/>
      <c r="J33" s="978"/>
      <c r="K33" s="978"/>
      <c r="L33" s="1011"/>
    </row>
    <row r="34" spans="1:12">
      <c r="A34" s="987"/>
      <c r="B34" s="1014" t="str">
        <f>IF(Recomandari!I43="","",Recomandari!I43)</f>
        <v/>
      </c>
      <c r="C34" s="1015"/>
      <c r="D34" s="1015"/>
      <c r="E34" s="1016"/>
      <c r="F34" s="45"/>
      <c r="G34" s="985"/>
      <c r="H34" s="978"/>
      <c r="I34" s="978"/>
      <c r="J34" s="978"/>
      <c r="K34" s="978"/>
      <c r="L34" s="1011"/>
    </row>
    <row r="35" spans="1:12" ht="20.25" customHeight="1">
      <c r="A35" s="987"/>
      <c r="B35" s="1014"/>
      <c r="C35" s="1015"/>
      <c r="D35" s="1015"/>
      <c r="E35" s="1016"/>
      <c r="F35" s="45"/>
      <c r="G35" s="985"/>
      <c r="H35" s="978"/>
      <c r="I35" s="978"/>
      <c r="J35" s="978"/>
      <c r="K35" s="978"/>
      <c r="L35" s="1011"/>
    </row>
    <row r="36" spans="1:12" ht="21.75" customHeight="1">
      <c r="A36" s="987"/>
      <c r="B36" s="1014" t="str">
        <f>+IF(Recomandari!I53="","",Recomandari!I53)</f>
        <v/>
      </c>
      <c r="C36" s="1015"/>
      <c r="D36" s="1015"/>
      <c r="E36" s="1016"/>
      <c r="F36" s="45"/>
      <c r="G36" s="985"/>
      <c r="H36" s="978"/>
      <c r="I36" s="978"/>
      <c r="J36" s="978"/>
      <c r="K36" s="978"/>
      <c r="L36" s="1011"/>
    </row>
    <row r="37" spans="1:12" ht="21" customHeight="1">
      <c r="A37" s="987"/>
      <c r="B37" s="1014"/>
      <c r="C37" s="1015"/>
      <c r="D37" s="1015"/>
      <c r="E37" s="1016"/>
      <c r="F37" s="45"/>
      <c r="G37" s="985"/>
      <c r="H37" s="978"/>
      <c r="I37" s="978"/>
      <c r="J37" s="978"/>
      <c r="K37" s="978"/>
      <c r="L37" s="1011"/>
    </row>
    <row r="38" spans="1:12" ht="21" customHeight="1">
      <c r="A38" s="987"/>
      <c r="B38" s="1014"/>
      <c r="C38" s="1015"/>
      <c r="D38" s="1015"/>
      <c r="E38" s="1016"/>
      <c r="F38" s="45"/>
      <c r="G38" s="985"/>
      <c r="H38" s="978"/>
      <c r="I38" s="978"/>
      <c r="J38" s="978"/>
      <c r="K38" s="978"/>
      <c r="L38" s="1011"/>
    </row>
    <row r="39" spans="1:12" ht="21" customHeight="1">
      <c r="A39" s="987"/>
      <c r="B39" s="1014"/>
      <c r="C39" s="1015"/>
      <c r="D39" s="1015"/>
      <c r="E39" s="1016"/>
      <c r="F39" s="45"/>
      <c r="G39" s="985"/>
      <c r="H39" s="978"/>
      <c r="I39" s="978"/>
      <c r="J39" s="978"/>
      <c r="K39" s="978"/>
      <c r="L39" s="1011"/>
    </row>
    <row r="40" spans="1:12">
      <c r="A40" s="987"/>
      <c r="B40" s="1014"/>
      <c r="C40" s="1015"/>
      <c r="D40" s="1015"/>
      <c r="E40" s="1016"/>
      <c r="F40" s="45"/>
      <c r="G40" s="985"/>
      <c r="H40" s="978"/>
      <c r="I40" s="978"/>
      <c r="J40" s="978"/>
      <c r="K40" s="978"/>
      <c r="L40" s="1011"/>
    </row>
    <row r="41" spans="1:12">
      <c r="A41" s="987"/>
      <c r="B41" s="1014"/>
      <c r="C41" s="1015"/>
      <c r="D41" s="1015"/>
      <c r="E41" s="1016"/>
      <c r="F41" s="45"/>
      <c r="G41" s="985"/>
      <c r="H41" s="978"/>
      <c r="I41" s="978"/>
      <c r="J41" s="978"/>
      <c r="K41" s="978"/>
      <c r="L41" s="1011"/>
    </row>
    <row r="42" spans="1:12">
      <c r="A42" s="987"/>
      <c r="B42" s="1014"/>
      <c r="C42" s="1015"/>
      <c r="D42" s="1015"/>
      <c r="E42" s="1016"/>
      <c r="F42" s="45"/>
      <c r="G42" s="985"/>
      <c r="H42" s="978"/>
      <c r="I42" s="978"/>
      <c r="J42" s="978"/>
      <c r="K42" s="978"/>
      <c r="L42" s="1011"/>
    </row>
    <row r="43" spans="1:12" ht="15.75" thickBot="1">
      <c r="A43" s="988"/>
      <c r="B43" s="1017"/>
      <c r="C43" s="1018"/>
      <c r="D43" s="1018"/>
      <c r="E43" s="1019"/>
      <c r="F43" s="45"/>
      <c r="G43" s="1020"/>
      <c r="H43" s="1003"/>
      <c r="I43" s="1003"/>
      <c r="J43" s="1003"/>
      <c r="K43" s="1003"/>
      <c r="L43" s="1012"/>
    </row>
  </sheetData>
  <mergeCells count="67">
    <mergeCell ref="A32:A43"/>
    <mergeCell ref="B42:E43"/>
    <mergeCell ref="G42:I43"/>
    <mergeCell ref="G38:I39"/>
    <mergeCell ref="B38:E39"/>
    <mergeCell ref="B40:E41"/>
    <mergeCell ref="B34:E35"/>
    <mergeCell ref="G34:I35"/>
    <mergeCell ref="B36:E37"/>
    <mergeCell ref="G36:I37"/>
    <mergeCell ref="B32:E3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B10:L11"/>
    <mergeCell ref="K13:L13"/>
    <mergeCell ref="G13:I13"/>
    <mergeCell ref="G24:I25"/>
    <mergeCell ref="G31:I31"/>
    <mergeCell ref="J24:J25"/>
    <mergeCell ref="E27:I27"/>
    <mergeCell ref="B31:E31"/>
  </mergeCells>
  <phoneticPr fontId="23"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2"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Victor Burinschi</cp:lastModifiedBy>
  <cp:lastPrinted>2014-10-16T11:51:34Z</cp:lastPrinted>
  <dcterms:created xsi:type="dcterms:W3CDTF">2011-10-24T05:51:11Z</dcterms:created>
  <dcterms:modified xsi:type="dcterms:W3CDTF">2014-10-16T11:56:49Z</dcterms:modified>
</cp:coreProperties>
</file>