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lockStructure="1"/>
  <bookViews>
    <workbookView xWindow="0" yWindow="0" windowWidth="16275" windowHeight="7725" tabRatio="721" activeTab="2"/>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ListTB">'[1]Definitions-lists-EFR'!$A$39:$A$44</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Programatic!$A$1:$Q$28</definedName>
    <definedName name="PrintA">Actions!$A$2:$L$34</definedName>
    <definedName name="PrintDataF">'Introducerea datelor'!$B$25:$J$64</definedName>
    <definedName name="PrintDataM">'Introducerea datelor'!$B$66:$H$110</definedName>
    <definedName name="PrintF">Financiar!$A$2:$K$31</definedName>
    <definedName name="PrintGD">'Detalii despre Grant'!$A$2:$J$13</definedName>
    <definedName name="PrintM" localSheetId="8">Actions!$A$2:$L$6</definedName>
    <definedName name="PrintM">Management!$A$2:$L$36</definedName>
    <definedName name="PrintP">Programatic!$A$2:$P$29</definedName>
    <definedName name="PrintR">Recomandari!$A$2:$N$40</definedName>
    <definedName name="Rating">Setup!$G$9:$G$14</definedName>
    <definedName name="Round">Setup!$D$9:$D$21</definedName>
  </definedNames>
  <calcPr calcId="145621" concurrentCalc="0"/>
</workbook>
</file>

<file path=xl/calcChain.xml><?xml version="1.0" encoding="utf-8"?>
<calcChain xmlns="http://schemas.openxmlformats.org/spreadsheetml/2006/main">
  <c r="D40" i="29" l="1"/>
  <c r="F53" i="29"/>
  <c r="N35" i="29"/>
  <c r="E54" i="29"/>
  <c r="D46" i="29"/>
  <c r="E52" i="29"/>
  <c r="Q116" i="29"/>
  <c r="Q117" i="29"/>
  <c r="Q142" i="29"/>
  <c r="P141" i="29"/>
  <c r="Q141" i="29"/>
  <c r="P142" i="29"/>
  <c r="P143" i="29"/>
  <c r="Q143" i="29"/>
  <c r="P144" i="29"/>
  <c r="Q144" i="29"/>
  <c r="P145" i="29"/>
  <c r="Q145" i="29"/>
  <c r="P146" i="29"/>
  <c r="Q146" i="29"/>
  <c r="G28" i="37"/>
  <c r="G27" i="37"/>
  <c r="G26" i="37"/>
  <c r="G25" i="37"/>
  <c r="G24" i="37"/>
  <c r="G22" i="37"/>
  <c r="G21" i="37"/>
  <c r="O146" i="29"/>
  <c r="N146" i="29"/>
  <c r="O145" i="29"/>
  <c r="N145" i="29"/>
  <c r="O144" i="29"/>
  <c r="N144" i="29"/>
  <c r="O143" i="29"/>
  <c r="N143" i="29"/>
  <c r="O142" i="29"/>
  <c r="N142" i="29"/>
  <c r="O141" i="29"/>
  <c r="N141" i="29"/>
  <c r="I34" i="29"/>
  <c r="J34" i="29"/>
  <c r="K34" i="29"/>
  <c r="L34" i="29"/>
  <c r="M34" i="29"/>
  <c r="N34" i="29"/>
  <c r="L33" i="29"/>
  <c r="M33" i="29"/>
  <c r="N33" i="29"/>
  <c r="C46" i="29"/>
  <c r="I33" i="29"/>
  <c r="J33" i="29"/>
  <c r="G33" i="29"/>
  <c r="O33" i="29"/>
  <c r="L146" i="29"/>
  <c r="K146" i="29"/>
  <c r="J146" i="29"/>
  <c r="H146" i="29"/>
  <c r="M145" i="29"/>
  <c r="L145" i="29"/>
  <c r="K145" i="29"/>
  <c r="J145" i="29"/>
  <c r="I145" i="29"/>
  <c r="H145" i="29"/>
  <c r="F145" i="29"/>
  <c r="M119" i="29"/>
  <c r="M144" i="29"/>
  <c r="L144" i="29"/>
  <c r="K144" i="29"/>
  <c r="J144" i="29"/>
  <c r="I119" i="29"/>
  <c r="I144" i="29"/>
  <c r="H144" i="29"/>
  <c r="M143" i="29"/>
  <c r="L143" i="29"/>
  <c r="K143" i="29"/>
  <c r="J143" i="29"/>
  <c r="I143" i="29"/>
  <c r="H143" i="29"/>
  <c r="F143" i="29"/>
  <c r="M117" i="29"/>
  <c r="M142" i="29"/>
  <c r="L142" i="29"/>
  <c r="K142" i="29"/>
  <c r="J142" i="29"/>
  <c r="H142" i="29"/>
  <c r="M141" i="29"/>
  <c r="L141" i="29"/>
  <c r="K141" i="29"/>
  <c r="J141" i="29"/>
  <c r="I141" i="29"/>
  <c r="H141" i="29"/>
  <c r="F141" i="29"/>
  <c r="M135" i="29"/>
  <c r="M129" i="29"/>
  <c r="I129" i="29"/>
  <c r="I127" i="29"/>
  <c r="M125" i="29"/>
  <c r="I125" i="29"/>
  <c r="M121" i="29"/>
  <c r="M146" i="29"/>
  <c r="I121" i="29"/>
  <c r="I146" i="29"/>
  <c r="I117" i="29"/>
  <c r="I142" i="29"/>
  <c r="E89" i="29"/>
  <c r="M35" i="29"/>
  <c r="F46" i="29"/>
  <c r="K35" i="29"/>
  <c r="D41" i="42"/>
  <c r="M9" i="37"/>
  <c r="G9" i="37"/>
  <c r="C9" i="37"/>
  <c r="E53" i="29"/>
  <c r="E51" i="29"/>
  <c r="D37" i="42"/>
  <c r="B32" i="29"/>
  <c r="B31" i="29"/>
  <c r="E50" i="29"/>
  <c r="D38" i="29"/>
  <c r="C38" i="29"/>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3" i="32"/>
  <c r="B4" i="1"/>
  <c r="E88" i="29"/>
  <c r="D11" i="42"/>
  <c r="J3" i="35"/>
  <c r="L3" i="35"/>
  <c r="I3" i="30"/>
  <c r="K3" i="30"/>
  <c r="H8" i="30"/>
  <c r="D33" i="42"/>
  <c r="D34" i="42"/>
  <c r="D35" i="42"/>
  <c r="D36" i="42"/>
  <c r="D38" i="42"/>
  <c r="D39" i="42"/>
  <c r="D40" i="42"/>
  <c r="D32" i="42"/>
  <c r="D31" i="42"/>
  <c r="D30" i="42"/>
  <c r="D29" i="42"/>
  <c r="E108" i="29"/>
  <c r="G108" i="29"/>
  <c r="I108" i="29"/>
  <c r="E107" i="29"/>
  <c r="G107" i="29"/>
  <c r="I107" i="29"/>
  <c r="E109" i="29"/>
  <c r="G109" i="29"/>
  <c r="I109" i="29"/>
  <c r="E110" i="29"/>
  <c r="G110" i="29"/>
  <c r="I110" i="29"/>
  <c r="K30" i="35"/>
  <c r="K31" i="35"/>
  <c r="K32" i="35"/>
  <c r="K33" i="35"/>
  <c r="H29" i="30"/>
  <c r="H28" i="30"/>
  <c r="H27" i="30"/>
  <c r="D24" i="42"/>
  <c r="D23" i="42"/>
  <c r="D22" i="42"/>
  <c r="D21" i="42"/>
  <c r="D20" i="42"/>
  <c r="D19" i="42"/>
  <c r="D14" i="42"/>
  <c r="D13" i="42"/>
  <c r="D12" i="42"/>
  <c r="B25" i="45"/>
  <c r="B23" i="45"/>
  <c r="B21" i="45"/>
  <c r="B20" i="45"/>
  <c r="B19" i="45"/>
  <c r="B11" i="45"/>
  <c r="B10" i="45"/>
  <c r="B9" i="45"/>
  <c r="B8" i="45"/>
  <c r="B4" i="37"/>
  <c r="B4" i="35"/>
  <c r="B4" i="30"/>
  <c r="G72" i="29"/>
  <c r="E20" i="42"/>
  <c r="G12" i="27"/>
  <c r="H4" i="1"/>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O3" i="37"/>
  <c r="J5" i="30"/>
  <c r="D5" i="30"/>
  <c r="I4" i="30"/>
  <c r="E4" i="30"/>
  <c r="B36" i="39"/>
  <c r="B34" i="39"/>
  <c r="B34" i="35"/>
  <c r="Q49" i="29"/>
  <c r="Q29" i="29"/>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U27" i="37"/>
  <c r="T25" i="37"/>
  <c r="U25" i="37"/>
  <c r="V25" i="37"/>
  <c r="W25" i="37"/>
  <c r="X25" i="37"/>
  <c r="T28" i="37"/>
  <c r="T26" i="37"/>
  <c r="U26" i="37"/>
  <c r="V26" i="37"/>
  <c r="W26" i="37"/>
  <c r="X26" i="37"/>
  <c r="T27" i="37"/>
  <c r="V27" i="37"/>
  <c r="X27" i="37"/>
  <c r="U28" i="37"/>
  <c r="W28" i="37"/>
  <c r="T29" i="37"/>
  <c r="U29" i="37"/>
  <c r="V29" i="37"/>
  <c r="W29" i="37"/>
  <c r="X29" i="37"/>
  <c r="X28" i="37"/>
  <c r="V28" i="37"/>
  <c r="W27" i="37"/>
  <c r="Q33" i="29"/>
  <c r="H35" i="29"/>
  <c r="Q35" i="29"/>
  <c r="Q34" i="29"/>
  <c r="N48" i="29"/>
  <c r="G35" i="29"/>
  <c r="Q30" i="29"/>
  <c r="E35" i="29"/>
  <c r="D35" i="29"/>
  <c r="C35" i="29"/>
  <c r="Q31" i="29"/>
  <c r="F35" i="29"/>
  <c r="J35" i="29"/>
  <c r="I35" i="29"/>
  <c r="Q32" i="29"/>
  <c r="B15" i="35"/>
  <c r="H22" i="30"/>
  <c r="B22" i="30"/>
  <c r="B2" i="1"/>
  <c r="L35" i="29"/>
  <c r="P31" i="29"/>
  <c r="B8" i="30"/>
  <c r="H7" i="35"/>
  <c r="AB23" i="37"/>
  <c r="AE23" i="37"/>
  <c r="AD23" i="37"/>
  <c r="AC23" i="37"/>
  <c r="AF23" i="37"/>
  <c r="AF22" i="37"/>
  <c r="AC22" i="37"/>
  <c r="AE22" i="37"/>
  <c r="AD22" i="37"/>
  <c r="AB22" i="37"/>
  <c r="AC24" i="37"/>
  <c r="AF24" i="37"/>
  <c r="AB24" i="37"/>
  <c r="AE24" i="37"/>
  <c r="AD24" i="37"/>
  <c r="K109" i="29"/>
  <c r="L32" i="35"/>
  <c r="J32" i="35"/>
  <c r="K107" i="29"/>
  <c r="L30" i="35"/>
  <c r="J30" i="35"/>
  <c r="K110" i="29"/>
  <c r="L33" i="35"/>
  <c r="J33" i="35"/>
  <c r="K108" i="29"/>
  <c r="L31" i="35"/>
  <c r="J31" i="35"/>
  <c r="H15" i="35"/>
  <c r="B7" i="35"/>
  <c r="H26" i="35"/>
  <c r="F20" i="42"/>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1" authorId="1">
      <text>
        <r>
          <rPr>
            <b/>
            <sz val="8"/>
            <color indexed="81"/>
            <rFont val="Tahoma"/>
            <family val="2"/>
            <charset val="204"/>
          </rPr>
          <t xml:space="preserve">If data are not available, do not enter zeros; rather, leave the cells in the table blank. </t>
        </r>
      </text>
    </comment>
    <comment ref="B72" authorId="1">
      <text>
        <r>
          <rPr>
            <b/>
            <sz val="8"/>
            <color indexed="81"/>
            <rFont val="Tahoma"/>
            <family val="2"/>
            <charset val="204"/>
          </rPr>
          <t>If data are not available, do not enter zeros; rather, leave the cells in this table blank.</t>
        </r>
      </text>
    </comment>
    <comment ref="B78" authorId="0">
      <text>
        <r>
          <rPr>
            <sz val="8"/>
            <color indexed="81"/>
            <rFont val="Tahoma"/>
            <family val="2"/>
            <charset val="204"/>
          </rPr>
          <t xml:space="preserve">If data are not available, do not enter zeros; rather, leave the cells in this table blank. </t>
        </r>
      </text>
    </comment>
    <comment ref="B93" author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<sst xmlns="http://schemas.openxmlformats.org/spreadsheetml/2006/main" count="705" uniqueCount="517">
  <si>
    <t>Numerator: Number of released prison inmates on TB treatment supported through the TB treatment follow-up program during a given time period.
Denominator: Total number of released prison inmates on TB treatment during the same time period.  Because the denominator may vary the targets are set in percentage and absolute numbers will be reported with each Progress Update. All inmates participating in the treatment follow-up program will be provided with financial incentives upon completion of their treatment. When needed, the beneficiaries will be also provided with legal support/processing of legal papers/identification documents.                                                                                                                                       Actual absolute figures for numerator and deniminator will be provided with the report.</t>
  </si>
  <si>
    <t xml:space="preserve">Training program of PHC staff (doctors and nurses) will be continued to strengthen their involvement in TB control, with priority attention to TB case detection, strengthening referrals and cooperation with specialized TB service, TB case management in out-patient settings (including MDR-TB cases), community TB care and adherence support, defaulter tracing and contacts' investigation, in conditions of revised TB care delivery model.                                                                                                                                                                                                      Related activity 3.4.1 </t>
  </si>
  <si>
    <t>Training records and SR reports</t>
  </si>
  <si>
    <t>All persons who attended the course not less than 80% and signed the list of participation at training</t>
  </si>
  <si>
    <t xml:space="preserve">Training records </t>
  </si>
  <si>
    <t>Training records</t>
  </si>
  <si>
    <t>TB patient register and SR reports</t>
  </si>
  <si>
    <t>Patient is considered "reached" if he/she receives at least 25 DOT interventions during 1 month.</t>
  </si>
  <si>
    <t>Register of people reached and SR reports</t>
  </si>
  <si>
    <t>All patients who receive at least three food packages per month.</t>
  </si>
  <si>
    <t>All inmates participating in the treatment follow-up program</t>
  </si>
  <si>
    <t>SR reports</t>
  </si>
  <si>
    <t>New persons who received services during the reported period</t>
  </si>
  <si>
    <t>Program reports</t>
  </si>
  <si>
    <t>Empowerment of people with TB and Communities in Moldova</t>
  </si>
  <si>
    <t>Strengthen the health system and engage all available partners in TB control</t>
  </si>
  <si>
    <t>Integrate TB services on both sides of the prison walls</t>
  </si>
  <si>
    <t>Ensure universal access to diagnosis, treatment, care and support of drug-resistant tuberculosis</t>
  </si>
  <si>
    <t>Operational research in priority issues of TB and monitoring and evaluation</t>
  </si>
  <si>
    <t>Project management</t>
  </si>
  <si>
    <t>Number of TB patients registered under DOTS program who are receiving incentives and enablers to improve their  treatment adherence (Numarul de pacienți înregistrați în programul DOTS care au beneficiat de stimulente pentru sporirea complianței la tratament)</t>
  </si>
  <si>
    <t>Number of volunteers, members of multidisciplinary teams and NGOs representatives trained in TB community aspects(Numarul de voluntari, membri din echipele multidisciplinare, reprezentanti ai ONG-lor insruiti  în aspecte DOT și controlul tuberculozei la nivel de comunitate)</t>
  </si>
  <si>
    <t>Number of people (TB,TB/HIV patients and their families)  reached by peer support groups (Numarul de persoane (pacienți TB,TB/HIV și familiile lor) care au fost instruiti de către grupurile de la egal la egal)</t>
  </si>
  <si>
    <t>Number of peer educators, journalists at national and district level and local stakeholders trained in TB and TB/HIV issues (Numarul de educatori de la egal la egal, jurnaliști la nivel național și regional, persoane-cheie din republică instruiți in TB și TB/HIV)</t>
  </si>
  <si>
    <t>Number and percentage of MDR-TB patients registered under DOTS program who are receiving incentives and enablers for improved treatment compliance (Numarul și procentul de pacienți înregistrați în programul DOTS Plus care au primit stimulente pentru sporirea complianței la tratament)</t>
  </si>
  <si>
    <t>Number of TB service staff trained in DR-TB management (Numarul de personal din serviciu TB  instruiti in managementul TB-MDR)</t>
  </si>
  <si>
    <t xml:space="preserve">Percentage of released prison inmates on TB treatment supported through the TB treatment follow-up program (Procentul de deţinuţi înrolați  în tratamentul TB și susţinuți prin programul tratamentului TB de follow-up)  </t>
  </si>
  <si>
    <t>Number of new TB patients in ambulatory phases provided with DOT support by the community (Numărul pacienților noi cu TB aflați în faza de ambulator care au beneficiat de suportul DOT în cadrul centrelor comunitare)</t>
  </si>
  <si>
    <t xml:space="preserve">Number of PHC staff trained in TB case management, community TB care issues and methods of informational work with different groups of population  (Numărul de lucrători medicali instruiți în managementul de caz, probleme de îngrijire comunitară, lucru informaţional cu diferite grupuri de populaţie)  </t>
  </si>
  <si>
    <t>The default rate among New TB Cases in Community Centers (Rata abandonurilor cazurilor noi de TB în cadrul centrelor comunitare)</t>
  </si>
  <si>
    <t>Assessed (Evaluați)</t>
  </si>
  <si>
    <t>Receiving Funding (Au recepționat surse)</t>
  </si>
  <si>
    <t>Number of TB patients registered under DOTS program who are receiving incentives and enablers to improve their  treatment adherence 
(Numărul pacienților noi înregistrați în programul DOTS, care au beneficiat de suport motivațional pentru a spori aderența la tratament )</t>
  </si>
  <si>
    <t>Number and percentage of MDR-TB patients registered under DOTS program who are receiving incentives and enablers for improved treatment compliance 
(Numărul de  pacienți cu MDRTB înregistrați în tratamentul DOTS Plus care au beneficiat de suport motivațional pentru a spori aderența la tratament)</t>
  </si>
  <si>
    <t>Strengthen community involvement and foster partnerships for effective TB control</t>
  </si>
  <si>
    <t>Ensure successful TB case management through patient support and strengthening health system capacities</t>
  </si>
  <si>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</si>
  <si>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</si>
  <si>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</si>
  <si>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</si>
  <si>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</si>
  <si>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</si>
  <si>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</si>
  <si>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</si>
  <si>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</si>
  <si>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</si>
  <si>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</si>
  <si>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</si>
  <si>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</si>
  <si>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</si>
  <si>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</si>
  <si>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</si>
  <si>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</si>
  <si>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</si>
  <si>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</si>
  <si>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</si>
  <si>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</si>
  <si>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</si>
  <si>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</si>
  <si>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</si>
  <si>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</si>
  <si>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</si>
  <si>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</si>
  <si>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</si>
  <si>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</si>
  <si>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</si>
  <si>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</si>
  <si>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</si>
  <si>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</si>
  <si>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</si>
  <si>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</si>
  <si>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</si>
  <si>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</si>
  <si>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</si>
  <si>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</si>
  <si>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</si>
  <si>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</si>
  <si>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</si>
  <si>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</si>
  <si>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</si>
  <si>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</si>
  <si>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</si>
  <si>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</si>
  <si>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</si>
  <si>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</si>
  <si>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</si>
  <si>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</si>
  <si>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</si>
  <si>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</si>
  <si>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</si>
  <si>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</si>
  <si>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</si>
  <si>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</si>
  <si>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</si>
  <si>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</si>
  <si>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</si>
  <si>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</si>
  <si>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</si>
  <si>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</si>
  <si>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</si>
  <si>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</si>
  <si>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</si>
  <si>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</si>
  <si>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</si>
  <si>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</si>
  <si>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</si>
  <si>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</si>
  <si>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</si>
  <si>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</si>
  <si>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</si>
  <si>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</si>
  <si>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</si>
  <si>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</si>
  <si>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</si>
  <si>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</si>
  <si>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</si>
  <si>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</si>
  <si>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</si>
  <si>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</si>
  <si>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</si>
  <si>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</si>
  <si>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</si>
  <si>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</si>
  <si>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</si>
  <si>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</si>
  <si>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</si>
  <si>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</si>
  <si>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</si>
  <si>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</si>
  <si>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</si>
  <si>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</si>
  <si>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</si>
  <si>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</si>
  <si>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</si>
  <si>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</si>
  <si>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</si>
  <si>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</si>
  <si>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</si>
  <si>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</si>
  <si>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</si>
  <si>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</si>
  <si>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</si>
  <si>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</si>
  <si>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</si>
  <si>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</si>
  <si>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</si>
  <si>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</si>
  <si>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</si>
  <si>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</si>
  <si>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</si>
  <si>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</si>
  <si>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</si>
  <si>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</si>
  <si>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</si>
  <si>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</si>
  <si>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</si>
  <si>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</si>
  <si>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</si>
  <si>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</si>
  <si>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</si>
  <si>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</si>
  <si>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</si>
  <si>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</si>
  <si>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</si>
  <si>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</si>
  <si>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</si>
  <si>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</si>
  <si>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</si>
  <si>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</si>
  <si>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</si>
  <si>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</si>
  <si>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</si>
  <si>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</si>
  <si>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</si>
  <si>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</si>
  <si>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</si>
  <si>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</si>
  <si>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</si>
  <si>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</si>
  <si>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</si>
  <si>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</si>
  <si>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</si>
  <si>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</si>
  <si>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</si>
  <si>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</si>
  <si>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</si>
  <si>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</si>
  <si>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</si>
  <si>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</si>
  <si>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</si>
  <si>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</si>
  <si>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</si>
  <si>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</si>
  <si>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</si>
  <si>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</si>
  <si>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</si>
  <si>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</si>
  <si>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</si>
  <si>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</si>
  <si>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</si>
  <si>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</si>
  <si>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</si>
  <si>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</si>
  <si>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</si>
  <si>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</si>
  <si>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</si>
  <si>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</si>
  <si>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</si>
  <si>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</si>
  <si>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</si>
  <si>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</si>
  <si>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</si>
  <si>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</si>
  <si>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</si>
  <si>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</si>
  <si>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</si>
  <si>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</si>
  <si>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</si>
  <si>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</si>
  <si>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</si>
  <si>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</si>
  <si>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</si>
  <si>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</si>
  <si>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</si>
  <si>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</si>
  <si>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</si>
  <si>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</si>
  <si>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</si>
  <si>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</si>
  <si>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</si>
  <si>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</si>
  <si>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</si>
  <si>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</si>
  <si>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</si>
  <si>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</si>
  <si>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</si>
  <si>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</si>
  <si>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</si>
  <si>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</si>
  <si>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</si>
  <si>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</si>
  <si>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</si>
  <si>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</si>
  <si>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</si>
  <si>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</si>
  <si>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</si>
  <si>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</si>
  <si>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</si>
  <si>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</si>
  <si>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</si>
  <si>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</si>
  <si>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</si>
  <si>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</si>
  <si>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</si>
  <si>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</si>
  <si>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</si>
  <si>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</si>
  <si>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</si>
  <si>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</si>
  <si>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</si>
  <si>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</si>
  <si>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</si>
  <si>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</si>
  <si>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</si>
  <si>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</si>
  <si>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</si>
  <si>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</si>
  <si>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</si>
  <si>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</si>
  <si>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</si>
  <si>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</si>
  <si>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</si>
  <si>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</si>
  <si>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</si>
  <si>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</si>
  <si>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</si>
  <si>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</si>
  <si>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</si>
  <si>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</si>
  <si>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</si>
  <si>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</si>
  <si>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</si>
  <si>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</si>
  <si>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</si>
  <si>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</si>
  <si>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</si>
  <si>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</si>
  <si>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</si>
  <si>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</si>
  <si>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</si>
  <si>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</si>
  <si>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</si>
  <si>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</si>
  <si>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</si>
  <si>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</si>
  <si>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</si>
  <si>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</si>
  <si>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</si>
  <si>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</si>
  <si>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</si>
  <si>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</si>
  <si>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</si>
  <si>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</si>
  <si>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</si>
  <si>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</si>
  <si>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</si>
  <si>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</si>
  <si>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</si>
  <si>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</si>
  <si>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</si>
  <si>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</si>
  <si>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</si>
  <si>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</si>
  <si>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</si>
  <si>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</si>
  <si>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</si>
  <si>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</si>
  <si>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</si>
  <si>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</si>
  <si>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</si>
  <si>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</si>
  <si>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</si>
  <si>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</si>
  <si>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</si>
  <si>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</si>
  <si>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</si>
  <si>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</si>
  <si>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</si>
  <si>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</si>
  <si>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</si>
  <si>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</si>
  <si>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</si>
  <si>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</si>
  <si>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</si>
  <si>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</si>
  <si>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</si>
  <si>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</si>
  <si>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</si>
  <si>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</si>
  <si>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</si>
  <si>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</si>
  <si>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</si>
  <si>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</si>
  <si>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</si>
  <si>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</si>
  <si>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</si>
  <si>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</si>
  <si>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</si>
  <si>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</si>
  <si>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</si>
  <si>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</si>
  <si>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</si>
  <si>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</si>
  <si>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</si>
  <si>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</si>
  <si>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</si>
  <si>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</si>
  <si>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</si>
  <si>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</si>
  <si>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</si>
  <si>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</si>
  <si>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</si>
  <si>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</si>
  <si>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</si>
  <si>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</si>
  <si>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</si>
  <si>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</si>
  <si>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</si>
  <si>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</si>
  <si>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</si>
  <si>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</si>
  <si>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</si>
  <si>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</si>
  <si>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Target // Ținta</t>
  </si>
  <si>
    <t>Achieved // Realizat</t>
  </si>
  <si>
    <t>Code / codul</t>
  </si>
  <si>
    <r>
      <t xml:space="preserve">Programmatic Indicators (from Performance Framework) </t>
    </r>
    <r>
      <rPr>
        <b/>
        <sz val="18"/>
        <color indexed="62"/>
        <rFont val="Calibri"/>
        <family val="2"/>
        <charset val="204"/>
      </rPr>
      <t>// Indicatori programatici</t>
    </r>
  </si>
  <si>
    <t xml:space="preserve"> </t>
  </si>
  <si>
    <t>Către perioada de raportare</t>
  </si>
  <si>
    <t>Perioada de raportare curentă</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</si>
  <si>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</si>
  <si>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</si>
  <si>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</si>
  <si>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</si>
  <si>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</si>
  <si>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</si>
  <si>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</si>
  <si>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</si>
  <si>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</si>
  <si>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Indicatori de Program  (Performance Framework )</t>
  </si>
  <si>
    <t xml:space="preserve">Direct rezulta din activitatea FG? </t>
  </si>
  <si>
    <t>Tabelul este în mod automat reînnoit. Nu necesită introducerea datelor și/sau informației.</t>
  </si>
  <si>
    <t>Direct rezulta din activitatea FG?</t>
  </si>
  <si>
    <t>Suma totală:</t>
  </si>
  <si>
    <t>Faza:</t>
  </si>
  <si>
    <t>PAS Center</t>
  </si>
  <si>
    <t>P13</t>
  </si>
  <si>
    <r>
      <t xml:space="preserve">Cumulative budget: </t>
    </r>
    <r>
      <rPr>
        <sz val="11"/>
        <color indexed="8"/>
        <rFont val="Arial"/>
        <family val="2"/>
        <charset val="204"/>
      </rPr>
      <t>Sum of the grant budget from period one (quarter, trimester, or semester) of the current phase, up to and including the dashboard reporting period.</t>
    </r>
    <r>
      <rPr>
        <b/>
        <sz val="11"/>
        <color indexed="8"/>
        <rFont val="Arial"/>
        <family val="2"/>
      </rPr>
      <t xml:space="preserve">
Cumulative Disbursments by GF: </t>
    </r>
    <r>
      <rPr>
        <sz val="11"/>
        <color indexed="8"/>
        <rFont val="Arial"/>
        <family val="2"/>
        <charset val="204"/>
      </rPr>
      <t>Sum of all the funds transferred by the GF to either the PR or paid directly to suppliers (e.g. drugs, equipment, bed nets), up to and including the dasboard reporting period.</t>
    </r>
  </si>
  <si>
    <t>January 01, 2010</t>
  </si>
  <si>
    <t>PMU</t>
  </si>
  <si>
    <t>P17</t>
  </si>
  <si>
    <t>n/a</t>
  </si>
  <si>
    <t>Grant information (Informație despre Grant)</t>
  </si>
  <si>
    <t>Information reporting period (Informația despre perioada raportată)</t>
  </si>
  <si>
    <t xml:space="preserve">Enter the data based on the colour-coded cells (Introduceți datele bazîndu-vă de celulele codificate prin culoare) </t>
  </si>
  <si>
    <t>Information on indicators (Informația despre indicatori)</t>
  </si>
  <si>
    <t>Currency of the grant (Valuta Grantului)</t>
  </si>
  <si>
    <t xml:space="preserve">   </t>
  </si>
  <si>
    <t xml:space="preserve">  Enter finance data in every orange cell like this.</t>
  </si>
  <si>
    <t>F1:  Budget and disbursements by Global Fund (Bugetul și debursările de către Fondul Global)</t>
  </si>
  <si>
    <t>Reporting period (Perioada Raportată)</t>
  </si>
  <si>
    <t>Cumulative budget (Buget Cumulativ)</t>
  </si>
  <si>
    <t>Cumulative disbursements (Debursări cumulative)</t>
  </si>
  <si>
    <t>F2:  Budget and actual expenditures by Grant Objective (Bugetul și cheltuielile actuale după Obiectivele Grantului)</t>
  </si>
  <si>
    <t>Grant Objective (Obiectivele Grantului)</t>
  </si>
  <si>
    <t>F3:Disbursements and expenditures (Debursări și cheltuieli)</t>
  </si>
  <si>
    <t>Disbursed by Global Fund (Debursat de către Fondul Global)</t>
  </si>
  <si>
    <t>PR expenditure and disbursement (Cheltuielile și debursările RP )</t>
  </si>
  <si>
    <t>Disbursed to SRs (Debursări către SR)</t>
  </si>
  <si>
    <t>SR expenditures (Cheltuielile SR)</t>
  </si>
  <si>
    <t xml:space="preserve">F4:  Latest PR reporting and disbursement cycle (Ultima perioadă de raportare și debursare a RP) </t>
  </si>
  <si>
    <t>Last fund disbursement: Number of calendar days  (Ultima debursare a surselor: Număr de zile calendaristice)</t>
  </si>
  <si>
    <t>Days taken to submit final PU/DR to LFA (Zile necesare pentru remiterea PU/DR final către ALF)</t>
  </si>
  <si>
    <t>Days taken for disbursement to reach PR (Zile necesare pentru debursare către RP)</t>
  </si>
  <si>
    <t>Days taken for disbursement to reach SRs  (Zile necesare pentru debursare către SR)</t>
  </si>
  <si>
    <t>Expected (days)Preconizat (zile)</t>
  </si>
  <si>
    <t>Actual (days) Actual (zile)</t>
  </si>
  <si>
    <t>Management Information: (Informația pe Management)</t>
  </si>
  <si>
    <t>Enter management data in every blue cell.</t>
  </si>
  <si>
    <t xml:space="preserve">    (Întroduceți datele pentru management în celulele albastre)</t>
  </si>
  <si>
    <t xml:space="preserve">M1:  Status of Conditions Precedent (CPs) and Time Bound Actions (TBAs) (Statutul Condițiilor Precedente și a Acțiunilor Prestabilite în Timp) </t>
  </si>
  <si>
    <t>Conditions precedent (CPs) (Condiții Precedente (CP))</t>
  </si>
  <si>
    <t>Time Bound Actions (TBAs) (Acțiuni Prestabilite în Timp (TBA))</t>
  </si>
  <si>
    <t>Fulfilled (Finisate)</t>
  </si>
  <si>
    <t>Not fulfilled, but within deadline (Ne finisate, dar realizarea  în conformitate cu planul)</t>
  </si>
  <si>
    <t>Not fulfilled, and past the deadline (Ne finisate, și au depășit planul de realizare)</t>
  </si>
  <si>
    <t xml:space="preserve">M2:  Status of key PR management positions (Statutul pozițiilor cheie a RP) </t>
  </si>
  <si>
    <t>Planned (Planificate)</t>
  </si>
  <si>
    <t>Filled (Completate)</t>
  </si>
  <si>
    <t>Vacant (Vacante)</t>
  </si>
  <si>
    <t xml:space="preserve">M3:  Contractual arrangements (SRs)  (Aranjamente contractuale (SR)) </t>
  </si>
  <si>
    <t>Identified (Identificați)</t>
  </si>
  <si>
    <t>Approved (Aprobați)</t>
  </si>
  <si>
    <t>Signed (Contracte semnate)</t>
  </si>
  <si>
    <t>M4: Number of complete reports received on time (Numărul rapoartelor complete recepționate la timp)</t>
  </si>
  <si>
    <t>#  Expected (Planificat)</t>
  </si>
  <si>
    <t># Received (Recepționat)</t>
  </si>
  <si>
    <t>Pending (În așteptare)</t>
  </si>
  <si>
    <t>M5: Budget and Procurement of health products, health equipment, medicines and pharmaceuticals (Bugetul și Procurarea produselor medicale, echipamentului medical, medicamentelor și produselor farmaceutice )</t>
  </si>
  <si>
    <t>Budget Approved* (Buget Aprobat*)</t>
  </si>
  <si>
    <t>Obligations (Obligațiuni)</t>
  </si>
  <si>
    <t>Expenditures (Cheltuieli)</t>
  </si>
  <si>
    <t>Budget Approved cumulative* (Buget Aprobat cumulativ*)</t>
  </si>
  <si>
    <t>Obligations cumulative (Obligațiuni cumulative)</t>
  </si>
  <si>
    <t>Expenditures cumulative (Cheltuieli cumulative)</t>
  </si>
  <si>
    <t>* Includes only EFR category 4 and 5  (Health products and health equipment &amp; Medicines and Pharmaceuticals) (* Include numai EFR categoriile 4 și 5  (Produse medicale și Echipamente medicale &amp; Medicamente și Produse farmaceutice))</t>
  </si>
  <si>
    <t>M6: Difference between current and safety stock (Diferență între stocul curent și stocul de siguranță)</t>
  </si>
  <si>
    <t>Component (Componenta)</t>
  </si>
  <si>
    <t>Programmatic Information (Informația Programatică):</t>
  </si>
  <si>
    <t xml:space="preserve">Country (Țara): </t>
  </si>
  <si>
    <t>Grant No.(Nr. Grantului):</t>
  </si>
  <si>
    <t>Principal Recipient (Recipientul Principal):</t>
  </si>
  <si>
    <t>Start Date (dd/Mmm/yy)(Data Demarării (zz/ll/aa):</t>
  </si>
  <si>
    <t>Latest Rating (Ultimul Rating):</t>
  </si>
  <si>
    <t>Title of the Grant (Numele Grantului):</t>
  </si>
  <si>
    <t>Component(Componenta):</t>
  </si>
  <si>
    <t>Round (Runda):</t>
  </si>
  <si>
    <t>Local Fund Agent(Agentul Local):</t>
  </si>
  <si>
    <t>Date of entry  of information (Data de introducere a informației):</t>
  </si>
  <si>
    <t>Management Information(Informația pe Management):</t>
  </si>
  <si>
    <t xml:space="preserve">Financial Information(Informația Financiară): </t>
  </si>
  <si>
    <t>To(Pînă la):</t>
  </si>
  <si>
    <t>From(De la):</t>
  </si>
  <si>
    <t>Report Period(Perioada de Raportare):</t>
  </si>
  <si>
    <t>Prepared by(Pregătit de către):</t>
  </si>
  <si>
    <t>Data Source (Sursa datelor)</t>
  </si>
  <si>
    <t xml:space="preserve">Measurement </t>
  </si>
  <si>
    <t xml:space="preserve"> Definiție (din planul M&amp;E,pentru perioada 2)</t>
  </si>
  <si>
    <t>MOL-T-PAS</t>
  </si>
  <si>
    <t>The default rate among New TB Cases in Community Centers</t>
  </si>
  <si>
    <t>Number of volunteers, members of multidisciplinary teams and NGOs representatives trained in TB community aspects</t>
  </si>
  <si>
    <t>Number  of new TB patients in ambulatory phases provided with DOT support by the community</t>
  </si>
  <si>
    <t xml:space="preserve">Number of people (TB,TB/HIV patients and their families)  reached by peer support groups </t>
  </si>
  <si>
    <t xml:space="preserve">Number of peer educators, journalists at national and district level and local stakeholders trained in TB and TB/HIV issues </t>
  </si>
  <si>
    <t>Number of TB service staff trained in DR-TB management</t>
  </si>
  <si>
    <t>Number and percentage of MDR-TB patients registered under DOTS program who are receiving incentives and enablers for improved treatment compliance</t>
  </si>
  <si>
    <t>Number of TB patients registered under DOTS program who are receiving incentives and enablers to improve their  treatment adherence</t>
  </si>
  <si>
    <t xml:space="preserve">Percentage of released prison inmates on TB treatment supported through the TB treatment follow-up program   </t>
  </si>
  <si>
    <t xml:space="preserve">Number of PHC staff trained in TB case management, community TB care issues and methods of informational work with different groups of population     </t>
  </si>
  <si>
    <t>Numerator: Number of default cases among new smear-positive pulmonary TB patients registered for tratment in a given year in community TB centers.                                                   Denominator: Total number of new cases registered for treatment in the same specified period in community TB centers. Actual absolute figures for numerator and deniminator will be provided with the report.</t>
  </si>
  <si>
    <t xml:space="preserve">Targets refer to the number of persons/contacts trained, assuming that the same persons might attend more than one training.  
Volunteers from the NGO network,  representatives of the NGOs and of the multidisciplinary teams of the community centres, including local public authorities, will be trained in DOT and TB community aspects.Composite indicator, related activities 2.2.4; 2.3.2; 2.3.3 </t>
  </si>
  <si>
    <t xml:space="preserve">Targets refer to number of patients with TB,TB/HIV coinfection, drug users and their families, etc. reached by peer educators. The aim of this activity is to improve the adherence to TB treatment, prevent the defaults,  inform the beneficiaries about the referral system in the country and  to advocate for TB control problems among vulnerable population. 
The peer educators are the former TB patients, PLWHA, medical personnel and others, who have willingness and capacity to work in the area of TB.Related activity: 2.4.2     </t>
  </si>
  <si>
    <t xml:space="preserve">Peer educators will be trained to carry out informational work on TB;  journalists at national and district level will be trained in TB communications; and the local stakeholders (representatives of the civil society and NGOs, Local Public Administrations in rayons, personnel of the Centre of Preventive Medicine,  hospitals' administrators,  representatives of the PHC institutions and teaches from schools and colleges) will be trained in TB and TB/HIV issues. Composite indicator, related activities 2.5.1; 2.6.4 &amp; 2.6.7.   </t>
  </si>
  <si>
    <t>Indicator refers to trainings of TB service staff from in- and out-patient treatment delivery sites, covering both civilian and penitentiary sectors.Related activiti: 3,3,2</t>
  </si>
  <si>
    <t>Each patient will receive at least four food packages per month. Related activity: 3,2,4
Numerator:Number of patients with MDR TB  in ambulatory phase received incentives and enablers for improved treatment compliance 
Denominator Total Number of patients with MDR TB  in ambulatory phase under treatment</t>
  </si>
  <si>
    <t>Support to treatment adherence (food and hygienic parcels) for TB patients. Patients will receive at least four food packages per month. Related activity: 3,1,1
Numerator: Number of TB patients  in ambulatory phase received incentives and enablers for improved treatment compliance 
Denominator Total Number of TB patients  in ambulatory phase under treatment</t>
  </si>
  <si>
    <t>The PR always makes the disbursements to SRs in the shortest period when the disbursement request is received and the report is presented.  
Perioada de debursare către SR este cit mai  operativ posibil de la   data depunerii cererii de debursare şi prezentare a raportului financiar.</t>
  </si>
  <si>
    <t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imrpove  compliance and reduce treatment default on 27/09/2013 ( Order  #1051).  
Centrul PAS a implementat cerinta inaintată de Fondul Global vizavi de conditii precedente( CP), inainte de semnarea acordului de grant, avînd NO de la FG. Celelalte doua conditii precedente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distributi  instituțiilor relevante de către OMS  în 2013.  Planul strategic menționat a fost aprobat de cître Ministerul Sănătății  la 27/09/2013 , ordinul # 1051. </t>
  </si>
  <si>
    <t>All key positions of the management department are filled in by the PR.  
Toate functiile sunt completate de RP.</t>
  </si>
  <si>
    <t xml:space="preserve">Soros Moldova Foundation was not assessed due to its proved experience in grants' implementation.  
Fundația Soros-Moldova nu a fost evaluată ținînd cont de semnificativa experiență în implementarea  granturilor.  </t>
  </si>
  <si>
    <t>Phase One</t>
  </si>
  <si>
    <t>P14</t>
  </si>
  <si>
    <r>
      <t xml:space="preserve">During S9, 858 TB patients registered under DOTS program received incentives for improved treatment compliance.                                                                                                                                                                                           </t>
    </r>
    <r>
      <rPr>
        <i/>
        <sz val="8"/>
        <rFont val="Calibri"/>
        <family val="2"/>
        <charset val="204"/>
      </rPr>
      <t xml:space="preserve">Pe parcursul semestrului 9, 858 pacienți cu TB înregistrați în programul DOTS au primit stimulente pentru îmbunătățirea respectării tratamentului. Indicatorul este atins in proportie de 80,%. </t>
    </r>
  </si>
  <si>
    <r>
      <t xml:space="preserve">In S9 a total of 316 MDR-TB patients were received incentives for improved treatment compliance . The indicator is achieved.                                                                                                                                                                                                                                             </t>
    </r>
    <r>
      <rPr>
        <i/>
        <sz val="8"/>
        <rFont val="Calibri"/>
        <family val="2"/>
        <charset val="204"/>
      </rPr>
      <t xml:space="preserve">În semestrul 9 un total de 316 de pacienţi MDR-TB au primit stimulente pentru îmbunătățirea respectării tratamentului.  Indicatorul este atins. </t>
    </r>
  </si>
  <si>
    <r>
      <t xml:space="preserve">During S9, 380 of new TB patients provided with DOT by the community (community centers and NGOs) received at least 25 DOT interventions during 1 month (visit to DOT center by the patient or visit to the patient by DOT supporters for drug intake).  For reporting period the indicator is overachieved in proportion of 118%. Reason for variance: AO AFI included and registered all the new TB patients provided in lists by Community Centers.                     </t>
    </r>
    <r>
      <rPr>
        <i/>
        <sz val="8"/>
        <rFont val="Calibri"/>
        <family val="2"/>
        <charset val="204"/>
      </rPr>
      <t xml:space="preserve">Pe parcursul S9, 380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118%.  Motivul pentru variaţii: AO AFI au înclus şi înregistrat toţi pacienţii noi de TB prevăzuți în listele centrelor comunitare). </t>
    </r>
  </si>
  <si>
    <r>
      <t xml:space="preserve">In S9, 200 people (TB/HIV patients and their families) were reached by peer support groups.                                                                                                            The indicator is achieved.  </t>
    </r>
    <r>
      <rPr>
        <i/>
        <sz val="8"/>
        <rFont val="Calibri"/>
        <family val="2"/>
        <charset val="204"/>
      </rPr>
      <t xml:space="preserve">  În timpul S9, 200 de persoane (TB/HIV pacienţii şi familiile lor) au beneficiat de suport de la egal la egal. Indicatorul este atins</t>
    </r>
  </si>
  <si>
    <r>
      <t xml:space="preserve"> In S9, a total of 153 of peer educators trained to carry out informational work on TB. </t>
    </r>
    <r>
      <rPr>
        <i/>
        <sz val="8"/>
        <rFont val="Calibri"/>
        <family val="2"/>
        <charset val="204"/>
      </rPr>
      <t>In S9, un total de 153 de  educători de la egal la egal instruiți să efectueze lucrul informațional pe TB.</t>
    </r>
  </si>
  <si>
    <r>
      <t xml:space="preserve">In S 9 a total of 25 TB service staff trained in DR-TB management. The indicator is achieved. </t>
    </r>
    <r>
      <rPr>
        <i/>
        <sz val="8"/>
        <rFont val="Calibri"/>
        <family val="2"/>
        <charset val="204"/>
      </rPr>
      <t>In S9 un total de 25 persoane din serviciu TB au fost instruiți în managementul TB-MDR. Indicatorul este realizat.</t>
    </r>
  </si>
  <si>
    <r>
      <t xml:space="preserve">During thefirst half of 2015, 19 eligible prison inmates on TB treatment were released. All of them were supported through the TB follow up program. </t>
    </r>
    <r>
      <rPr>
        <i/>
        <sz val="8"/>
        <rFont val="Calibri"/>
        <family val="2"/>
        <charset val="204"/>
      </rPr>
      <t xml:space="preserve">În prima jumătate a anului 2015, 19 deținuți eligibile pe tratamentul tuberculozei au fost eliberați. Toți aceștia au fost susţinuți prin programul tratamentului TB de follow-up. </t>
    </r>
  </si>
  <si>
    <r>
      <t xml:space="preserve">During S9, a total of 54 medical staff were trained.  The indicator is achieved.  </t>
    </r>
    <r>
      <rPr>
        <i/>
        <sz val="8"/>
        <rFont val="Calibri"/>
        <family val="2"/>
        <charset val="204"/>
      </rPr>
      <t>În timpul S9, au fost instruiţi un total de 54 cadre medicale.  Indicatorul este atins.</t>
    </r>
  </si>
  <si>
    <t>Tsovinar Sakanyan</t>
  </si>
  <si>
    <r>
      <t xml:space="preserve">This indicator is reported annually.                                                                                                                                              </t>
    </r>
    <r>
      <rPr>
        <i/>
        <sz val="8"/>
        <rFont val="Calibri"/>
        <family val="2"/>
        <charset val="204"/>
      </rPr>
      <t>Acest indicator este raportat anual.</t>
    </r>
  </si>
  <si>
    <r>
      <t xml:space="preserve">During S9 a total of 83 persons were trained, from them: 27 people from multidisciplinary teams of the community center; 25 people from NGOs in DOT and TB community aspects and 31 volunteers trained from the NGOs network in TB community aspects.                                                                                                                                                                                                               </t>
    </r>
    <r>
      <rPr>
        <i/>
        <sz val="8"/>
        <rFont val="Calibri"/>
        <family val="2"/>
        <charset val="204"/>
      </rPr>
      <t xml:space="preserve">Pe parcursul semestrului 9, un total de 83 de persoane au fost instruite, dintre care: 27 persoane din echipele multidisciplinare ale centrelor comunitare; 25 persoane din ONG-uri care implementează activități de DOT și în aspecte comunitare în controlul tuberculozei TB şi 31 voluntari din reţeaua de ONG-uri. </t>
    </r>
  </si>
  <si>
    <t>At the end of the project, GF disbursed to PR, EUR 14,021 less than the approved budget. The undisbursed amount is due to saving during the project life (201-2015). However, the disbursement rate is almost 100%.  
La finele proiectului, Recipientul Principal a primit cu 14,021 Euro mai puțin decât bugetul aprobat. Această sumă nedebursată este formată din economiile făcute pe durata proiectului (2010-2015). Rata debursărilor este aproape 100%.</t>
  </si>
  <si>
    <t>The variance between the disbursement and expenditures of the PR for the current period is due to commitments from the semester 1, 2015
The expenditures of the SRs are closed to the disbursement value. The difference is explaiend by the commitments of the semester 1, 2015.
Variatia dintre suma disbursata si suma cheltuita este formata sumele angate pentru activitatile  din semestrul  1, 2015.</t>
  </si>
  <si>
    <t xml:space="preserve">Almost all payments were done according to the planned budget and in line with the project activities. For the objective 1 " Strenthen community involvement and foster parnerships for effective  TB control", the  cumulative expenditure is higher due to  approval of additional budget in value of 66000,0 Euro, as per GF approval, to increase the number of grants for 2013, based on the reallocated savings from 2012 from Objective 5.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 Strenthen community involvement and foster parnerships for effective  TB control " cheltuielile cumulative sunt mai mari datorită aprobării realocării  sumei de 66000,0 Euro pentru linia de grant  din 2013, conform aprobării FG, fiind considerate economiile anului 2012 din Obiectivul 5.  Diferența de valori pentru Managementul de Proiect este condiționată de  venitul din dobindă, cumulată  în cont,pentru acoperirea imprumutului, conform aprobării FG. La celelalte obiective, datorita sumelor angajate, cheltuielele cumulative sunt mai mici decit bugetul planificat. 
</t>
  </si>
  <si>
    <t xml:space="preserve">For the reported period, January-June 2015, 7 SSRs were involved in TB related activities, from which one ("Aktiv" from Bender) is acting as SSR for two SRs - Soros Foundation Moldova and NGO "AFI".                                                                                                                                                                                                                                                               In perioada de raportare, ianuarie-iunie 2015, 7 sub-subrecipienți au realizat activități conexe programului de control al TB, din care o organizație (ONG Aktiv)  activează în calitate de subsub recipient pentru doi SR: Fundația Soros - Moldova și ONG "AFI".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</si>
</sst>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d/mmm/yyyy;@"/>
    <numFmt numFmtId="172" formatCode="[$$-409]#,##0_);\([$$-409]#,##0\)"/>
    <numFmt numFmtId="173" formatCode="00000"/>
  </numFmts>
  <fonts count="14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b/>
      <sz val="18"/>
      <color indexed="62"/>
      <name val="Calibri"/>
      <family val="2"/>
      <charset val="204"/>
    </font>
    <font>
      <sz val="11"/>
      <color indexed="56"/>
      <name val="Arial"/>
      <family val="2"/>
    </font>
    <font>
      <b/>
      <sz val="11"/>
      <color indexed="56"/>
      <name val="Arial"/>
      <family val="2"/>
    </font>
    <font>
      <sz val="11"/>
      <color indexed="56"/>
      <name val="Arial"/>
      <family val="2"/>
      <charset val="204"/>
    </font>
    <font>
      <b/>
      <sz val="11"/>
      <color indexed="56"/>
      <name val="Calibri"/>
      <family val="2"/>
      <charset val="204"/>
    </font>
    <font>
      <b/>
      <sz val="12"/>
      <color indexed="56"/>
      <name val="Calibri"/>
      <family val="2"/>
      <charset val="204"/>
    </font>
    <font>
      <b/>
      <sz val="11"/>
      <color indexed="56"/>
      <name val="Arial"/>
      <family val="2"/>
      <charset val="204"/>
    </font>
    <font>
      <sz val="11"/>
      <color indexed="8"/>
      <name val="Arial"/>
      <family val="2"/>
      <charset val="204"/>
    </font>
    <font>
      <sz val="8"/>
      <color indexed="62"/>
      <name val="Calibri"/>
      <family val="2"/>
      <charset val="204"/>
    </font>
    <font>
      <b/>
      <sz val="12"/>
      <color indexed="44"/>
      <name val="Calibri"/>
      <family val="2"/>
      <charset val="204"/>
    </font>
    <font>
      <sz val="11"/>
      <name val="Calibri"/>
      <family val="2"/>
    </font>
    <font>
      <sz val="11"/>
      <color theme="1"/>
      <name val="Calibri"/>
      <family val="2"/>
      <scheme val="minor"/>
    </font>
    <font>
      <sz val="10"/>
      <color theme="1"/>
      <name val="Arial"/>
      <family val="2"/>
      <charset val="204"/>
    </font>
    <font>
      <sz val="10"/>
      <color rgb="FF002060"/>
      <name val="Arial"/>
      <family val="2"/>
      <charset val="204"/>
    </font>
    <font>
      <sz val="8"/>
      <color theme="3" tint="-0.249977111117893"/>
      <name val="Calibri"/>
      <family val="2"/>
    </font>
    <font>
      <sz val="8"/>
      <name val="Calibri"/>
      <family val="2"/>
      <charset val="204"/>
    </font>
    <font>
      <i/>
      <sz val="8"/>
      <name val="Calibri"/>
      <family val="2"/>
      <charset val="204"/>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gray0625">
        <fgColor indexed="52"/>
      </patternFill>
    </fill>
    <fill>
      <patternFill patternType="solid">
        <fgColor indexed="43"/>
        <bgColor indexed="52"/>
      </patternFill>
    </fill>
    <fill>
      <patternFill patternType="gray0625">
        <fgColor indexed="52"/>
        <bgColor indexed="43"/>
      </patternFill>
    </fill>
    <fill>
      <patternFill patternType="solid">
        <fgColor indexed="18"/>
        <bgColor indexed="64"/>
      </patternFill>
    </fill>
    <fill>
      <patternFill patternType="solid">
        <fgColor indexed="62"/>
        <bgColor indexed="64"/>
      </patternFill>
    </fill>
    <fill>
      <patternFill patternType="solid">
        <fgColor indexed="57"/>
        <bgColor indexed="64"/>
      </patternFill>
    </fill>
    <fill>
      <patternFill patternType="gray0625">
        <fgColor indexed="51"/>
        <bgColor indexed="43"/>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s>
  <borders count="2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right/>
      <top/>
      <bottom style="medium">
        <color indexed="12"/>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top style="medium">
        <color indexed="51"/>
      </top>
      <bottom/>
      <diagonal/>
    </border>
    <border>
      <left/>
      <right style="thin">
        <color indexed="64"/>
      </right>
      <top style="medium">
        <color indexed="51"/>
      </top>
      <bottom style="thin">
        <color indexed="64"/>
      </bottom>
      <diagonal/>
    </border>
    <border>
      <left style="thin">
        <color indexed="64"/>
      </left>
      <right/>
      <top/>
      <bottom/>
      <diagonal/>
    </border>
    <border>
      <left/>
      <right style="thin">
        <color indexed="64"/>
      </right>
      <top/>
      <bottom/>
      <diagonal/>
    </border>
    <border>
      <left style="medium">
        <color indexed="16"/>
      </left>
      <right style="thin">
        <color indexed="64"/>
      </right>
      <top style="thin">
        <color indexed="64"/>
      </top>
      <bottom style="medium">
        <color indexed="16"/>
      </bottom>
      <diagonal/>
    </border>
    <border>
      <left style="medium">
        <color indexed="60"/>
      </left>
      <right style="thin">
        <color indexed="60"/>
      </right>
      <top style="thin">
        <color indexed="60"/>
      </top>
      <bottom style="thin">
        <color indexed="60"/>
      </bottom>
      <diagonal/>
    </border>
    <border>
      <left style="thin">
        <color indexed="64"/>
      </left>
      <right style="medium">
        <color indexed="16"/>
      </right>
      <top style="thin">
        <color indexed="64"/>
      </top>
      <bottom style="thin">
        <color indexed="64"/>
      </bottom>
      <diagonal/>
    </border>
    <border>
      <left style="thin">
        <color indexed="64"/>
      </left>
      <right style="medium">
        <color indexed="16"/>
      </right>
      <top style="thin">
        <color indexed="64"/>
      </top>
      <bottom style="medium">
        <color indexed="16"/>
      </bottom>
      <diagonal/>
    </border>
    <border>
      <left style="medium">
        <color indexed="51"/>
      </left>
      <right style="medium">
        <color indexed="51"/>
      </right>
      <top style="medium">
        <color indexed="51"/>
      </top>
      <bottom/>
      <diagonal/>
    </border>
    <border>
      <left/>
      <right style="thin">
        <color indexed="64"/>
      </right>
      <top style="medium">
        <color indexed="51"/>
      </top>
      <bottom/>
      <diagonal/>
    </border>
    <border>
      <left style="thin">
        <color indexed="64"/>
      </left>
      <right style="thin">
        <color indexed="64"/>
      </right>
      <top style="medium">
        <color indexed="51"/>
      </top>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62"/>
      </right>
      <top style="hair">
        <color indexed="23"/>
      </top>
      <bottom style="hair">
        <color indexed="23"/>
      </bottom>
      <diagonal/>
    </border>
    <border>
      <left/>
      <right style="medium">
        <color indexed="52"/>
      </right>
      <top/>
      <bottom style="medium">
        <color indexed="5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bottom style="hair">
        <color indexed="64"/>
      </bottom>
      <diagonal/>
    </border>
    <border>
      <left style="hair">
        <color indexed="57"/>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16"/>
      </left>
      <right style="thin">
        <color indexed="16"/>
      </right>
      <top style="medium">
        <color indexed="51"/>
      </top>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0" borderId="0" applyNumberFormat="0" applyBorder="0" applyAlignment="0" applyProtection="0"/>
    <xf numFmtId="0" fontId="15" fillId="15" borderId="0" applyNumberFormat="0" applyBorder="0" applyAlignment="0" applyProtection="0"/>
    <xf numFmtId="0" fontId="5" fillId="16" borderId="0" applyNumberFormat="0" applyBorder="0" applyAlignment="0" applyProtection="0"/>
    <xf numFmtId="0" fontId="9" fillId="2" borderId="1" applyNumberFormat="0" applyAlignment="0" applyProtection="0"/>
    <xf numFmtId="0" fontId="11" fillId="17" borderId="2"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18" borderId="0" applyNumberFormat="0" applyBorder="0" applyAlignment="0" applyProtection="0"/>
    <xf numFmtId="0" fontId="70" fillId="0" borderId="3" applyNumberFormat="0" applyFill="0" applyAlignment="0" applyProtection="0"/>
    <xf numFmtId="0" fontId="71"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6" applyNumberFormat="0" applyFill="0" applyAlignment="0" applyProtection="0"/>
    <xf numFmtId="164" fontId="2" fillId="0" borderId="0" applyFill="0" applyBorder="0" applyAlignment="0" applyProtection="0"/>
    <xf numFmtId="164" fontId="1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4" fillId="0" borderId="0"/>
    <xf numFmtId="164" fontId="134" fillId="0" borderId="0"/>
    <xf numFmtId="164" fontId="134" fillId="0" borderId="0"/>
    <xf numFmtId="164" fontId="134" fillId="0" borderId="0"/>
    <xf numFmtId="0" fontId="64" fillId="0" borderId="0"/>
    <xf numFmtId="0" fontId="2" fillId="4" borderId="7" applyNumberFormat="0" applyFont="0" applyAlignment="0" applyProtection="0"/>
    <xf numFmtId="0" fontId="8" fillId="2" borderId="8" applyNumberFormat="0" applyAlignment="0" applyProtection="0"/>
    <xf numFmtId="0" fontId="42" fillId="0" borderId="0" applyNumberFormat="0" applyFill="0" applyBorder="0" applyAlignment="0" applyProtection="0"/>
    <xf numFmtId="164" fontId="134"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4" fillId="0" borderId="9" applyNumberFormat="0" applyFill="0" applyAlignment="0" applyProtection="0"/>
    <xf numFmtId="0" fontId="72"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868">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34" fillId="0" borderId="0" xfId="48" applyProtection="1"/>
    <xf numFmtId="164" fontId="15" fillId="0" borderId="0" xfId="48" applyFont="1" applyProtection="1"/>
    <xf numFmtId="0" fontId="18" fillId="0" borderId="0" xfId="48" applyNumberFormat="1" applyFont="1" applyBorder="1" applyProtection="1"/>
    <xf numFmtId="164" fontId="134" fillId="0" borderId="0" xfId="50" applyProtection="1"/>
    <xf numFmtId="164" fontId="134" fillId="0" borderId="0" xfId="50" applyFill="1" applyBorder="1" applyAlignment="1" applyProtection="1">
      <alignment horizontal="left"/>
    </xf>
    <xf numFmtId="0" fontId="0" fillId="0" borderId="0" xfId="0" applyFill="1" applyBorder="1" applyProtection="1"/>
    <xf numFmtId="164" fontId="134"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5" fillId="0" borderId="0" xfId="0" applyFont="1"/>
    <xf numFmtId="0" fontId="43"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34" fillId="0" borderId="0" xfId="59" applyFill="1" applyBorder="1" applyAlignment="1" applyProtection="1">
      <alignment vertical="center"/>
      <protection locked="0"/>
    </xf>
    <xf numFmtId="165" fontId="32" fillId="0" borderId="0" xfId="0" applyNumberFormat="1" applyFont="1" applyFill="1" applyBorder="1" applyAlignment="1">
      <alignment horizontal="center"/>
    </xf>
    <xf numFmtId="164" fontId="39"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4"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6" fillId="0" borderId="0" xfId="48" applyFont="1" applyProtection="1"/>
    <xf numFmtId="164" fontId="66" fillId="0" borderId="0" xfId="50" applyFont="1" applyProtection="1"/>
    <xf numFmtId="0" fontId="66" fillId="0" borderId="10" xfId="0" applyFont="1" applyFill="1" applyBorder="1" applyAlignment="1" applyProtection="1">
      <alignment horizontal="center"/>
    </xf>
    <xf numFmtId="0" fontId="66" fillId="0" borderId="10" xfId="0" applyFont="1" applyFill="1" applyBorder="1" applyProtection="1"/>
    <xf numFmtId="164" fontId="66" fillId="0" borderId="10" xfId="50" applyFont="1" applyBorder="1" applyProtection="1"/>
    <xf numFmtId="0" fontId="67" fillId="0" borderId="10" xfId="0" applyFont="1" applyBorder="1" applyAlignment="1" applyProtection="1">
      <alignment horizontal="left" indent="1"/>
    </xf>
    <xf numFmtId="0" fontId="68" fillId="0" borderId="10" xfId="0" applyFont="1" applyBorder="1"/>
    <xf numFmtId="0" fontId="69" fillId="19" borderId="10" xfId="0" applyFont="1" applyFill="1" applyBorder="1" applyAlignment="1" applyProtection="1">
      <alignment horizontal="center"/>
    </xf>
    <xf numFmtId="0" fontId="69"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33" fillId="0" borderId="0" xfId="0" applyFont="1" applyAlignment="1">
      <alignment horizontal="center"/>
    </xf>
    <xf numFmtId="164" fontId="59" fillId="0" borderId="0" xfId="47" applyFont="1" applyFill="1" applyAlignment="1">
      <alignment vertical="center"/>
    </xf>
    <xf numFmtId="0" fontId="14" fillId="0" borderId="0" xfId="0" applyFont="1"/>
    <xf numFmtId="0" fontId="45" fillId="0" borderId="0" xfId="0" applyFont="1" applyFill="1"/>
    <xf numFmtId="0" fontId="75" fillId="19" borderId="12" xfId="0" applyFont="1" applyFill="1" applyBorder="1" applyAlignment="1">
      <alignment vertical="center"/>
    </xf>
    <xf numFmtId="0" fontId="73" fillId="0" borderId="0" xfId="52" applyNumberFormat="1" applyFont="1" applyFill="1" applyBorder="1" applyAlignment="1">
      <alignment horizontal="center" vertical="center" wrapText="1"/>
    </xf>
    <xf numFmtId="0" fontId="73"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78" fillId="20" borderId="0" xfId="0" applyNumberFormat="1" applyFont="1" applyFill="1" applyBorder="1" applyAlignment="1">
      <alignment horizontal="center"/>
    </xf>
    <xf numFmtId="0" fontId="78" fillId="0" borderId="0" xfId="0" applyFont="1" applyFill="1" applyBorder="1" applyAlignment="1" applyProtection="1">
      <alignment horizontal="left"/>
    </xf>
    <xf numFmtId="0" fontId="79" fillId="0" borderId="0" xfId="0" applyFont="1"/>
    <xf numFmtId="164" fontId="39" fillId="0" borderId="0" xfId="59"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59" applyFont="1" applyBorder="1" applyAlignment="1" applyProtection="1"/>
    <xf numFmtId="164" fontId="134" fillId="0" borderId="14" xfId="59" applyFill="1" applyBorder="1" applyAlignment="1" applyProtection="1">
      <alignment vertical="center"/>
    </xf>
    <xf numFmtId="164" fontId="31" fillId="0" borderId="0" xfId="59" applyFont="1" applyBorder="1" applyAlignment="1" applyProtection="1"/>
    <xf numFmtId="164" fontId="134"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15" fontId="26" fillId="0" borderId="18" xfId="0" applyNumberFormat="1" applyFont="1" applyFill="1" applyBorder="1" applyAlignment="1" applyProtection="1"/>
    <xf numFmtId="164" fontId="38" fillId="0" borderId="19" xfId="59" applyFont="1" applyBorder="1" applyAlignment="1" applyProtection="1"/>
    <xf numFmtId="164" fontId="39" fillId="0" borderId="19" xfId="59" applyFont="1" applyFill="1" applyBorder="1" applyAlignment="1" applyProtection="1">
      <alignment vertical="center"/>
    </xf>
    <xf numFmtId="164" fontId="39" fillId="0" borderId="0" xfId="59" applyFont="1" applyFill="1" applyBorder="1" applyAlignment="1" applyProtection="1">
      <alignment vertical="center"/>
    </xf>
    <xf numFmtId="164" fontId="38" fillId="0" borderId="0" xfId="59" applyFont="1" applyBorder="1" applyAlignment="1" applyProtection="1"/>
    <xf numFmtId="164" fontId="40"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20" xfId="0" applyFont="1" applyBorder="1" applyAlignment="1" applyProtection="1">
      <alignment horizontal="center"/>
    </xf>
    <xf numFmtId="0" fontId="14" fillId="0" borderId="22" xfId="0" applyFont="1" applyBorder="1" applyAlignment="1" applyProtection="1">
      <alignment horizontal="center"/>
    </xf>
    <xf numFmtId="0" fontId="0" fillId="0" borderId="24" xfId="0" applyBorder="1" applyProtection="1"/>
    <xf numFmtId="0" fontId="0" fillId="0" borderId="22" xfId="0" applyBorder="1" applyAlignment="1" applyProtection="1">
      <alignment horizontal="center"/>
    </xf>
    <xf numFmtId="164" fontId="0" fillId="0" borderId="0" xfId="0" applyNumberFormat="1" applyFill="1" applyBorder="1" applyProtection="1"/>
    <xf numFmtId="164" fontId="65" fillId="0" borderId="25" xfId="59" applyFont="1" applyFill="1" applyBorder="1" applyAlignment="1" applyProtection="1"/>
    <xf numFmtId="164" fontId="39" fillId="0" borderId="25" xfId="59" applyFont="1" applyFill="1" applyBorder="1" applyAlignment="1" applyProtection="1">
      <alignment vertical="center"/>
    </xf>
    <xf numFmtId="164" fontId="28" fillId="0" borderId="0" xfId="0" applyNumberFormat="1" applyFont="1" applyAlignment="1" applyProtection="1">
      <alignment horizontal="right"/>
    </xf>
    <xf numFmtId="166" fontId="28" fillId="0" borderId="0" xfId="62"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10" xfId="0" applyFont="1" applyBorder="1" applyAlignment="1" applyProtection="1">
      <alignment horizontal="center" vertic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7"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9"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1"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8"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2"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6" xfId="0" applyNumberFormat="1" applyFont="1" applyFill="1" applyBorder="1" applyAlignment="1" applyProtection="1">
      <alignment horizontal="right"/>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60"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1" fillId="0" borderId="0" xfId="0" applyFont="1" applyFill="1" applyBorder="1" applyAlignment="1" applyProtection="1">
      <alignment horizontal="center" vertical="center"/>
    </xf>
    <xf numFmtId="9" fontId="63" fillId="0" borderId="0" xfId="0" applyNumberFormat="1" applyFont="1" applyFill="1" applyBorder="1" applyAlignment="1" applyProtection="1"/>
    <xf numFmtId="9" fontId="63" fillId="0" borderId="0" xfId="0" applyNumberFormat="1" applyFont="1" applyFill="1" applyBorder="1" applyAlignment="1" applyProtection="1">
      <alignment horizontal="center"/>
    </xf>
    <xf numFmtId="0" fontId="52" fillId="0" borderId="29" xfId="0" applyNumberFormat="1" applyFont="1" applyFill="1" applyBorder="1" applyAlignment="1" applyProtection="1">
      <alignment horizontal="right"/>
    </xf>
    <xf numFmtId="9" fontId="54" fillId="0" borderId="0" xfId="0" applyNumberFormat="1" applyFont="1" applyFill="1" applyBorder="1" applyProtection="1"/>
    <xf numFmtId="0" fontId="52" fillId="0" borderId="30" xfId="0" applyNumberFormat="1" applyFont="1" applyFill="1" applyBorder="1" applyAlignment="1" applyProtection="1">
      <alignment horizontal="right"/>
    </xf>
    <xf numFmtId="0" fontId="52" fillId="0" borderId="31" xfId="0" applyNumberFormat="1" applyFont="1" applyFill="1" applyBorder="1" applyAlignment="1" applyProtection="1">
      <alignment horizontal="right"/>
    </xf>
    <xf numFmtId="0" fontId="34" fillId="0" borderId="32" xfId="0" applyNumberFormat="1" applyFont="1" applyFill="1" applyBorder="1" applyAlignment="1" applyProtection="1">
      <alignment vertical="center"/>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66"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0" fontId="0" fillId="0" borderId="0" xfId="0" applyBorder="1" applyAlignment="1">
      <alignment horizontal="center"/>
    </xf>
    <xf numFmtId="0" fontId="15" fillId="20" borderId="0" xfId="0" applyFont="1" applyFill="1"/>
    <xf numFmtId="166" fontId="15" fillId="20" borderId="0" xfId="0" applyNumberFormat="1" applyFont="1" applyFill="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5" xfId="0" applyFont="1" applyFill="1" applyBorder="1" applyAlignment="1" applyProtection="1">
      <alignment horizontal="center" wrapText="1"/>
    </xf>
    <xf numFmtId="0" fontId="28" fillId="0" borderId="36" xfId="0" applyFont="1" applyFill="1" applyBorder="1" applyAlignment="1" applyProtection="1">
      <alignment horizontal="center" wrapText="1"/>
    </xf>
    <xf numFmtId="0" fontId="0" fillId="0" borderId="36" xfId="0" applyBorder="1" applyProtection="1"/>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0" fillId="0" borderId="0" xfId="0" applyFont="1"/>
    <xf numFmtId="164" fontId="14" fillId="0" borderId="0" xfId="0" applyNumberFormat="1" applyFont="1" applyAlignment="1" applyProtection="1">
      <alignment horizontal="center"/>
    </xf>
    <xf numFmtId="164" fontId="20" fillId="0" borderId="37" xfId="56" applyFont="1" applyBorder="1" applyAlignment="1" applyProtection="1">
      <alignment horizontal="right"/>
    </xf>
    <xf numFmtId="0" fontId="12" fillId="0" borderId="0" xfId="0" applyFont="1"/>
    <xf numFmtId="164" fontId="86" fillId="0" borderId="0" xfId="0" applyNumberFormat="1" applyFont="1"/>
    <xf numFmtId="0" fontId="86" fillId="0" borderId="0" xfId="0" applyFont="1"/>
    <xf numFmtId="164" fontId="0" fillId="0" borderId="0" xfId="0" quotePrefix="1" applyNumberFormat="1"/>
    <xf numFmtId="164" fontId="0" fillId="0" borderId="0" xfId="0" applyNumberFormat="1"/>
    <xf numFmtId="0" fontId="34" fillId="0" borderId="38" xfId="0" applyNumberFormat="1" applyFont="1" applyFill="1" applyBorder="1" applyAlignment="1" applyProtection="1">
      <alignment vertical="center"/>
    </xf>
    <xf numFmtId="164" fontId="134" fillId="0" borderId="0" xfId="51" applyFill="1" applyBorder="1" applyAlignment="1" applyProtection="1">
      <alignment horizontal="center"/>
    </xf>
    <xf numFmtId="0" fontId="34" fillId="0" borderId="0" xfId="0" quotePrefix="1" applyFont="1" applyProtection="1"/>
    <xf numFmtId="0" fontId="61" fillId="0" borderId="39" xfId="0" applyFont="1" applyBorder="1" applyAlignment="1">
      <alignment horizontal="justify" vertical="center" wrapText="1"/>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0" fontId="85" fillId="0" borderId="40" xfId="0" applyFont="1" applyBorder="1" applyAlignment="1">
      <alignment horizontal="justify" vertical="center" wrapText="1"/>
    </xf>
    <xf numFmtId="164" fontId="88" fillId="0" borderId="25" xfId="59" applyFont="1" applyFill="1" applyBorder="1" applyAlignment="1" applyProtection="1"/>
    <xf numFmtId="164" fontId="9" fillId="0" borderId="25" xfId="59" applyFont="1" applyFill="1" applyBorder="1" applyAlignment="1" applyProtection="1">
      <alignment vertical="center"/>
    </xf>
    <xf numFmtId="0" fontId="84" fillId="0" borderId="39" xfId="0" applyFont="1" applyBorder="1" applyAlignment="1">
      <alignment vertical="center" wrapText="1"/>
    </xf>
    <xf numFmtId="0" fontId="84" fillId="0" borderId="40" xfId="0" applyFont="1" applyBorder="1" applyAlignment="1">
      <alignment vertical="center" wrapText="1"/>
    </xf>
    <xf numFmtId="0" fontId="1" fillId="0" borderId="0" xfId="0" applyFont="1"/>
    <xf numFmtId="0" fontId="90" fillId="0" borderId="0" xfId="0" applyFont="1"/>
    <xf numFmtId="164" fontId="92" fillId="0" borderId="25" xfId="59" applyFont="1" applyFill="1" applyBorder="1" applyAlignment="1" applyProtection="1">
      <alignment vertical="center"/>
    </xf>
    <xf numFmtId="0" fontId="91" fillId="0" borderId="0" xfId="0" applyFont="1" applyFill="1"/>
    <xf numFmtId="15" fontId="36" fillId="0" borderId="0" xfId="0" applyNumberFormat="1" applyFont="1" applyAlignment="1" applyProtection="1">
      <alignment horizontal="center"/>
    </xf>
    <xf numFmtId="1" fontId="21" fillId="22" borderId="10" xfId="0" applyNumberFormat="1" applyFont="1" applyFill="1" applyBorder="1" applyAlignment="1" applyProtection="1">
      <alignment horizontal="center"/>
      <protection locked="0"/>
    </xf>
    <xf numFmtId="1" fontId="21" fillId="22" borderId="43" xfId="0" applyNumberFormat="1" applyFont="1" applyFill="1" applyBorder="1" applyAlignment="1" applyProtection="1">
      <alignment horizontal="center"/>
      <protection locked="0"/>
    </xf>
    <xf numFmtId="164" fontId="20" fillId="0" borderId="0" xfId="49" applyFont="1" applyFill="1" applyAlignment="1" applyProtection="1">
      <alignment horizontal="right" vertical="center"/>
    </xf>
    <xf numFmtId="0" fontId="97" fillId="0" borderId="0" xfId="0" applyFont="1" applyFill="1" applyBorder="1" applyAlignment="1" applyProtection="1">
      <alignment horizontal="right"/>
    </xf>
    <xf numFmtId="0" fontId="99" fillId="0" borderId="0" xfId="0" applyFont="1" applyFill="1" applyBorder="1" applyProtection="1"/>
    <xf numFmtId="0" fontId="97" fillId="0" borderId="0" xfId="0" applyFont="1" applyBorder="1" applyProtection="1"/>
    <xf numFmtId="3" fontId="6" fillId="0" borderId="0" xfId="0" applyNumberFormat="1" applyFont="1" applyAlignment="1" applyProtection="1">
      <alignment horizontal="right"/>
    </xf>
    <xf numFmtId="0" fontId="102" fillId="0" borderId="0" xfId="0" applyFont="1" applyFill="1" applyBorder="1" applyAlignment="1" applyProtection="1">
      <alignment horizontal="center" wrapText="1"/>
    </xf>
    <xf numFmtId="0" fontId="97" fillId="0" borderId="0" xfId="0" applyFont="1" applyFill="1" applyBorder="1" applyAlignment="1" applyProtection="1">
      <alignment horizontal="center"/>
    </xf>
    <xf numFmtId="0" fontId="0" fillId="0" borderId="0" xfId="0" quotePrefix="1" applyProtection="1"/>
    <xf numFmtId="15" fontId="32" fillId="0" borderId="44"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164" fontId="107" fillId="0" borderId="0" xfId="38" applyFont="1" applyFill="1" applyAlignment="1" applyProtection="1">
      <alignment vertical="center"/>
    </xf>
    <xf numFmtId="0" fontId="108" fillId="0" borderId="0" xfId="0" applyFont="1" applyProtection="1"/>
    <xf numFmtId="0" fontId="108"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25" fillId="0" borderId="47" xfId="0" applyFont="1" applyBorder="1" applyAlignment="1" applyProtection="1">
      <alignment vertical="distributed"/>
    </xf>
    <xf numFmtId="15" fontId="27" fillId="0" borderId="4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3" fillId="0" borderId="0" xfId="0" applyFont="1" applyFill="1" applyBorder="1" applyAlignment="1" applyProtection="1">
      <alignment horizontal="left"/>
      <protection locked="0"/>
    </xf>
    <xf numFmtId="0" fontId="32" fillId="23" borderId="49" xfId="0" applyFont="1" applyFill="1" applyBorder="1" applyAlignment="1" applyProtection="1">
      <alignment horizontal="centerContinuous"/>
    </xf>
    <xf numFmtId="15" fontId="104" fillId="0" borderId="36" xfId="0" applyNumberFormat="1" applyFont="1" applyFill="1" applyBorder="1" applyAlignment="1" applyProtection="1">
      <alignment horizontal="center" wrapText="1"/>
    </xf>
    <xf numFmtId="15" fontId="104" fillId="0" borderId="50" xfId="0" applyNumberFormat="1" applyFont="1" applyFill="1" applyBorder="1" applyAlignment="1" applyProtection="1">
      <alignment horizontal="center" wrapText="1"/>
    </xf>
    <xf numFmtId="0" fontId="37" fillId="0" borderId="51" xfId="0" applyFont="1" applyFill="1" applyBorder="1" applyAlignment="1" applyProtection="1">
      <alignment horizontal="center"/>
    </xf>
    <xf numFmtId="0" fontId="37" fillId="0" borderId="52" xfId="0" applyFont="1" applyFill="1" applyBorder="1" applyAlignment="1" applyProtection="1">
      <alignment horizontal="center"/>
    </xf>
    <xf numFmtId="0" fontId="32" fillId="23" borderId="53"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0" fontId="101"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1" xfId="0" applyNumberFormat="1" applyFill="1" applyBorder="1" applyAlignment="1" applyProtection="1">
      <alignment horizontal="center"/>
    </xf>
    <xf numFmtId="1" fontId="0" fillId="22" borderId="43" xfId="0" applyNumberFormat="1" applyFill="1" applyBorder="1" applyAlignment="1" applyProtection="1">
      <alignment horizontal="center"/>
      <protection locked="0"/>
    </xf>
    <xf numFmtId="0" fontId="0" fillId="0" borderId="54" xfId="0" applyBorder="1" applyAlignment="1" applyProtection="1">
      <alignment horizontal="center"/>
    </xf>
    <xf numFmtId="0" fontId="0" fillId="0" borderId="36" xfId="0" applyFill="1" applyBorder="1" applyAlignment="1" applyProtection="1">
      <alignment horizontal="center"/>
    </xf>
    <xf numFmtId="0" fontId="1" fillId="0" borderId="35" xfId="0" applyFont="1" applyFill="1" applyBorder="1" applyAlignment="1" applyProtection="1">
      <alignment horizontal="center" wrapText="1"/>
    </xf>
    <xf numFmtId="0" fontId="0" fillId="0" borderId="35" xfId="0" applyBorder="1" applyAlignment="1">
      <alignment horizontal="center" wrapText="1"/>
    </xf>
    <xf numFmtId="0" fontId="28" fillId="0" borderId="35" xfId="0" applyFont="1" applyBorder="1" applyAlignment="1">
      <alignment horizontal="center" wrapText="1"/>
    </xf>
    <xf numFmtId="0" fontId="73" fillId="0" borderId="55" xfId="0" applyFont="1" applyFill="1" applyBorder="1" applyAlignment="1" applyProtection="1">
      <alignment horizontal="center" vertical="center"/>
    </xf>
    <xf numFmtId="0" fontId="24" fillId="0" borderId="0" xfId="0" applyFont="1" applyProtection="1"/>
    <xf numFmtId="164" fontId="104" fillId="0" borderId="0" xfId="0" applyNumberFormat="1" applyFont="1" applyBorder="1" applyAlignment="1" applyProtection="1">
      <alignment vertical="center" wrapText="1"/>
    </xf>
    <xf numFmtId="0" fontId="104" fillId="0" borderId="0" xfId="0" applyFont="1" applyFill="1" applyBorder="1" applyAlignment="1" applyProtection="1">
      <alignment wrapText="1"/>
    </xf>
    <xf numFmtId="164" fontId="20" fillId="0" borderId="37" xfId="56" applyFont="1" applyFill="1" applyBorder="1" applyAlignment="1" applyProtection="1">
      <alignment horizontal="right"/>
    </xf>
    <xf numFmtId="0" fontId="28" fillId="0" borderId="56" xfId="0" applyFont="1" applyFill="1" applyBorder="1" applyAlignment="1" applyProtection="1">
      <alignment wrapText="1"/>
    </xf>
    <xf numFmtId="0" fontId="34" fillId="0" borderId="57" xfId="0" applyFont="1" applyFill="1" applyBorder="1" applyAlignment="1" applyProtection="1">
      <alignment horizontal="center" wrapText="1"/>
    </xf>
    <xf numFmtId="0" fontId="21" fillId="20" borderId="39" xfId="0" applyFont="1" applyFill="1" applyBorder="1" applyAlignment="1" applyProtection="1"/>
    <xf numFmtId="0" fontId="21" fillId="20" borderId="58" xfId="0" applyFont="1" applyFill="1" applyBorder="1" applyAlignment="1" applyProtection="1"/>
    <xf numFmtId="0" fontId="28" fillId="0" borderId="0" xfId="0" applyFont="1" applyFill="1" applyBorder="1" applyAlignment="1" applyProtection="1">
      <alignment wrapText="1"/>
    </xf>
    <xf numFmtId="9" fontId="106" fillId="24" borderId="10" xfId="61"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5" xfId="0" applyBorder="1" applyProtection="1"/>
    <xf numFmtId="0" fontId="0" fillId="0" borderId="25" xfId="0" applyBorder="1"/>
    <xf numFmtId="9" fontId="15" fillId="0" borderId="0" xfId="61" applyFont="1" applyProtection="1"/>
    <xf numFmtId="14" fontId="24" fillId="22" borderId="37" xfId="56" applyNumberFormat="1" applyFont="1" applyFill="1" applyBorder="1" applyAlignment="1" applyProtection="1">
      <alignment horizontal="center" vertical="center"/>
    </xf>
    <xf numFmtId="164" fontId="24" fillId="22" borderId="37" xfId="56" applyFont="1" applyFill="1" applyBorder="1" applyAlignment="1" applyProtection="1">
      <alignment horizontal="center" vertical="center"/>
    </xf>
    <xf numFmtId="15" fontId="24" fillId="22" borderId="37" xfId="56" applyNumberFormat="1" applyFont="1" applyFill="1" applyBorder="1" applyAlignment="1" applyProtection="1">
      <alignment horizontal="center" vertical="center"/>
    </xf>
    <xf numFmtId="171" fontId="24" fillId="22" borderId="37" xfId="56" applyNumberFormat="1" applyFont="1" applyFill="1" applyBorder="1" applyAlignment="1" applyProtection="1">
      <alignment horizontal="center"/>
    </xf>
    <xf numFmtId="3" fontId="24" fillId="22" borderId="37" xfId="56" applyNumberFormat="1" applyFont="1" applyFill="1" applyBorder="1" applyAlignment="1" applyProtection="1">
      <alignment horizontal="center"/>
    </xf>
    <xf numFmtId="164" fontId="24" fillId="22"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164" fontId="86" fillId="0" borderId="0" xfId="0" applyNumberFormat="1" applyFont="1" applyAlignment="1"/>
    <xf numFmtId="0" fontId="34" fillId="0" borderId="35" xfId="0" applyFont="1" applyFill="1" applyBorder="1" applyAlignment="1" applyProtection="1">
      <alignment horizontal="center" wrapText="1"/>
    </xf>
    <xf numFmtId="0" fontId="30" fillId="25" borderId="0" xfId="0" applyFont="1" applyFill="1" applyBorder="1" applyAlignment="1" applyProtection="1">
      <alignment horizontal="left"/>
      <protection locked="0"/>
    </xf>
    <xf numFmtId="0" fontId="34" fillId="25" borderId="0" xfId="0" applyFont="1" applyFill="1" applyBorder="1" applyAlignment="1" applyProtection="1">
      <alignment horizontal="left"/>
      <protection locked="0"/>
    </xf>
    <xf numFmtId="0" fontId="34" fillId="25" borderId="0" xfId="0" applyFont="1" applyFill="1" applyAlignment="1" applyProtection="1">
      <alignment horizontal="left"/>
      <protection locked="0"/>
    </xf>
    <xf numFmtId="49" fontId="0" fillId="0" borderId="0" xfId="0" applyNumberFormat="1" applyProtection="1"/>
    <xf numFmtId="0" fontId="0" fillId="22" borderId="43" xfId="0" applyNumberFormat="1" applyFill="1" applyBorder="1" applyAlignment="1" applyProtection="1">
      <alignment horizontal="center"/>
      <protection locked="0"/>
    </xf>
    <xf numFmtId="0" fontId="0" fillId="0" borderId="23" xfId="0" applyNumberFormat="1" applyFill="1" applyBorder="1" applyAlignment="1" applyProtection="1">
      <alignment horizontal="center"/>
    </xf>
    <xf numFmtId="3" fontId="0" fillId="22"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2" borderId="10" xfId="0" applyNumberFormat="1" applyFill="1" applyBorder="1" applyProtection="1">
      <protection locked="0"/>
    </xf>
    <xf numFmtId="3" fontId="0" fillId="22" borderId="59" xfId="0" applyNumberFormat="1" applyFill="1" applyBorder="1" applyProtection="1">
      <protection locked="0"/>
    </xf>
    <xf numFmtId="1" fontId="0" fillId="23" borderId="10" xfId="0" applyNumberFormat="1" applyFill="1" applyBorder="1" applyAlignment="1" applyProtection="1">
      <alignment horizontal="center"/>
      <protection locked="0"/>
    </xf>
    <xf numFmtId="1" fontId="0" fillId="23" borderId="60" xfId="0" applyNumberFormat="1" applyFill="1" applyBorder="1" applyAlignment="1" applyProtection="1">
      <alignment horizontal="center"/>
      <protection locked="0"/>
    </xf>
    <xf numFmtId="165" fontId="32" fillId="19" borderId="61" xfId="0" applyNumberFormat="1" applyFont="1" applyFill="1" applyBorder="1" applyAlignment="1" applyProtection="1">
      <alignment horizontal="center"/>
      <protection locked="0"/>
    </xf>
    <xf numFmtId="165" fontId="32" fillId="19" borderId="62" xfId="0" applyNumberFormat="1" applyFont="1" applyFill="1" applyBorder="1" applyAlignment="1" applyProtection="1">
      <alignment horizontal="center"/>
      <protection locked="0"/>
    </xf>
    <xf numFmtId="165" fontId="32" fillId="19" borderId="63" xfId="0" applyNumberFormat="1" applyFont="1" applyFill="1" applyBorder="1" applyAlignment="1" applyProtection="1">
      <alignment horizontal="center"/>
      <protection locked="0"/>
    </xf>
    <xf numFmtId="165" fontId="32" fillId="19" borderId="64" xfId="0" applyNumberFormat="1" applyFont="1" applyFill="1" applyBorder="1" applyAlignment="1" applyProtection="1">
      <alignment horizontal="center"/>
      <protection locked="0"/>
    </xf>
    <xf numFmtId="0" fontId="0" fillId="0" borderId="65" xfId="0" applyFill="1" applyBorder="1" applyAlignment="1" applyProtection="1">
      <alignment horizontal="center"/>
    </xf>
    <xf numFmtId="0" fontId="0" fillId="0" borderId="0" xfId="0" applyBorder="1" applyAlignment="1">
      <alignment horizontal="left" wrapText="1"/>
    </xf>
    <xf numFmtId="0" fontId="0" fillId="0" borderId="0" xfId="0" applyBorder="1" applyAlignment="1">
      <alignment horizontal="left"/>
    </xf>
    <xf numFmtId="164" fontId="1" fillId="0" borderId="37" xfId="56" applyFont="1" applyBorder="1" applyAlignment="1" applyProtection="1">
      <alignment horizontal="right"/>
    </xf>
    <xf numFmtId="164" fontId="117" fillId="0" borderId="0" xfId="50" applyFont="1" applyFill="1" applyBorder="1" applyProtection="1"/>
    <xf numFmtId="3" fontId="28" fillId="23" borderId="66"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0" xfId="0" applyNumberFormat="1" applyFont="1" applyFill="1" applyBorder="1" applyAlignment="1" applyProtection="1"/>
    <xf numFmtId="3" fontId="21" fillId="23" borderId="10" xfId="62" applyNumberFormat="1" applyFont="1" applyFill="1" applyBorder="1" applyAlignment="1" applyProtection="1">
      <protection locked="0"/>
    </xf>
    <xf numFmtId="3" fontId="21" fillId="23" borderId="10" xfId="62" applyNumberFormat="1" applyFont="1" applyFill="1" applyBorder="1" applyProtection="1">
      <protection locked="0"/>
    </xf>
    <xf numFmtId="3" fontId="6" fillId="0" borderId="68" xfId="62" applyNumberFormat="1" applyFont="1" applyFill="1" applyBorder="1" applyAlignment="1" applyProtection="1"/>
    <xf numFmtId="3" fontId="21" fillId="23" borderId="69" xfId="62" applyNumberFormat="1" applyFont="1" applyFill="1" applyBorder="1" applyAlignment="1" applyProtection="1">
      <protection locked="0"/>
    </xf>
    <xf numFmtId="3" fontId="6" fillId="0" borderId="70" xfId="62" applyNumberFormat="1" applyFont="1" applyFill="1" applyBorder="1" applyAlignment="1" applyProtection="1"/>
    <xf numFmtId="165" fontId="14" fillId="19" borderId="71" xfId="0" applyNumberFormat="1" applyFont="1" applyFill="1" applyBorder="1" applyAlignment="1" applyProtection="1">
      <alignment horizontal="center"/>
      <protection locked="0"/>
    </xf>
    <xf numFmtId="0" fontId="0" fillId="23" borderId="10" xfId="0" applyFill="1" applyBorder="1" applyProtection="1"/>
    <xf numFmtId="0" fontId="0" fillId="22" borderId="10" xfId="0" applyFill="1" applyBorder="1" applyProtection="1"/>
    <xf numFmtId="3" fontId="1" fillId="23" borderId="72" xfId="62" applyNumberFormat="1" applyFont="1" applyFill="1" applyBorder="1" applyAlignment="1" applyProtection="1">
      <protection locked="0"/>
    </xf>
    <xf numFmtId="3" fontId="1" fillId="23" borderId="72" xfId="62" applyNumberFormat="1" applyFont="1" applyFill="1" applyBorder="1" applyProtection="1">
      <protection locked="0"/>
    </xf>
    <xf numFmtId="49" fontId="25" fillId="0" borderId="73" xfId="0" applyNumberFormat="1" applyFont="1" applyFill="1" applyBorder="1" applyAlignment="1" applyProtection="1">
      <alignment vertical="center" wrapText="1"/>
    </xf>
    <xf numFmtId="0" fontId="87" fillId="0" borderId="74" xfId="0" applyNumberFormat="1" applyFont="1" applyFill="1" applyBorder="1" applyAlignment="1" applyProtection="1">
      <alignment horizontal="center" vertical="center" wrapText="1"/>
    </xf>
    <xf numFmtId="0" fontId="87" fillId="0" borderId="75" xfId="0" applyNumberFormat="1" applyFont="1" applyFill="1" applyBorder="1" applyAlignment="1" applyProtection="1">
      <alignment horizontal="center" vertical="center" wrapText="1"/>
    </xf>
    <xf numFmtId="3" fontId="1" fillId="23" borderId="76" xfId="62" applyNumberFormat="1" applyFont="1" applyFill="1" applyBorder="1" applyProtection="1">
      <protection locked="0"/>
    </xf>
    <xf numFmtId="0" fontId="0" fillId="0" borderId="77" xfId="0" applyBorder="1" applyAlignment="1" applyProtection="1"/>
    <xf numFmtId="3" fontId="0" fillId="0" borderId="78" xfId="0" applyNumberFormat="1" applyBorder="1" applyProtection="1"/>
    <xf numFmtId="3" fontId="0" fillId="0" borderId="79" xfId="0" applyNumberFormat="1" applyBorder="1" applyProtection="1"/>
    <xf numFmtId="49" fontId="0" fillId="0" borderId="10" xfId="0" applyNumberFormat="1" applyBorder="1" applyAlignment="1" applyProtection="1">
      <alignment horizontal="center"/>
      <protection locked="0"/>
    </xf>
    <xf numFmtId="49" fontId="0" fillId="22" borderId="10" xfId="0" applyNumberFormat="1" applyFill="1" applyBorder="1" applyProtection="1">
      <protection locked="0"/>
    </xf>
    <xf numFmtId="0" fontId="0" fillId="22" borderId="10" xfId="0" applyNumberFormat="1" applyFill="1" applyBorder="1" applyProtection="1">
      <protection locked="0"/>
    </xf>
    <xf numFmtId="0" fontId="0" fillId="0" borderId="10" xfId="0" applyNumberFormat="1" applyFill="1" applyBorder="1" applyProtection="1"/>
    <xf numFmtId="49" fontId="0" fillId="22" borderId="59" xfId="0" applyNumberFormat="1" applyFill="1" applyBorder="1" applyAlignment="1" applyProtection="1">
      <alignment horizontal="left"/>
      <protection locked="0"/>
    </xf>
    <xf numFmtId="0" fontId="0" fillId="22" borderId="59" xfId="0" applyNumberFormat="1" applyFill="1" applyBorder="1" applyProtection="1">
      <protection locked="0"/>
    </xf>
    <xf numFmtId="164" fontId="134" fillId="23" borderId="80" xfId="59" applyFill="1" applyBorder="1" applyAlignment="1" applyProtection="1">
      <alignment vertical="center"/>
    </xf>
    <xf numFmtId="0" fontId="0" fillId="0" borderId="19" xfId="0" applyBorder="1" applyProtection="1"/>
    <xf numFmtId="164" fontId="39" fillId="22" borderId="81" xfId="59" applyFont="1" applyFill="1" applyBorder="1" applyAlignment="1" applyProtection="1">
      <alignment horizontal="center" vertical="center"/>
    </xf>
    <xf numFmtId="164" fontId="39" fillId="0" borderId="82" xfId="59" applyFont="1" applyFill="1" applyBorder="1" applyAlignment="1" applyProtection="1">
      <alignment vertical="center"/>
    </xf>
    <xf numFmtId="0" fontId="0" fillId="0" borderId="83" xfId="0" applyNumberFormat="1" applyFill="1" applyBorder="1"/>
    <xf numFmtId="15" fontId="27" fillId="0" borderId="84"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4" fillId="0" borderId="10"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15" fillId="26" borderId="85" xfId="0" applyNumberFormat="1" applyFont="1" applyFill="1" applyBorder="1" applyAlignment="1" applyProtection="1">
      <alignment horizontal="center"/>
    </xf>
    <xf numFmtId="168" fontId="21" fillId="26" borderId="85" xfId="0" applyNumberFormat="1" applyFont="1" applyFill="1" applyBorder="1" applyAlignment="1" applyProtection="1">
      <alignment horizontal="center"/>
    </xf>
    <xf numFmtId="49" fontId="80" fillId="0" borderId="10" xfId="0" applyNumberFormat="1" applyFont="1" applyBorder="1" applyAlignment="1" applyProtection="1">
      <alignment horizontal="center"/>
      <protection locked="0"/>
    </xf>
    <xf numFmtId="164" fontId="66" fillId="0" borderId="10" xfId="50" applyFont="1" applyBorder="1" applyAlignment="1" applyProtection="1">
      <alignment horizontal="center"/>
    </xf>
    <xf numFmtId="0" fontId="66" fillId="0" borderId="10" xfId="0" applyFont="1" applyBorder="1" applyAlignment="1" applyProtection="1">
      <alignment horizontal="center"/>
    </xf>
    <xf numFmtId="0" fontId="73" fillId="0" borderId="86" xfId="0" applyFont="1" applyFill="1" applyBorder="1" applyAlignment="1" applyProtection="1">
      <alignment horizontal="center" vertical="center" wrapText="1"/>
    </xf>
    <xf numFmtId="0" fontId="73" fillId="0" borderId="87" xfId="0" applyFont="1" applyFill="1" applyBorder="1" applyAlignment="1" applyProtection="1">
      <alignment horizontal="center"/>
    </xf>
    <xf numFmtId="0" fontId="73" fillId="0" borderId="88" xfId="0" applyFont="1" applyFill="1" applyBorder="1" applyAlignment="1" applyProtection="1">
      <alignment horizontal="center"/>
    </xf>
    <xf numFmtId="0" fontId="73" fillId="0" borderId="89"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vertical="center"/>
    </xf>
    <xf numFmtId="0" fontId="73" fillId="0" borderId="91" xfId="0" applyNumberFormat="1" applyFont="1" applyFill="1" applyBorder="1" applyAlignment="1" applyProtection="1">
      <alignment horizontal="center" vertical="center"/>
    </xf>
    <xf numFmtId="0" fontId="77" fillId="0" borderId="92" xfId="0" applyNumberFormat="1" applyFont="1" applyFill="1" applyBorder="1" applyAlignment="1" applyProtection="1">
      <alignment horizontal="center" vertical="center"/>
    </xf>
    <xf numFmtId="0" fontId="77" fillId="0" borderId="93" xfId="0" applyNumberFormat="1" applyFont="1" applyFill="1" applyBorder="1" applyAlignment="1" applyProtection="1">
      <alignment horizontal="center" vertical="center"/>
    </xf>
    <xf numFmtId="0" fontId="77" fillId="0" borderId="94" xfId="0" applyNumberFormat="1" applyFont="1" applyFill="1" applyBorder="1" applyAlignment="1" applyProtection="1">
      <alignment horizontal="center" vertical="center"/>
    </xf>
    <xf numFmtId="168" fontId="0" fillId="20" borderId="10" xfId="0" applyNumberFormat="1" applyFill="1" applyBorder="1" applyAlignment="1" applyProtection="1">
      <alignment horizontal="center"/>
    </xf>
    <xf numFmtId="168" fontId="0" fillId="0" borderId="10" xfId="0" applyNumberFormat="1" applyBorder="1" applyAlignment="1" applyProtection="1">
      <alignment horizontal="center"/>
    </xf>
    <xf numFmtId="168" fontId="0" fillId="20" borderId="59" xfId="0" applyNumberFormat="1" applyFill="1" applyBorder="1" applyAlignment="1" applyProtection="1">
      <alignment horizontal="center"/>
    </xf>
    <xf numFmtId="168" fontId="0" fillId="0" borderId="59" xfId="0" applyNumberFormat="1" applyBorder="1" applyAlignment="1" applyProtection="1">
      <alignment horizontal="center"/>
    </xf>
    <xf numFmtId="3" fontId="64" fillId="27" borderId="10" xfId="0" applyNumberFormat="1" applyFont="1" applyFill="1" applyBorder="1" applyAlignment="1" applyProtection="1">
      <alignment vertical="center"/>
    </xf>
    <xf numFmtId="0" fontId="0" fillId="0" borderId="95" xfId="0" applyBorder="1"/>
    <xf numFmtId="0" fontId="0" fillId="0" borderId="59" xfId="0" applyNumberFormat="1" applyFill="1" applyBorder="1" applyProtection="1"/>
    <xf numFmtId="168" fontId="0" fillId="0" borderId="59" xfId="0" applyNumberFormat="1" applyFill="1" applyBorder="1" applyAlignment="1" applyProtection="1">
      <alignment horizontal="center"/>
    </xf>
    <xf numFmtId="0" fontId="0" fillId="0" borderId="52" xfId="0" applyBorder="1" applyAlignment="1" applyProtection="1">
      <alignment horizontal="center" wrapText="1"/>
    </xf>
    <xf numFmtId="3" fontId="1" fillId="0" borderId="59" xfId="62" applyNumberFormat="1" applyFont="1" applyFill="1" applyBorder="1" applyAlignment="1" applyProtection="1">
      <alignment horizontal="right"/>
    </xf>
    <xf numFmtId="3" fontId="0" fillId="0" borderId="59" xfId="0" applyNumberFormat="1" applyBorder="1" applyAlignment="1" applyProtection="1">
      <alignment horizontal="right" wrapText="1"/>
    </xf>
    <xf numFmtId="0" fontId="0" fillId="20" borderId="23" xfId="0" applyNumberFormat="1" applyFill="1" applyBorder="1" applyAlignment="1" applyProtection="1">
      <alignment horizontal="center"/>
      <protection locked="0"/>
    </xf>
    <xf numFmtId="3" fontId="0" fillId="22"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3" fontId="0" fillId="0" borderId="53" xfId="0" applyNumberFormat="1" applyBorder="1" applyAlignment="1" applyProtection="1">
      <alignment horizontal="right" wrapText="1"/>
    </xf>
    <xf numFmtId="0" fontId="34" fillId="25" borderId="0" xfId="0" applyFont="1" applyFill="1" applyBorder="1" applyAlignment="1" applyProtection="1">
      <alignment horizontal="left" vertical="top" wrapText="1"/>
      <protection locked="0"/>
    </xf>
    <xf numFmtId="3" fontId="28" fillId="0" borderId="10" xfId="0" quotePrefix="1" applyNumberFormat="1" applyFont="1" applyBorder="1" applyAlignment="1" applyProtection="1">
      <alignment horizontal="center" vertical="center" wrapText="1"/>
    </xf>
    <xf numFmtId="3" fontId="28" fillId="0" borderId="10" xfId="0" applyNumberFormat="1" applyFont="1" applyBorder="1" applyAlignment="1" applyProtection="1">
      <alignment horizontal="center" vertical="center" wrapText="1"/>
    </xf>
    <xf numFmtId="0" fontId="73" fillId="0" borderId="96" xfId="0" applyFont="1" applyFill="1" applyBorder="1" applyAlignment="1" applyProtection="1">
      <alignment horizontal="center" vertical="center" wrapText="1"/>
    </xf>
    <xf numFmtId="164" fontId="134" fillId="23" borderId="0" xfId="59" applyFill="1" applyBorder="1" applyAlignment="1" applyProtection="1">
      <alignment vertical="center"/>
    </xf>
    <xf numFmtId="0" fontId="108" fillId="0" borderId="97" xfId="0" applyFont="1" applyBorder="1" applyAlignment="1" applyProtection="1"/>
    <xf numFmtId="0" fontId="108" fillId="0" borderId="98" xfId="0" applyFont="1" applyBorder="1" applyAlignment="1" applyProtection="1"/>
    <xf numFmtId="0" fontId="26" fillId="0" borderId="18" xfId="0" applyFont="1" applyFill="1" applyBorder="1" applyAlignment="1" applyProtection="1">
      <alignment wrapText="1"/>
    </xf>
    <xf numFmtId="0" fontId="26" fillId="0" borderId="51" xfId="0" applyFont="1" applyFill="1" applyBorder="1" applyAlignment="1" applyProtection="1">
      <alignment wrapText="1"/>
    </xf>
    <xf numFmtId="0" fontId="26" fillId="0" borderId="99" xfId="0" applyFont="1" applyFill="1" applyBorder="1" applyAlignment="1" applyProtection="1">
      <alignment wrapText="1"/>
    </xf>
    <xf numFmtId="15" fontId="26" fillId="0" borderId="10" xfId="0" applyNumberFormat="1" applyFont="1" applyFill="1" applyBorder="1" applyAlignment="1" applyProtection="1">
      <alignment horizontal="center" wrapText="1"/>
    </xf>
    <xf numFmtId="164" fontId="132" fillId="0" borderId="19" xfId="59" applyFont="1" applyFill="1" applyBorder="1" applyAlignment="1" applyProtection="1">
      <alignment vertical="center"/>
    </xf>
    <xf numFmtId="9" fontId="64" fillId="29" borderId="10" xfId="0" applyNumberFormat="1" applyFont="1" applyFill="1" applyBorder="1" applyAlignment="1" applyProtection="1">
      <alignment horizontal="right" vertical="center"/>
      <protection locked="0"/>
    </xf>
    <xf numFmtId="3" fontId="64" fillId="25" borderId="10" xfId="0" applyNumberFormat="1" applyFont="1" applyFill="1" applyBorder="1" applyAlignment="1" applyProtection="1">
      <alignment vertical="center"/>
      <protection locked="0"/>
    </xf>
    <xf numFmtId="3" fontId="64" fillId="28" borderId="10" xfId="0" applyNumberFormat="1" applyFont="1" applyFill="1" applyBorder="1" applyAlignment="1" applyProtection="1">
      <alignment vertical="center"/>
      <protection locked="0"/>
    </xf>
    <xf numFmtId="3" fontId="64" fillId="29" borderId="10" xfId="0" applyNumberFormat="1" applyFont="1" applyFill="1" applyBorder="1" applyAlignment="1" applyProtection="1">
      <alignment horizontal="right" vertical="center"/>
      <protection locked="0"/>
    </xf>
    <xf numFmtId="3" fontId="64" fillId="29" borderId="10" xfId="0" applyNumberFormat="1" applyFont="1" applyFill="1" applyBorder="1" applyAlignment="1" applyProtection="1">
      <alignment vertical="center"/>
      <protection locked="0"/>
    </xf>
    <xf numFmtId="49" fontId="26" fillId="0" borderId="100" xfId="0" applyNumberFormat="1" applyFont="1" applyFill="1" applyBorder="1" applyAlignment="1" applyProtection="1">
      <alignment vertical="center" wrapText="1"/>
      <protection locked="0"/>
    </xf>
    <xf numFmtId="1" fontId="21" fillId="23" borderId="101" xfId="0" applyNumberFormat="1" applyFont="1" applyFill="1" applyBorder="1" applyAlignment="1" applyProtection="1">
      <alignment horizontal="center"/>
      <protection locked="0"/>
    </xf>
    <xf numFmtId="1" fontId="21" fillId="23" borderId="102" xfId="0" applyNumberFormat="1" applyFont="1" applyFill="1" applyBorder="1" applyAlignment="1" applyProtection="1">
      <alignment horizontal="center"/>
      <protection locked="0"/>
    </xf>
    <xf numFmtId="0" fontId="73" fillId="0" borderId="103" xfId="0" applyFont="1" applyFill="1" applyBorder="1" applyAlignment="1" applyProtection="1">
      <alignment horizontal="center" vertical="center"/>
    </xf>
    <xf numFmtId="0" fontId="73" fillId="0" borderId="104" xfId="0" applyFont="1" applyFill="1" applyBorder="1" applyAlignment="1" applyProtection="1">
      <alignment horizontal="center" vertical="center" wrapText="1"/>
    </xf>
    <xf numFmtId="15" fontId="26" fillId="0" borderId="101" xfId="0" applyNumberFormat="1" applyFont="1" applyFill="1" applyBorder="1" applyAlignment="1" applyProtection="1">
      <alignment horizontal="center" wrapText="1"/>
    </xf>
    <xf numFmtId="0" fontId="0" fillId="20" borderId="0" xfId="0" applyFill="1" applyBorder="1" applyAlignment="1" applyProtection="1">
      <alignment vertical="center" textRotation="90"/>
    </xf>
    <xf numFmtId="3" fontId="94" fillId="0" borderId="0" xfId="0" applyNumberFormat="1" applyFont="1" applyFill="1" applyBorder="1" applyAlignment="1" applyProtection="1">
      <alignment horizontal="center" vertical="center"/>
    </xf>
    <xf numFmtId="0" fontId="0" fillId="0" borderId="106" xfId="0" applyBorder="1" applyAlignment="1" applyProtection="1">
      <alignment horizontal="center" vertical="center" wrapText="1"/>
    </xf>
    <xf numFmtId="0" fontId="0" fillId="0" borderId="107" xfId="0" applyBorder="1" applyAlignment="1" applyProtection="1">
      <alignment horizontal="center" vertical="center" wrapText="1"/>
    </xf>
    <xf numFmtId="0" fontId="14" fillId="0" borderId="106"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32" fillId="0" borderId="106" xfId="0" applyFont="1" applyBorder="1" applyAlignment="1" applyProtection="1">
      <alignment horizontal="center" vertical="center" wrapText="1"/>
    </xf>
    <xf numFmtId="0" fontId="32" fillId="0" borderId="107" xfId="0" applyFont="1" applyBorder="1" applyAlignment="1" applyProtection="1">
      <alignment horizontal="center" vertical="center" wrapText="1"/>
    </xf>
    <xf numFmtId="1" fontId="133" fillId="22" borderId="10" xfId="0" applyNumberFormat="1" applyFont="1" applyFill="1" applyBorder="1" applyAlignment="1" applyProtection="1">
      <alignment horizontal="center"/>
      <protection locked="0"/>
    </xf>
    <xf numFmtId="0" fontId="0" fillId="0" borderId="0" xfId="0" applyAlignment="1" applyProtection="1">
      <alignment horizontal="right"/>
    </xf>
    <xf numFmtId="164" fontId="107" fillId="0" borderId="0" xfId="38" applyFont="1" applyFill="1" applyAlignment="1" applyProtection="1">
      <alignment horizontal="right" vertical="center"/>
    </xf>
    <xf numFmtId="15" fontId="1" fillId="0" borderId="10" xfId="56" applyNumberFormat="1" applyFont="1" applyFill="1" applyBorder="1" applyAlignment="1" applyProtection="1">
      <alignment horizontal="right"/>
      <protection locked="0"/>
    </xf>
    <xf numFmtId="0" fontId="0" fillId="0" borderId="0" xfId="0" applyBorder="1" applyAlignment="1" applyProtection="1">
      <alignment horizontal="right"/>
    </xf>
    <xf numFmtId="164" fontId="3" fillId="0" borderId="0" xfId="59" applyFont="1" applyFill="1" applyBorder="1" applyAlignment="1" applyProtection="1">
      <alignment horizontal="right" vertical="center"/>
    </xf>
    <xf numFmtId="164" fontId="134" fillId="0" borderId="0" xfId="59" applyFill="1" applyBorder="1" applyAlignment="1" applyProtection="1">
      <alignment horizontal="right" vertical="center"/>
    </xf>
    <xf numFmtId="165" fontId="14" fillId="19" borderId="71" xfId="0" applyNumberFormat="1" applyFont="1" applyFill="1" applyBorder="1" applyAlignment="1" applyProtection="1">
      <alignment horizontal="right"/>
      <protection locked="0"/>
    </xf>
    <xf numFmtId="3" fontId="28" fillId="23" borderId="66" xfId="0" applyNumberFormat="1" applyFont="1" applyFill="1" applyBorder="1" applyAlignment="1" applyProtection="1">
      <alignment horizontal="right"/>
      <protection locked="0"/>
    </xf>
    <xf numFmtId="3" fontId="28" fillId="0" borderId="10" xfId="0" applyNumberFormat="1" applyFont="1" applyFill="1" applyBorder="1" applyAlignment="1" applyProtection="1">
      <alignment horizontal="right"/>
    </xf>
    <xf numFmtId="3" fontId="28" fillId="0" borderId="60" xfId="0" applyNumberFormat="1" applyFont="1" applyFill="1" applyBorder="1" applyAlignment="1" applyProtection="1">
      <alignment horizontal="right"/>
    </xf>
    <xf numFmtId="9" fontId="15" fillId="0" borderId="0" xfId="61" applyFont="1" applyAlignment="1" applyProtection="1">
      <alignment horizontal="right"/>
    </xf>
    <xf numFmtId="0" fontId="26" fillId="0" borderId="0" xfId="0" applyFont="1" applyFill="1" applyBorder="1" applyAlignment="1" applyProtection="1">
      <alignment horizontal="right"/>
    </xf>
    <xf numFmtId="0" fontId="26" fillId="0" borderId="0" xfId="0" applyFont="1" applyFill="1" applyBorder="1" applyAlignment="1">
      <alignment horizontal="right"/>
    </xf>
    <xf numFmtId="0" fontId="0" fillId="0" borderId="0" xfId="0" applyFill="1" applyBorder="1" applyAlignment="1" applyProtection="1">
      <alignment horizontal="right"/>
    </xf>
    <xf numFmtId="3" fontId="0" fillId="0" borderId="0" xfId="0" applyNumberFormat="1" applyAlignment="1" applyProtection="1">
      <alignment horizontal="right"/>
    </xf>
    <xf numFmtId="15" fontId="29" fillId="0" borderId="0" xfId="0" applyNumberFormat="1" applyFont="1" applyFill="1" applyBorder="1" applyAlignment="1" applyProtection="1">
      <alignment horizontal="right" vertical="center" wrapText="1"/>
    </xf>
    <xf numFmtId="166" fontId="6" fillId="0" borderId="0" xfId="62" applyNumberFormat="1" applyFont="1" applyFill="1" applyBorder="1" applyAlignment="1" applyProtection="1">
      <alignment horizontal="right"/>
      <protection locked="0"/>
    </xf>
    <xf numFmtId="0" fontId="6" fillId="0" borderId="0" xfId="0" applyFont="1" applyFill="1" applyBorder="1" applyAlignment="1" applyProtection="1">
      <alignment horizontal="right"/>
    </xf>
    <xf numFmtId="164" fontId="39" fillId="0" borderId="19" xfId="59" applyFont="1" applyFill="1" applyBorder="1" applyAlignment="1" applyProtection="1">
      <alignment horizontal="right" vertical="center"/>
    </xf>
    <xf numFmtId="164" fontId="39" fillId="0" borderId="0" xfId="59" applyFont="1" applyFill="1" applyBorder="1" applyAlignment="1" applyProtection="1">
      <alignment horizontal="right" vertical="center"/>
    </xf>
    <xf numFmtId="164" fontId="40" fillId="0" borderId="0" xfId="59" applyFont="1" applyFill="1" applyBorder="1" applyAlignment="1" applyProtection="1">
      <alignment horizontal="right" vertical="center"/>
    </xf>
    <xf numFmtId="0" fontId="0" fillId="0" borderId="0" xfId="0" applyFill="1" applyBorder="1" applyAlignment="1" applyProtection="1">
      <alignment horizontal="right" vertical="top"/>
      <protection locked="0"/>
    </xf>
    <xf numFmtId="0" fontId="0" fillId="0" borderId="0" xfId="0" applyBorder="1" applyAlignment="1">
      <alignment horizontal="right"/>
    </xf>
    <xf numFmtId="165" fontId="32" fillId="19" borderId="63" xfId="0" applyNumberFormat="1" applyFont="1" applyFill="1" applyBorder="1" applyAlignment="1" applyProtection="1">
      <alignment horizontal="right"/>
      <protection locked="0"/>
    </xf>
    <xf numFmtId="0" fontId="0" fillId="0" borderId="0" xfId="0" applyFill="1" applyBorder="1" applyAlignment="1" applyProtection="1">
      <alignment horizontal="right" wrapText="1"/>
    </xf>
    <xf numFmtId="164" fontId="95" fillId="0" borderId="0" xfId="62" applyFont="1" applyFill="1" applyBorder="1" applyAlignment="1" applyProtection="1">
      <alignment horizontal="right"/>
    </xf>
    <xf numFmtId="164" fontId="0" fillId="0" borderId="0" xfId="0" applyNumberFormat="1" applyFill="1" applyBorder="1" applyAlignment="1" applyProtection="1">
      <alignment horizontal="right"/>
    </xf>
    <xf numFmtId="0" fontId="28" fillId="0" borderId="35" xfId="0" applyFont="1" applyBorder="1" applyAlignment="1">
      <alignment horizontal="right" wrapText="1"/>
    </xf>
    <xf numFmtId="0" fontId="1" fillId="0" borderId="50" xfId="0" applyFont="1" applyFill="1" applyBorder="1" applyAlignment="1" applyProtection="1">
      <alignment horizontal="right" wrapText="1"/>
    </xf>
    <xf numFmtId="0" fontId="0" fillId="22" borderId="10" xfId="0" applyNumberFormat="1" applyFill="1" applyBorder="1" applyAlignment="1" applyProtection="1">
      <alignment horizontal="right"/>
      <protection locked="0"/>
    </xf>
    <xf numFmtId="168" fontId="0" fillId="0" borderId="49" xfId="0" applyNumberFormat="1" applyFill="1" applyBorder="1" applyAlignment="1" applyProtection="1">
      <alignment horizontal="right"/>
    </xf>
    <xf numFmtId="0" fontId="0" fillId="22" borderId="59" xfId="0" applyNumberFormat="1" applyFill="1" applyBorder="1" applyAlignment="1" applyProtection="1">
      <alignment horizontal="right"/>
      <protection locked="0"/>
    </xf>
    <xf numFmtId="168" fontId="0" fillId="0" borderId="53" xfId="0" applyNumberFormat="1" applyFill="1" applyBorder="1" applyAlignment="1" applyProtection="1">
      <alignment horizontal="right"/>
    </xf>
    <xf numFmtId="0" fontId="0" fillId="0" borderId="25" xfId="0" applyFill="1" applyBorder="1" applyAlignment="1" applyProtection="1">
      <alignment horizontal="right"/>
    </xf>
    <xf numFmtId="164" fontId="109" fillId="0" borderId="25" xfId="59" applyFont="1" applyFill="1" applyBorder="1" applyAlignment="1" applyProtection="1">
      <alignment horizontal="right" vertical="center"/>
    </xf>
    <xf numFmtId="3" fontId="64" fillId="28" borderId="10" xfId="0" applyNumberFormat="1" applyFont="1" applyFill="1" applyBorder="1" applyAlignment="1" applyProtection="1">
      <alignment horizontal="right" vertical="center"/>
      <protection locked="0"/>
    </xf>
    <xf numFmtId="1" fontId="64" fillId="28" borderId="10" xfId="0" quotePrefix="1" applyNumberFormat="1" applyFont="1" applyFill="1" applyBorder="1" applyAlignment="1" applyProtection="1">
      <alignment horizontal="right" vertical="center"/>
      <protection locked="0"/>
    </xf>
    <xf numFmtId="0" fontId="0" fillId="0" borderId="0" xfId="0" applyAlignment="1">
      <alignment horizontal="right"/>
    </xf>
    <xf numFmtId="9" fontId="28" fillId="0" borderId="10" xfId="0" applyNumberFormat="1" applyFont="1" applyBorder="1" applyAlignment="1" applyProtection="1">
      <alignment horizontal="center" vertical="center" wrapText="1"/>
    </xf>
    <xf numFmtId="0" fontId="0" fillId="37" borderId="0" xfId="0" applyFill="1" applyAlignment="1" applyProtection="1">
      <alignment horizontal="right"/>
    </xf>
    <xf numFmtId="0" fontId="108" fillId="0" borderId="97" xfId="0" applyFont="1" applyBorder="1" applyAlignment="1" applyProtection="1">
      <alignment horizontal="right"/>
    </xf>
    <xf numFmtId="0" fontId="108" fillId="0" borderId="0" xfId="0" applyFont="1" applyAlignment="1" applyProtection="1">
      <alignment horizontal="right"/>
    </xf>
    <xf numFmtId="49" fontId="0" fillId="0" borderId="39" xfId="0" applyNumberFormat="1" applyBorder="1" applyAlignment="1" applyProtection="1">
      <alignment horizontal="center"/>
      <protection locked="0"/>
    </xf>
    <xf numFmtId="49" fontId="0" fillId="0" borderId="41" xfId="0" applyNumberFormat="1" applyBorder="1" applyAlignment="1" applyProtection="1">
      <alignment horizontal="center"/>
      <protection locked="0"/>
    </xf>
    <xf numFmtId="164" fontId="59" fillId="31" borderId="0" xfId="38" applyFont="1" applyFill="1" applyAlignment="1" applyProtection="1">
      <alignment horizontal="center" vertical="center"/>
    </xf>
    <xf numFmtId="164" fontId="15" fillId="32" borderId="10" xfId="56" applyFont="1" applyFill="1" applyBorder="1" applyAlignment="1" applyProtection="1">
      <alignment horizontal="center"/>
      <protection locked="0"/>
    </xf>
    <xf numFmtId="0" fontId="0" fillId="25" borderId="39" xfId="0" applyFill="1" applyBorder="1" applyAlignment="1" applyProtection="1">
      <alignment horizontal="center"/>
    </xf>
    <xf numFmtId="0" fontId="0" fillId="25" borderId="41" xfId="0" applyFill="1" applyBorder="1" applyAlignment="1" applyProtection="1">
      <alignment horizontal="center"/>
    </xf>
    <xf numFmtId="0" fontId="108" fillId="0" borderId="0" xfId="0" applyFont="1" applyAlignment="1" applyProtection="1">
      <alignment horizontal="left"/>
    </xf>
    <xf numFmtId="164" fontId="98" fillId="0" borderId="14" xfId="59" applyFont="1" applyFill="1" applyBorder="1" applyAlignment="1" applyProtection="1">
      <alignment horizontal="center" vertical="center"/>
    </xf>
    <xf numFmtId="0" fontId="80" fillId="0" borderId="124" xfId="0" applyFont="1" applyBorder="1" applyAlignment="1" applyProtection="1">
      <alignment horizontal="right"/>
    </xf>
    <xf numFmtId="0" fontId="116" fillId="0" borderId="124" xfId="0" applyFont="1" applyBorder="1" applyAlignment="1"/>
    <xf numFmtId="0" fontId="0" fillId="0" borderId="125" xfId="0" applyFill="1" applyBorder="1" applyAlignment="1" applyProtection="1">
      <alignment horizontal="center" vertical="center"/>
      <protection locked="0"/>
    </xf>
    <xf numFmtId="0" fontId="0" fillId="0" borderId="126" xfId="0" applyFill="1" applyBorder="1" applyAlignment="1" applyProtection="1">
      <alignment horizontal="center" vertical="center"/>
      <protection locked="0"/>
    </xf>
    <xf numFmtId="0" fontId="0" fillId="0" borderId="127" xfId="0" applyFill="1" applyBorder="1" applyAlignment="1" applyProtection="1">
      <alignment horizontal="center" vertical="center"/>
      <protection locked="0"/>
    </xf>
    <xf numFmtId="49" fontId="14" fillId="0" borderId="20"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08" fillId="0" borderId="0" xfId="0" applyFont="1" applyBorder="1" applyAlignment="1" applyProtection="1">
      <alignment horizontal="right"/>
    </xf>
    <xf numFmtId="0" fontId="108" fillId="0" borderId="98" xfId="0" applyFont="1" applyBorder="1" applyAlignment="1" applyProtection="1">
      <alignment horizontal="right"/>
    </xf>
    <xf numFmtId="164" fontId="14" fillId="0" borderId="114" xfId="0" applyNumberFormat="1" applyFont="1" applyBorder="1" applyAlignment="1" applyProtection="1">
      <alignment horizontal="center"/>
    </xf>
    <xf numFmtId="0" fontId="14" fillId="0" borderId="115" xfId="0" applyFont="1" applyBorder="1" applyAlignment="1" applyProtection="1">
      <alignment horizontal="center"/>
    </xf>
    <xf numFmtId="0" fontId="14" fillId="0" borderId="116" xfId="0" applyFont="1" applyBorder="1" applyAlignment="1" applyProtection="1">
      <alignment horizontal="center"/>
    </xf>
    <xf numFmtId="0" fontId="26" fillId="0" borderId="117" xfId="0" applyFont="1" applyBorder="1" applyAlignment="1" applyProtection="1">
      <alignment horizontal="center" wrapText="1"/>
    </xf>
    <xf numFmtId="0" fontId="26" fillId="0" borderId="118" xfId="0" applyFont="1" applyBorder="1" applyAlignment="1" applyProtection="1">
      <alignment horizontal="center" wrapText="1"/>
    </xf>
    <xf numFmtId="0" fontId="26" fillId="0" borderId="119" xfId="0" applyFont="1" applyBorder="1" applyAlignment="1" applyProtection="1">
      <alignment horizontal="center" wrapText="1"/>
    </xf>
    <xf numFmtId="49" fontId="14" fillId="0" borderId="22" xfId="0" applyNumberFormat="1" applyFont="1" applyBorder="1" applyAlignment="1" applyProtection="1">
      <alignment horizontal="center"/>
    </xf>
    <xf numFmtId="49" fontId="14" fillId="0" borderId="43" xfId="0" applyNumberFormat="1" applyFont="1" applyBorder="1" applyAlignment="1" applyProtection="1">
      <alignment horizontal="center"/>
    </xf>
    <xf numFmtId="0" fontId="73" fillId="0" borderId="120" xfId="0" applyFont="1" applyFill="1" applyBorder="1" applyAlignment="1" applyProtection="1">
      <alignment horizontal="center" vertical="center"/>
    </xf>
    <xf numFmtId="0" fontId="73" fillId="0" borderId="121" xfId="0" applyFont="1" applyFill="1" applyBorder="1" applyAlignment="1" applyProtection="1">
      <alignment horizontal="center" vertical="center"/>
    </xf>
    <xf numFmtId="0" fontId="73" fillId="0" borderId="122" xfId="0" applyFont="1" applyFill="1" applyBorder="1" applyAlignment="1" applyProtection="1">
      <alignment horizontal="center" vertical="center"/>
    </xf>
    <xf numFmtId="0" fontId="0" fillId="0" borderId="123" xfId="0" applyBorder="1" applyAlignment="1" applyProtection="1">
      <alignment horizontal="center"/>
    </xf>
    <xf numFmtId="0" fontId="0" fillId="0" borderId="106" xfId="0" applyBorder="1" applyAlignment="1" applyProtection="1">
      <alignment horizontal="center"/>
    </xf>
    <xf numFmtId="49" fontId="0" fillId="0" borderId="39" xfId="0" applyNumberFormat="1" applyBorder="1" applyAlignment="1" applyProtection="1">
      <alignment horizontal="justify" wrapText="1"/>
      <protection locked="0"/>
    </xf>
    <xf numFmtId="49" fontId="0" fillId="0" borderId="40" xfId="0" applyNumberFormat="1" applyBorder="1" applyAlignment="1" applyProtection="1">
      <alignment horizontal="justify" wrapText="1"/>
      <protection locked="0"/>
    </xf>
    <xf numFmtId="49" fontId="0" fillId="0" borderId="41" xfId="0" applyNumberFormat="1" applyBorder="1" applyAlignment="1" applyProtection="1">
      <alignment horizontal="justify" wrapText="1"/>
      <protection locked="0"/>
    </xf>
    <xf numFmtId="3" fontId="0" fillId="0" borderId="39" xfId="0" applyNumberFormat="1" applyBorder="1" applyAlignment="1" applyProtection="1">
      <alignment horizontal="center"/>
      <protection locked="0"/>
    </xf>
    <xf numFmtId="3" fontId="0" fillId="0" borderId="41" xfId="0" applyNumberFormat="1" applyBorder="1" applyAlignment="1" applyProtection="1">
      <alignment horizontal="center"/>
      <protection locked="0"/>
    </xf>
    <xf numFmtId="15" fontId="1" fillId="0" borderId="10" xfId="56" applyNumberFormat="1" applyFont="1" applyFill="1" applyBorder="1" applyAlignment="1" applyProtection="1">
      <alignment horizontal="center"/>
      <protection locked="0"/>
    </xf>
    <xf numFmtId="15" fontId="134" fillId="0" borderId="10" xfId="56" applyNumberFormat="1" applyFill="1" applyBorder="1" applyAlignment="1" applyProtection="1">
      <alignment horizontal="center"/>
      <protection locked="0"/>
    </xf>
    <xf numFmtId="0" fontId="0" fillId="0" borderId="0" xfId="0" applyAlignment="1" applyProtection="1">
      <alignment wrapText="1"/>
    </xf>
    <xf numFmtId="164" fontId="59" fillId="31" borderId="0" xfId="38" applyFont="1" applyFill="1" applyAlignment="1" applyProtection="1">
      <alignment horizontal="center" vertical="center" wrapText="1"/>
    </xf>
    <xf numFmtId="14" fontId="0" fillId="0" borderId="10" xfId="0" applyNumberFormat="1" applyBorder="1" applyAlignment="1" applyProtection="1">
      <alignment horizontal="center" wrapText="1"/>
      <protection locked="0"/>
    </xf>
    <xf numFmtId="49" fontId="0" fillId="0" borderId="10" xfId="0" applyNumberFormat="1" applyBorder="1" applyAlignment="1" applyProtection="1">
      <alignment horizontal="center" wrapText="1"/>
      <protection locked="0"/>
    </xf>
    <xf numFmtId="15" fontId="1" fillId="0" borderId="10" xfId="56" applyNumberFormat="1" applyFont="1" applyFill="1" applyBorder="1" applyAlignment="1" applyProtection="1">
      <alignment horizontal="center" wrapText="1"/>
      <protection locked="0"/>
    </xf>
    <xf numFmtId="0" fontId="0" fillId="0" borderId="0" xfId="0" applyBorder="1" applyAlignment="1" applyProtection="1">
      <alignment wrapText="1"/>
    </xf>
    <xf numFmtId="0" fontId="108" fillId="0" borderId="0" xfId="0" applyFont="1" applyAlignment="1" applyProtection="1">
      <alignment horizontal="right" wrapText="1"/>
    </xf>
    <xf numFmtId="164" fontId="0" fillId="0" borderId="14" xfId="59" applyFont="1" applyFill="1" applyBorder="1" applyAlignment="1" applyProtection="1">
      <alignment vertical="center" wrapText="1"/>
    </xf>
    <xf numFmtId="164" fontId="134" fillId="0" borderId="0" xfId="59" applyFill="1" applyBorder="1" applyAlignment="1" applyProtection="1">
      <alignment vertical="center" wrapText="1"/>
    </xf>
    <xf numFmtId="0" fontId="14" fillId="0" borderId="115" xfId="0" applyFont="1" applyBorder="1" applyAlignment="1" applyProtection="1">
      <alignment horizontal="center" wrapText="1"/>
    </xf>
    <xf numFmtId="3" fontId="28" fillId="23" borderId="66" xfId="0" applyNumberFormat="1" applyFont="1" applyFill="1" applyBorder="1" applyAlignment="1" applyProtection="1">
      <alignment wrapText="1"/>
      <protection locked="0"/>
    </xf>
    <xf numFmtId="3" fontId="28" fillId="23" borderId="67" xfId="0" applyNumberFormat="1" applyFont="1" applyFill="1" applyBorder="1" applyAlignment="1" applyProtection="1">
      <alignment wrapText="1"/>
      <protection locked="0"/>
    </xf>
    <xf numFmtId="3" fontId="28" fillId="0" borderId="60" xfId="0" applyNumberFormat="1" applyFont="1" applyFill="1" applyBorder="1" applyAlignment="1" applyProtection="1">
      <alignment wrapText="1"/>
    </xf>
    <xf numFmtId="9" fontId="15" fillId="0" borderId="0" xfId="61" applyFont="1" applyAlignment="1" applyProtection="1">
      <alignment wrapText="1"/>
    </xf>
    <xf numFmtId="166" fontId="0" fillId="0" borderId="0" xfId="0" applyNumberFormat="1" applyAlignment="1" applyProtection="1">
      <alignment wrapText="1"/>
    </xf>
    <xf numFmtId="4" fontId="0" fillId="0" borderId="0" xfId="0" applyNumberFormat="1" applyAlignment="1" applyProtection="1">
      <alignment wrapText="1"/>
    </xf>
    <xf numFmtId="3" fontId="0" fillId="0" borderId="0" xfId="0" applyNumberFormat="1" applyAlignment="1" applyProtection="1">
      <alignment wrapText="1"/>
    </xf>
    <xf numFmtId="164" fontId="39" fillId="0" borderId="19" xfId="59" applyFont="1" applyFill="1" applyBorder="1" applyAlignment="1" applyProtection="1">
      <alignment vertical="center" wrapText="1"/>
    </xf>
    <xf numFmtId="164" fontId="39" fillId="0" borderId="0" xfId="59" applyFont="1" applyFill="1" applyBorder="1" applyAlignment="1" applyProtection="1">
      <alignment vertical="center" wrapText="1"/>
    </xf>
    <xf numFmtId="0" fontId="14" fillId="0" borderId="0" xfId="0" applyFont="1" applyBorder="1" applyAlignment="1" applyProtection="1">
      <alignment horizontal="center" wrapText="1"/>
    </xf>
    <xf numFmtId="1" fontId="21" fillId="20" borderId="21" xfId="0" applyNumberFormat="1" applyFont="1" applyFill="1" applyBorder="1" applyAlignment="1" applyProtection="1">
      <alignment horizontal="center" wrapText="1"/>
    </xf>
    <xf numFmtId="1" fontId="21" fillId="20" borderId="23" xfId="0" applyNumberFormat="1" applyFont="1" applyFill="1" applyBorder="1" applyAlignment="1" applyProtection="1">
      <alignment horizontal="center" wrapText="1"/>
    </xf>
    <xf numFmtId="0" fontId="0" fillId="0" borderId="0" xfId="0" applyFill="1" applyBorder="1" applyAlignment="1" applyProtection="1">
      <alignment wrapText="1"/>
    </xf>
    <xf numFmtId="15" fontId="96" fillId="0" borderId="0" xfId="0" applyNumberFormat="1" applyFont="1" applyFill="1" applyBorder="1" applyAlignment="1" applyProtection="1">
      <alignment horizontal="left" wrapText="1"/>
    </xf>
    <xf numFmtId="0" fontId="0" fillId="22" borderId="23" xfId="0" applyNumberFormat="1" applyFill="1" applyBorder="1" applyAlignment="1" applyProtection="1">
      <alignment horizontal="center" wrapText="1"/>
      <protection locked="0"/>
    </xf>
    <xf numFmtId="165" fontId="32" fillId="19" borderId="63" xfId="0" applyNumberFormat="1" applyFont="1" applyFill="1" applyBorder="1" applyAlignment="1" applyProtection="1">
      <alignment horizontal="center" wrapText="1"/>
      <protection locked="0"/>
    </xf>
    <xf numFmtId="3" fontId="0" fillId="0" borderId="10" xfId="0" applyNumberFormat="1" applyFill="1" applyBorder="1" applyAlignment="1" applyProtection="1">
      <alignment wrapText="1"/>
    </xf>
    <xf numFmtId="3" fontId="0" fillId="0" borderId="59" xfId="0" applyNumberFormat="1" applyFill="1" applyBorder="1" applyAlignment="1" applyProtection="1">
      <alignment wrapText="1"/>
    </xf>
    <xf numFmtId="164" fontId="39" fillId="0" borderId="25" xfId="59" applyFont="1" applyFill="1" applyBorder="1" applyAlignment="1" applyProtection="1">
      <alignment vertical="center" wrapText="1"/>
    </xf>
    <xf numFmtId="0" fontId="2" fillId="0" borderId="42" xfId="0" applyFont="1" applyFill="1" applyBorder="1" applyAlignment="1" applyProtection="1">
      <alignment horizontal="center" wrapText="1"/>
    </xf>
    <xf numFmtId="0" fontId="2" fillId="0" borderId="105" xfId="0" applyFont="1" applyFill="1" applyBorder="1" applyAlignment="1" applyProtection="1">
      <alignment horizontal="center" wrapText="1"/>
    </xf>
    <xf numFmtId="0" fontId="0" fillId="0" borderId="0" xfId="0" applyAlignment="1">
      <alignment wrapText="1"/>
    </xf>
    <xf numFmtId="9" fontId="64" fillId="28" borderId="10" xfId="0" applyNumberFormat="1" applyFont="1" applyFill="1" applyBorder="1" applyAlignment="1" applyProtection="1">
      <alignment horizontal="right" vertical="center"/>
      <protection locked="0"/>
    </xf>
    <xf numFmtId="3" fontId="2" fillId="29" borderId="10" xfId="0" applyNumberFormat="1" applyFont="1" applyFill="1" applyBorder="1" applyAlignment="1" applyProtection="1">
      <alignment horizontal="right" vertical="center"/>
      <protection locked="0"/>
    </xf>
    <xf numFmtId="3" fontId="135" fillId="28" borderId="10" xfId="0" applyNumberFormat="1" applyFont="1" applyFill="1" applyBorder="1" applyAlignment="1" applyProtection="1">
      <alignment horizontal="right" vertical="center"/>
      <protection locked="0"/>
    </xf>
    <xf numFmtId="3" fontId="2" fillId="28" borderId="10" xfId="0" applyNumberFormat="1" applyFont="1" applyFill="1" applyBorder="1" applyAlignment="1" applyProtection="1">
      <alignment horizontal="right" vertical="center"/>
      <protection locked="0"/>
    </xf>
    <xf numFmtId="3" fontId="135" fillId="29" borderId="10" xfId="0" applyNumberFormat="1" applyFont="1" applyFill="1" applyBorder="1" applyAlignment="1" applyProtection="1">
      <alignment horizontal="right" vertical="center"/>
      <protection locked="0"/>
    </xf>
    <xf numFmtId="3" fontId="135" fillId="29" borderId="10" xfId="0" applyNumberFormat="1" applyFont="1" applyFill="1" applyBorder="1" applyAlignment="1" applyProtection="1">
      <alignment vertical="center"/>
      <protection locked="0"/>
    </xf>
    <xf numFmtId="3" fontId="135" fillId="28" borderId="10" xfId="0" applyNumberFormat="1" applyFont="1" applyFill="1" applyBorder="1" applyAlignment="1" applyProtection="1">
      <alignment vertical="center"/>
      <protection locked="0"/>
    </xf>
    <xf numFmtId="0" fontId="64" fillId="0" borderId="10" xfId="0" applyFont="1" applyFill="1" applyBorder="1" applyAlignment="1" applyProtection="1">
      <alignment horizontal="center" vertical="center" wrapText="1"/>
    </xf>
    <xf numFmtId="0" fontId="64" fillId="27" borderId="10" xfId="0" applyFont="1" applyFill="1" applyBorder="1" applyAlignment="1" applyProtection="1">
      <alignment horizontal="center" vertical="center" wrapText="1"/>
    </xf>
    <xf numFmtId="0" fontId="26" fillId="0" borderId="0" xfId="0" applyFont="1" applyFill="1" applyBorder="1" applyAlignment="1">
      <alignment horizontal="left"/>
    </xf>
    <xf numFmtId="0" fontId="0" fillId="0" borderId="0" xfId="0" applyFill="1" applyBorder="1" applyAlignment="1">
      <alignment horizontal="left"/>
    </xf>
    <xf numFmtId="3" fontId="0" fillId="0" borderId="0" xfId="0" applyNumberFormat="1" applyFill="1" applyBorder="1" applyAlignment="1">
      <alignment horizontal="left"/>
    </xf>
    <xf numFmtId="0" fontId="136" fillId="0" borderId="10" xfId="0" applyFont="1" applyFill="1" applyBorder="1" applyAlignment="1" applyProtection="1">
      <alignment horizontal="center" vertical="center" wrapText="1"/>
    </xf>
    <xf numFmtId="165" fontId="14" fillId="19" borderId="220" xfId="0" applyNumberFormat="1" applyFont="1" applyFill="1" applyBorder="1" applyAlignment="1" applyProtection="1">
      <alignment horizontal="center"/>
      <protection locked="0"/>
    </xf>
    <xf numFmtId="0" fontId="6" fillId="0" borderId="45" xfId="0" applyFont="1" applyBorder="1" applyAlignment="1" applyProtection="1">
      <alignment wrapText="1"/>
    </xf>
    <xf numFmtId="0" fontId="6" fillId="0" borderId="46" xfId="0" applyFont="1" applyBorder="1" applyAlignment="1" applyProtection="1">
      <alignment wrapText="1"/>
    </xf>
    <xf numFmtId="4" fontId="0" fillId="0" borderId="0" xfId="0" applyNumberFormat="1" applyFill="1" applyBorder="1" applyProtection="1"/>
    <xf numFmtId="3" fontId="0" fillId="0" borderId="0" xfId="0" applyNumberFormat="1"/>
    <xf numFmtId="164" fontId="17" fillId="30" borderId="0" xfId="38"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1" fillId="0" borderId="0" xfId="0" applyFont="1" applyAlignment="1">
      <alignment horizontal="center"/>
    </xf>
    <xf numFmtId="0" fontId="122" fillId="0" borderId="0" xfId="0" applyFont="1" applyAlignment="1">
      <alignment horizontal="center"/>
    </xf>
    <xf numFmtId="0" fontId="126" fillId="0" borderId="39" xfId="0" applyNumberFormat="1" applyFont="1" applyBorder="1" applyAlignment="1" applyProtection="1">
      <alignment horizontal="left" vertical="center" wrapText="1"/>
      <protection locked="0"/>
    </xf>
    <xf numFmtId="0" fontId="124" fillId="0" borderId="40" xfId="0" applyNumberFormat="1" applyFont="1" applyBorder="1" applyAlignment="1" applyProtection="1">
      <alignment horizontal="left" vertical="center" wrapText="1"/>
      <protection locked="0"/>
    </xf>
    <xf numFmtId="0" fontId="124" fillId="0" borderId="41" xfId="0" applyNumberFormat="1" applyFont="1" applyBorder="1" applyAlignment="1" applyProtection="1">
      <alignment horizontal="left" vertical="center" wrapText="1"/>
      <protection locked="0"/>
    </xf>
    <xf numFmtId="0" fontId="124" fillId="0" borderId="39" xfId="0" applyFont="1" applyBorder="1" applyAlignment="1" applyProtection="1">
      <alignment horizontal="left" vertical="center" wrapText="1"/>
      <protection locked="0"/>
    </xf>
    <xf numFmtId="0" fontId="124" fillId="0" borderId="40" xfId="0" applyFont="1" applyBorder="1" applyAlignment="1" applyProtection="1">
      <alignment horizontal="left" vertical="center" wrapText="1"/>
      <protection locked="0"/>
    </xf>
    <xf numFmtId="0" fontId="124" fillId="0" borderId="41" xfId="0" applyFont="1" applyBorder="1" applyAlignment="1" applyProtection="1">
      <alignment horizontal="left" vertical="center" wrapText="1"/>
      <protection locked="0"/>
    </xf>
    <xf numFmtId="0" fontId="126" fillId="0" borderId="39" xfId="0" applyFont="1" applyBorder="1" applyAlignment="1" applyProtection="1">
      <alignment horizontal="justify" vertical="center" wrapText="1"/>
      <protection locked="0"/>
    </xf>
    <xf numFmtId="0" fontId="125" fillId="0" borderId="40" xfId="0" applyFont="1" applyBorder="1" applyAlignment="1" applyProtection="1">
      <alignment horizontal="justify" vertical="center" wrapText="1"/>
      <protection locked="0"/>
    </xf>
    <xf numFmtId="0" fontId="125" fillId="0" borderId="41" xfId="0" applyFont="1" applyBorder="1" applyAlignment="1" applyProtection="1">
      <alignment horizontal="justify" vertical="center" wrapText="1"/>
      <protection locked="0"/>
    </xf>
    <xf numFmtId="0" fontId="61" fillId="0" borderId="39" xfId="0" applyFont="1" applyBorder="1" applyAlignment="1">
      <alignment horizontal="left" vertical="center" wrapText="1"/>
    </xf>
    <xf numFmtId="0" fontId="61" fillId="0" borderId="40" xfId="0" applyFont="1" applyBorder="1" applyAlignment="1">
      <alignment horizontal="left" vertical="center" wrapText="1"/>
    </xf>
    <xf numFmtId="0" fontId="61" fillId="0" borderId="41" xfId="0" applyFont="1" applyBorder="1" applyAlignment="1">
      <alignment horizontal="left" vertical="center" wrapText="1"/>
    </xf>
    <xf numFmtId="0" fontId="115" fillId="0" borderId="39" xfId="0" applyFont="1" applyBorder="1" applyAlignment="1">
      <alignment horizontal="justify" vertical="center" wrapText="1"/>
    </xf>
    <xf numFmtId="0" fontId="115" fillId="0" borderId="40" xfId="0" applyFont="1" applyBorder="1" applyAlignment="1">
      <alignment horizontal="justify" vertical="center" wrapText="1"/>
    </xf>
    <xf numFmtId="0" fontId="115" fillId="0" borderId="41" xfId="0" applyFont="1" applyBorder="1" applyAlignment="1">
      <alignment horizontal="justify" vertical="center" wrapText="1"/>
    </xf>
    <xf numFmtId="0" fontId="115" fillId="0" borderId="39" xfId="0" applyFont="1" applyBorder="1" applyAlignment="1">
      <alignment horizontal="left" vertical="center" wrapText="1"/>
    </xf>
    <xf numFmtId="0" fontId="112" fillId="0" borderId="40" xfId="0" applyFont="1" applyBorder="1" applyAlignment="1">
      <alignment horizontal="left" vertical="center" wrapText="1"/>
    </xf>
    <xf numFmtId="0" fontId="112" fillId="0" borderId="41" xfId="0" applyFont="1" applyBorder="1" applyAlignment="1">
      <alignment horizontal="left" vertical="center" wrapText="1"/>
    </xf>
    <xf numFmtId="0" fontId="61" fillId="0" borderId="112" xfId="0" applyFont="1" applyBorder="1" applyAlignment="1">
      <alignment horizontal="left" vertical="center" wrapText="1"/>
    </xf>
    <xf numFmtId="0" fontId="61" fillId="0" borderId="113" xfId="0" applyFont="1" applyBorder="1" applyAlignment="1">
      <alignment horizontal="left" vertical="center" wrapText="1"/>
    </xf>
    <xf numFmtId="0" fontId="61" fillId="0" borderId="110" xfId="0" applyFont="1" applyBorder="1" applyAlignment="1">
      <alignment horizontal="left" vertical="center" wrapText="1"/>
    </xf>
    <xf numFmtId="0" fontId="61" fillId="0" borderId="111" xfId="0" applyFont="1" applyBorder="1" applyAlignment="1">
      <alignment horizontal="left" vertical="center" wrapText="1"/>
    </xf>
    <xf numFmtId="0" fontId="61" fillId="0" borderId="108" xfId="0" applyFont="1" applyBorder="1" applyAlignment="1">
      <alignment horizontal="left" vertical="center" wrapText="1"/>
    </xf>
    <xf numFmtId="0" fontId="61" fillId="0" borderId="109" xfId="0" applyFont="1" applyBorder="1" applyAlignment="1">
      <alignment horizontal="left" vertical="center" wrapText="1"/>
    </xf>
    <xf numFmtId="0" fontId="128" fillId="25" borderId="39" xfId="0" applyFont="1" applyFill="1" applyBorder="1" applyAlignment="1">
      <alignment horizontal="center" vertical="center"/>
    </xf>
    <xf numFmtId="0" fontId="128" fillId="25" borderId="40" xfId="0" applyFont="1" applyFill="1" applyBorder="1" applyAlignment="1">
      <alignment horizontal="center" vertical="center"/>
    </xf>
    <xf numFmtId="0" fontId="128" fillId="25" borderId="41" xfId="0" applyFont="1" applyFill="1" applyBorder="1" applyAlignment="1">
      <alignment horizontal="center" vertical="center"/>
    </xf>
    <xf numFmtId="0" fontId="129" fillId="0" borderId="39" xfId="0" applyFont="1" applyFill="1" applyBorder="1" applyAlignment="1" applyProtection="1">
      <alignment vertical="center" wrapText="1"/>
      <protection locked="0"/>
    </xf>
    <xf numFmtId="0" fontId="125" fillId="0" borderId="40" xfId="0" applyFont="1" applyFill="1" applyBorder="1" applyAlignment="1" applyProtection="1">
      <alignment vertical="center" wrapText="1"/>
      <protection locked="0"/>
    </xf>
    <xf numFmtId="0" fontId="125" fillId="0" borderId="41" xfId="0" applyFont="1" applyFill="1" applyBorder="1" applyAlignment="1" applyProtection="1">
      <alignment vertical="center" wrapText="1"/>
      <protection locked="0"/>
    </xf>
    <xf numFmtId="0" fontId="129" fillId="0" borderId="39" xfId="0" applyFont="1" applyBorder="1" applyAlignment="1" applyProtection="1">
      <alignment vertical="center" wrapText="1"/>
      <protection locked="0"/>
    </xf>
    <xf numFmtId="0" fontId="125" fillId="0" borderId="40" xfId="0" applyFont="1" applyBorder="1" applyAlignment="1" applyProtection="1">
      <alignment vertical="center" wrapText="1"/>
      <protection locked="0"/>
    </xf>
    <xf numFmtId="0" fontId="125" fillId="0" borderId="41" xfId="0" applyFont="1" applyBorder="1" applyAlignment="1" applyProtection="1">
      <alignment vertical="center" wrapText="1"/>
      <protection locked="0"/>
    </xf>
    <xf numFmtId="164" fontId="85" fillId="0" borderId="39" xfId="0" applyNumberFormat="1" applyFont="1" applyBorder="1" applyAlignment="1">
      <alignment horizontal="justify" vertical="center" wrapText="1"/>
    </xf>
    <xf numFmtId="0" fontId="85" fillId="0" borderId="40" xfId="0" applyFont="1" applyBorder="1" applyAlignment="1">
      <alignment horizontal="justify" vertical="center" wrapText="1"/>
    </xf>
    <xf numFmtId="0" fontId="85" fillId="0" borderId="41" xfId="0" applyFont="1" applyBorder="1" applyAlignment="1">
      <alignment horizontal="justify" vertical="center" wrapText="1"/>
    </xf>
    <xf numFmtId="0" fontId="85" fillId="0" borderId="39" xfId="0" applyFont="1" applyBorder="1" applyAlignment="1">
      <alignment horizontal="justify" vertical="center" wrapText="1"/>
    </xf>
    <xf numFmtId="0" fontId="61" fillId="0" borderId="39" xfId="0" applyFont="1" applyBorder="1" applyAlignment="1">
      <alignment horizontal="justify" vertical="center" wrapText="1"/>
    </xf>
    <xf numFmtId="164" fontId="85" fillId="0" borderId="112" xfId="0" applyNumberFormat="1" applyFont="1" applyBorder="1" applyAlignment="1">
      <alignment horizontal="left" vertical="center" wrapText="1"/>
    </xf>
    <xf numFmtId="0" fontId="85" fillId="0" borderId="113" xfId="0" applyFont="1" applyBorder="1" applyAlignment="1">
      <alignment horizontal="left" vertical="center" wrapText="1"/>
    </xf>
    <xf numFmtId="0" fontId="85" fillId="0" borderId="110" xfId="0" applyFont="1" applyBorder="1" applyAlignment="1">
      <alignment horizontal="left" vertical="center" wrapText="1"/>
    </xf>
    <xf numFmtId="0" fontId="85" fillId="0" borderId="111" xfId="0" applyFont="1" applyBorder="1" applyAlignment="1">
      <alignment horizontal="left" vertical="center" wrapText="1"/>
    </xf>
    <xf numFmtId="0" fontId="85" fillId="0" borderId="108" xfId="0" applyFont="1" applyBorder="1" applyAlignment="1">
      <alignment horizontal="left" vertical="center" wrapText="1"/>
    </xf>
    <xf numFmtId="0" fontId="85" fillId="0" borderId="109" xfId="0" applyFont="1" applyBorder="1" applyAlignment="1">
      <alignment horizontal="left" vertical="center" wrapText="1"/>
    </xf>
    <xf numFmtId="0" fontId="126" fillId="0" borderId="39" xfId="0" applyFont="1" applyBorder="1" applyAlignment="1" applyProtection="1">
      <alignment horizontal="left" vertical="center" wrapText="1"/>
      <protection locked="0"/>
    </xf>
    <xf numFmtId="0" fontId="125" fillId="0" borderId="40" xfId="0" applyFont="1" applyBorder="1" applyAlignment="1" applyProtection="1">
      <alignment horizontal="left" vertical="center" wrapText="1"/>
      <protection locked="0"/>
    </xf>
    <xf numFmtId="0" fontId="125" fillId="0" borderId="41" xfId="0" applyFont="1" applyBorder="1" applyAlignment="1" applyProtection="1">
      <alignment horizontal="left" vertical="center" wrapText="1"/>
      <protection locked="0"/>
    </xf>
    <xf numFmtId="0" fontId="125" fillId="20" borderId="39" xfId="0" applyFont="1" applyFill="1" applyBorder="1" applyAlignment="1">
      <alignment vertical="center" wrapText="1"/>
    </xf>
    <xf numFmtId="0" fontId="125" fillId="20" borderId="40" xfId="0" applyFont="1" applyFill="1" applyBorder="1" applyAlignment="1">
      <alignment vertical="center" wrapText="1"/>
    </xf>
    <xf numFmtId="0" fontId="125" fillId="20" borderId="41" xfId="0" applyFont="1" applyFill="1" applyBorder="1" applyAlignment="1">
      <alignment vertical="center" wrapText="1"/>
    </xf>
    <xf numFmtId="0" fontId="124" fillId="0" borderId="39" xfId="0" applyFont="1" applyBorder="1" applyAlignment="1" applyProtection="1">
      <alignment horizontal="justify" vertical="center" wrapText="1"/>
      <protection locked="0"/>
    </xf>
    <xf numFmtId="0" fontId="115" fillId="0" borderId="111" xfId="0" applyFont="1" applyBorder="1" applyAlignment="1">
      <alignment horizontal="justify" vertical="center" wrapText="1"/>
    </xf>
    <xf numFmtId="0" fontId="115" fillId="0" borderId="108" xfId="0" applyFont="1" applyBorder="1" applyAlignment="1">
      <alignment horizontal="justify" vertical="center" wrapText="1"/>
    </xf>
    <xf numFmtId="0" fontId="115" fillId="0" borderId="109" xfId="0" applyFont="1" applyBorder="1" applyAlignment="1">
      <alignment horizontal="justify" vertical="center" wrapText="1"/>
    </xf>
    <xf numFmtId="0" fontId="124" fillId="20" borderId="39" xfId="0" applyFont="1" applyFill="1" applyBorder="1" applyAlignment="1">
      <alignment horizontal="left" vertical="center" wrapText="1"/>
    </xf>
    <xf numFmtId="0" fontId="124" fillId="20" borderId="40" xfId="0" applyFont="1" applyFill="1" applyBorder="1" applyAlignment="1">
      <alignment horizontal="left" vertical="center" wrapText="1"/>
    </xf>
    <xf numFmtId="0" fontId="124" fillId="20" borderId="41" xfId="0" applyFont="1" applyFill="1" applyBorder="1" applyAlignment="1">
      <alignment horizontal="left" vertical="center" wrapText="1"/>
    </xf>
    <xf numFmtId="0" fontId="85" fillId="0" borderId="40" xfId="0" applyFont="1" applyBorder="1" applyAlignment="1">
      <alignment horizontal="justify" vertical="center"/>
    </xf>
    <xf numFmtId="0" fontId="85" fillId="0" borderId="41" xfId="0" applyFont="1" applyBorder="1" applyAlignment="1">
      <alignment horizontal="justify" vertical="center"/>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9" fontId="85" fillId="0" borderId="39" xfId="61" applyFont="1" applyBorder="1" applyAlignment="1">
      <alignment horizontal="justify" vertical="center" wrapText="1"/>
    </xf>
    <xf numFmtId="9" fontId="85" fillId="0" borderId="40" xfId="61" applyFont="1" applyBorder="1" applyAlignment="1">
      <alignment horizontal="justify" vertical="center" wrapText="1"/>
    </xf>
    <xf numFmtId="9" fontId="85" fillId="0" borderId="41" xfId="61" applyFont="1" applyBorder="1" applyAlignment="1">
      <alignment horizontal="justify"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89" fillId="25" borderId="39" xfId="0" applyFont="1" applyFill="1" applyBorder="1" applyAlignment="1">
      <alignment horizontal="center" wrapText="1"/>
    </xf>
    <xf numFmtId="0" fontId="89" fillId="25" borderId="40" xfId="0" applyFont="1" applyFill="1" applyBorder="1" applyAlignment="1">
      <alignment horizontal="center" wrapText="1"/>
    </xf>
    <xf numFmtId="0" fontId="89" fillId="25" borderId="41" xfId="0" applyFont="1" applyFill="1" applyBorder="1" applyAlignment="1">
      <alignment horizontal="center" wrapText="1"/>
    </xf>
    <xf numFmtId="0" fontId="89" fillId="25" borderId="39" xfId="0" applyFont="1" applyFill="1" applyBorder="1" applyAlignment="1">
      <alignment horizontal="center"/>
    </xf>
    <xf numFmtId="0" fontId="89" fillId="25" borderId="40" xfId="0" applyFont="1" applyFill="1" applyBorder="1" applyAlignment="1">
      <alignment horizontal="center"/>
    </xf>
    <xf numFmtId="0" fontId="89" fillId="25" borderId="41" xfId="0" applyFont="1" applyFill="1" applyBorder="1" applyAlignment="1">
      <alignment horizontal="center"/>
    </xf>
    <xf numFmtId="0" fontId="85" fillId="0" borderId="111" xfId="0" applyFont="1" applyBorder="1" applyAlignment="1">
      <alignment horizontal="justify" vertical="top" wrapText="1"/>
    </xf>
    <xf numFmtId="0" fontId="85" fillId="0" borderId="108" xfId="0" applyFont="1" applyBorder="1" applyAlignment="1">
      <alignment horizontal="justify" vertical="top" wrapText="1"/>
    </xf>
    <xf numFmtId="0" fontId="85" fillId="0" borderId="109" xfId="0" applyFont="1" applyBorder="1" applyAlignment="1">
      <alignment horizontal="justify" vertical="top" wrapText="1"/>
    </xf>
    <xf numFmtId="0" fontId="61" fillId="0" borderId="112" xfId="0" applyFont="1" applyBorder="1" applyAlignment="1">
      <alignment horizontal="justify" vertical="top" wrapText="1"/>
    </xf>
    <xf numFmtId="0" fontId="61" fillId="0" borderId="113" xfId="0" applyFont="1" applyBorder="1" applyAlignment="1">
      <alignment horizontal="justify" vertical="top" wrapText="1"/>
    </xf>
    <xf numFmtId="0" fontId="61" fillId="0" borderId="110" xfId="0" applyFont="1" applyBorder="1" applyAlignment="1">
      <alignment horizontal="justify"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82" fillId="0" borderId="0" xfId="0" applyFont="1" applyAlignment="1">
      <alignment horizontal="center"/>
    </xf>
    <xf numFmtId="0" fontId="127" fillId="25" borderId="39" xfId="0" applyFont="1" applyFill="1" applyBorder="1" applyAlignment="1">
      <alignment horizontal="center" vertical="center" wrapText="1"/>
    </xf>
    <xf numFmtId="0" fontId="127" fillId="25" borderId="40" xfId="0" applyFont="1" applyFill="1" applyBorder="1" applyAlignment="1">
      <alignment horizontal="center" vertical="center"/>
    </xf>
    <xf numFmtId="0" fontId="127" fillId="25" borderId="41" xfId="0" applyFont="1" applyFill="1" applyBorder="1" applyAlignment="1">
      <alignment horizontal="center" vertical="center"/>
    </xf>
    <xf numFmtId="164" fontId="17" fillId="31" borderId="0" xfId="46" applyFont="1" applyFill="1" applyAlignment="1" applyProtection="1">
      <alignment horizontal="center" vertical="center"/>
    </xf>
    <xf numFmtId="0" fontId="83" fillId="23" borderId="39" xfId="0" applyFont="1" applyFill="1" applyBorder="1" applyAlignment="1">
      <alignment horizontal="center"/>
    </xf>
    <xf numFmtId="0" fontId="83" fillId="23" borderId="40" xfId="0" applyFont="1" applyFill="1" applyBorder="1" applyAlignment="1">
      <alignment horizontal="center"/>
    </xf>
    <xf numFmtId="0" fontId="83" fillId="23" borderId="41" xfId="0" applyFont="1" applyFill="1" applyBorder="1" applyAlignment="1">
      <alignment horizontal="center"/>
    </xf>
    <xf numFmtId="0" fontId="83" fillId="22" borderId="39" xfId="0" applyFont="1" applyFill="1" applyBorder="1" applyAlignment="1">
      <alignment horizontal="center"/>
    </xf>
    <xf numFmtId="0" fontId="83" fillId="22" borderId="40" xfId="0" applyFont="1" applyFill="1" applyBorder="1" applyAlignment="1">
      <alignment horizontal="center"/>
    </xf>
    <xf numFmtId="0" fontId="83" fillId="22" borderId="41"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164" fontId="85" fillId="0" borderId="39" xfId="0" applyNumberFormat="1" applyFont="1" applyBorder="1" applyAlignment="1">
      <alignment horizontal="left" vertical="center" wrapText="1"/>
    </xf>
    <xf numFmtId="0" fontId="85" fillId="0" borderId="40" xfId="0" applyFont="1" applyBorder="1" applyAlignment="1">
      <alignment horizontal="left" vertical="center"/>
    </xf>
    <xf numFmtId="0" fontId="85" fillId="0" borderId="41" xfId="0" applyFont="1" applyBorder="1" applyAlignment="1">
      <alignment horizontal="left" vertical="center"/>
    </xf>
    <xf numFmtId="0" fontId="129" fillId="0" borderId="39" xfId="0" applyFont="1" applyFill="1" applyBorder="1" applyAlignment="1" applyProtection="1">
      <alignment horizontal="left" vertical="center" wrapText="1"/>
      <protection locked="0"/>
    </xf>
    <xf numFmtId="0" fontId="129" fillId="0" borderId="40" xfId="0" applyFont="1" applyFill="1" applyBorder="1" applyAlignment="1" applyProtection="1">
      <alignment horizontal="left" vertical="center" wrapText="1"/>
      <protection locked="0"/>
    </xf>
    <xf numFmtId="0" fontId="129" fillId="0" borderId="41" xfId="0" applyFont="1" applyFill="1" applyBorder="1" applyAlignment="1" applyProtection="1">
      <alignment horizontal="left" vertical="center" wrapText="1"/>
      <protection locked="0"/>
    </xf>
    <xf numFmtId="0" fontId="126" fillId="0" borderId="40" xfId="0" applyFont="1" applyBorder="1" applyAlignment="1" applyProtection="1">
      <alignment horizontal="left" vertical="center" wrapText="1"/>
      <protection locked="0"/>
    </xf>
    <xf numFmtId="0" fontId="126" fillId="0" borderId="41" xfId="0" applyFont="1" applyBorder="1" applyAlignment="1" applyProtection="1">
      <alignment horizontal="left" vertical="center" wrapText="1"/>
      <protection locked="0"/>
    </xf>
    <xf numFmtId="0" fontId="0" fillId="0" borderId="113" xfId="0" applyBorder="1" applyAlignment="1">
      <alignment horizontal="center"/>
    </xf>
    <xf numFmtId="0" fontId="85" fillId="0" borderId="40" xfId="0" applyFont="1" applyBorder="1" applyAlignment="1">
      <alignment horizontal="left" vertical="center" wrapText="1"/>
    </xf>
    <xf numFmtId="0" fontId="85" fillId="0" borderId="41" xfId="0" applyFont="1" applyBorder="1" applyAlignment="1">
      <alignment horizontal="left" vertical="center" wrapText="1"/>
    </xf>
    <xf numFmtId="0" fontId="0" fillId="0" borderId="113" xfId="0" applyBorder="1" applyAlignment="1">
      <alignment horizontal="center" wrapText="1"/>
    </xf>
    <xf numFmtId="11" fontId="64" fillId="27" borderId="10" xfId="0" applyNumberFormat="1" applyFont="1" applyFill="1" applyBorder="1" applyAlignment="1" applyProtection="1">
      <alignment horizontal="left" vertical="center" wrapText="1"/>
    </xf>
    <xf numFmtId="168" fontId="64" fillId="27" borderId="10" xfId="0" applyNumberFormat="1" applyFont="1" applyFill="1" applyBorder="1" applyAlignment="1" applyProtection="1">
      <alignment horizontal="center" vertical="center" wrapText="1"/>
    </xf>
    <xf numFmtId="0" fontId="64" fillId="27" borderId="10" xfId="0" applyFont="1" applyFill="1" applyBorder="1" applyAlignment="1" applyProtection="1">
      <alignment horizontal="center" vertical="center" wrapText="1"/>
    </xf>
    <xf numFmtId="173" fontId="64" fillId="0" borderId="10" xfId="0" applyNumberFormat="1" applyFont="1" applyFill="1" applyBorder="1" applyAlignment="1" applyProtection="1">
      <alignment horizontal="left" vertical="center" wrapText="1"/>
    </xf>
    <xf numFmtId="0" fontId="64" fillId="0" borderId="10" xfId="0" applyFont="1" applyFill="1" applyBorder="1" applyAlignment="1" applyProtection="1">
      <alignment horizontal="center" vertical="center" wrapText="1"/>
    </xf>
    <xf numFmtId="173" fontId="64" fillId="35" borderId="10" xfId="0" applyNumberFormat="1" applyFont="1" applyFill="1" applyBorder="1" applyAlignment="1" applyProtection="1">
      <alignment horizontal="left" vertical="center" wrapText="1"/>
      <protection locked="0"/>
    </xf>
    <xf numFmtId="0" fontId="136" fillId="25" borderId="10" xfId="0" applyNumberFormat="1" applyFont="1" applyFill="1" applyBorder="1" applyAlignment="1" applyProtection="1">
      <alignment horizontal="center" vertical="center" wrapText="1"/>
      <protection locked="0"/>
    </xf>
    <xf numFmtId="11" fontId="64" fillId="0" borderId="10" xfId="0" applyNumberFormat="1" applyFont="1" applyFill="1" applyBorder="1" applyAlignment="1" applyProtection="1">
      <alignment horizontal="left" vertical="center" wrapText="1"/>
    </xf>
    <xf numFmtId="168" fontId="64" fillId="0" borderId="10" xfId="0" applyNumberFormat="1" applyFont="1" applyFill="1" applyBorder="1" applyAlignment="1" applyProtection="1">
      <alignment horizontal="center" vertical="center" wrapText="1"/>
    </xf>
    <xf numFmtId="49" fontId="64" fillId="35" borderId="10" xfId="0" applyNumberFormat="1" applyFont="1" applyFill="1" applyBorder="1" applyAlignment="1" applyProtection="1">
      <alignment horizontal="left" vertical="center" wrapText="1"/>
      <protection locked="0"/>
    </xf>
    <xf numFmtId="49" fontId="64" fillId="29" borderId="10" xfId="0" applyNumberFormat="1" applyFont="1" applyFill="1" applyBorder="1" applyAlignment="1" applyProtection="1">
      <alignment horizontal="left" vertical="center" wrapText="1"/>
      <protection locked="0"/>
    </xf>
    <xf numFmtId="0" fontId="136" fillId="29" borderId="10" xfId="0" applyNumberFormat="1" applyFont="1" applyFill="1" applyBorder="1" applyAlignment="1" applyProtection="1">
      <alignment horizontal="center" vertical="center" wrapText="1"/>
      <protection locked="0"/>
    </xf>
    <xf numFmtId="49" fontId="136" fillId="29" borderId="10" xfId="0" applyNumberFormat="1" applyFont="1" applyFill="1" applyBorder="1" applyAlignment="1" applyProtection="1">
      <alignment horizontal="center" vertical="center" wrapText="1"/>
      <protection locked="0"/>
    </xf>
    <xf numFmtId="11" fontId="64" fillId="35" borderId="10" xfId="0" applyNumberFormat="1" applyFont="1" applyFill="1" applyBorder="1" applyAlignment="1" applyProtection="1">
      <alignment horizontal="left" vertical="center" wrapText="1"/>
      <protection locked="0"/>
    </xf>
    <xf numFmtId="168" fontId="136" fillId="25" borderId="10" xfId="0" applyNumberFormat="1" applyFont="1" applyFill="1" applyBorder="1" applyAlignment="1" applyProtection="1">
      <alignment horizontal="center" vertical="center" wrapText="1"/>
      <protection locked="0"/>
    </xf>
    <xf numFmtId="49" fontId="136" fillId="25" borderId="10" xfId="0" applyNumberFormat="1" applyFont="1" applyFill="1" applyBorder="1" applyAlignment="1" applyProtection="1">
      <alignment horizontal="center" vertical="center" wrapText="1"/>
      <protection locked="0"/>
    </xf>
    <xf numFmtId="11" fontId="64" fillId="29" borderId="10" xfId="0" applyNumberFormat="1" applyFont="1" applyFill="1" applyBorder="1" applyAlignment="1" applyProtection="1">
      <alignment horizontal="left" vertical="center" wrapText="1"/>
      <protection locked="0"/>
    </xf>
    <xf numFmtId="11" fontId="64" fillId="28" borderId="10" xfId="0" applyNumberFormat="1" applyFont="1" applyFill="1" applyBorder="1" applyAlignment="1" applyProtection="1">
      <alignment horizontal="left" vertical="center" wrapText="1"/>
      <protection locked="0"/>
    </xf>
    <xf numFmtId="0" fontId="0" fillId="19" borderId="0" xfId="0" applyFill="1" applyBorder="1" applyAlignment="1" applyProtection="1">
      <alignment horizontal="center" vertical="center" textRotation="90"/>
    </xf>
    <xf numFmtId="9" fontId="33" fillId="0" borderId="128" xfId="61" applyFont="1" applyFill="1" applyBorder="1" applyAlignment="1" applyProtection="1">
      <alignment horizontal="center" vertical="center"/>
    </xf>
    <xf numFmtId="9" fontId="33" fillId="0" borderId="129" xfId="61" applyFont="1" applyFill="1" applyBorder="1" applyAlignment="1" applyProtection="1">
      <alignment horizontal="center" vertical="center"/>
    </xf>
    <xf numFmtId="9" fontId="33" fillId="0" borderId="130" xfId="61" applyFont="1" applyFill="1" applyBorder="1" applyAlignment="1" applyProtection="1">
      <alignment horizontal="center" vertical="center"/>
    </xf>
    <xf numFmtId="49" fontId="1" fillId="0" borderId="39" xfId="0" applyNumberFormat="1" applyFont="1" applyBorder="1" applyAlignment="1" applyProtection="1">
      <alignment horizontal="center" wrapText="1"/>
      <protection locked="0"/>
    </xf>
    <xf numFmtId="49" fontId="1" fillId="0" borderId="40" xfId="0" applyNumberFormat="1" applyFont="1" applyBorder="1" applyAlignment="1" applyProtection="1">
      <alignment horizontal="center" wrapText="1"/>
      <protection locked="0"/>
    </xf>
    <xf numFmtId="49" fontId="1" fillId="0" borderId="41" xfId="0" applyNumberFormat="1" applyFont="1" applyBorder="1" applyAlignment="1" applyProtection="1">
      <alignment horizontal="center" wrapText="1"/>
      <protection locked="0"/>
    </xf>
    <xf numFmtId="49" fontId="0" fillId="0" borderId="39" xfId="0" applyNumberFormat="1" applyBorder="1" applyAlignment="1" applyProtection="1">
      <alignment horizontal="center" wrapText="1"/>
      <protection locked="0"/>
    </xf>
    <xf numFmtId="49" fontId="0" fillId="0" borderId="40" xfId="0" applyNumberFormat="1" applyBorder="1" applyAlignment="1" applyProtection="1">
      <alignment horizontal="center" wrapText="1"/>
      <protection locked="0"/>
    </xf>
    <xf numFmtId="49" fontId="0" fillId="0" borderId="41" xfId="0" applyNumberFormat="1" applyBorder="1" applyAlignment="1" applyProtection="1">
      <alignment horizontal="center" wrapText="1"/>
      <protection locked="0"/>
    </xf>
    <xf numFmtId="49" fontId="0" fillId="0" borderId="39" xfId="0" applyNumberFormat="1" applyBorder="1" applyAlignment="1" applyProtection="1">
      <alignment horizontal="left" wrapText="1"/>
      <protection locked="0"/>
    </xf>
    <xf numFmtId="49" fontId="0" fillId="0" borderId="40" xfId="0" applyNumberFormat="1" applyBorder="1" applyAlignment="1" applyProtection="1">
      <alignment horizontal="left" wrapText="1"/>
      <protection locked="0"/>
    </xf>
    <xf numFmtId="49" fontId="0" fillId="0" borderId="41" xfId="0" applyNumberFormat="1" applyBorder="1" applyAlignment="1" applyProtection="1">
      <alignment horizontal="left" wrapText="1"/>
      <protection locked="0"/>
    </xf>
    <xf numFmtId="11" fontId="64" fillId="33" borderId="10" xfId="0" applyNumberFormat="1" applyFont="1" applyFill="1" applyBorder="1" applyAlignment="1" applyProtection="1">
      <alignment horizontal="left" vertical="center" wrapText="1"/>
      <protection locked="0"/>
    </xf>
    <xf numFmtId="0" fontId="0" fillId="34" borderId="131" xfId="0" applyFill="1" applyBorder="1" applyAlignment="1" applyProtection="1">
      <alignment horizontal="center"/>
    </xf>
    <xf numFmtId="0" fontId="0" fillId="0" borderId="132" xfId="0" applyBorder="1" applyAlignment="1">
      <alignment horizontal="center"/>
    </xf>
    <xf numFmtId="0" fontId="0" fillId="0" borderId="133" xfId="0" applyBorder="1" applyAlignment="1">
      <alignment horizontal="center"/>
    </xf>
    <xf numFmtId="164" fontId="100" fillId="31" borderId="0" xfId="38" applyFont="1" applyFill="1" applyAlignment="1" applyProtection="1">
      <alignment horizontal="center" vertical="center"/>
    </xf>
    <xf numFmtId="164" fontId="24" fillId="22" borderId="37" xfId="56" applyFont="1" applyFill="1" applyBorder="1" applyAlignment="1" applyProtection="1">
      <alignment horizontal="center"/>
    </xf>
    <xf numFmtId="164" fontId="33" fillId="22" borderId="0" xfId="49" applyFont="1" applyFill="1" applyAlignment="1" applyProtection="1">
      <alignment horizontal="center" vertical="center" wrapText="1"/>
    </xf>
    <xf numFmtId="172" fontId="24" fillId="22" borderId="37" xfId="56" applyNumberFormat="1" applyFont="1" applyFill="1" applyBorder="1" applyAlignment="1" applyProtection="1">
      <alignment horizontal="center" vertical="center"/>
    </xf>
    <xf numFmtId="164" fontId="1" fillId="0" borderId="37" xfId="56" applyFont="1" applyBorder="1" applyAlignment="1" applyProtection="1">
      <alignment horizontal="right"/>
    </xf>
    <xf numFmtId="164" fontId="1" fillId="0" borderId="37" xfId="56" applyFont="1" applyFill="1" applyBorder="1" applyAlignment="1" applyProtection="1">
      <alignment horizontal="right"/>
    </xf>
    <xf numFmtId="164" fontId="20" fillId="0" borderId="0" xfId="49" applyFont="1" applyFill="1" applyAlignment="1" applyProtection="1">
      <alignment horizontal="right" vertical="center"/>
    </xf>
    <xf numFmtId="164" fontId="24" fillId="22" borderId="0" xfId="49" applyFont="1" applyFill="1" applyAlignment="1" applyProtection="1">
      <alignment horizontal="center" vertical="center" wrapText="1"/>
    </xf>
    <xf numFmtId="164" fontId="110" fillId="30"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0" fontId="0" fillId="0" borderId="37" xfId="0" applyBorder="1" applyAlignment="1"/>
    <xf numFmtId="164" fontId="59" fillId="31" borderId="0" xfId="38" applyFont="1" applyFill="1" applyAlignment="1" applyProtection="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0" borderId="0" xfId="56" applyFont="1" applyFill="1" applyBorder="1" applyAlignment="1" applyProtection="1">
      <alignment horizontal="center"/>
    </xf>
    <xf numFmtId="0" fontId="105" fillId="0" borderId="0" xfId="0" applyFont="1" applyAlignment="1" applyProtection="1">
      <alignment horizontal="center"/>
    </xf>
    <xf numFmtId="0" fontId="111" fillId="0" borderId="134" xfId="0" applyFont="1" applyFill="1" applyBorder="1" applyAlignment="1" applyProtection="1">
      <alignment horizontal="left" wrapText="1"/>
    </xf>
    <xf numFmtId="0" fontId="111" fillId="0" borderId="85" xfId="0" applyFont="1" applyFill="1" applyBorder="1" applyAlignment="1" applyProtection="1">
      <alignment horizontal="left" wrapText="1"/>
    </xf>
    <xf numFmtId="164" fontId="37" fillId="0" borderId="0" xfId="0" applyNumberFormat="1" applyFont="1" applyBorder="1" applyAlignment="1" applyProtection="1">
      <alignment horizontal="center" vertical="center" wrapText="1"/>
    </xf>
    <xf numFmtId="0" fontId="111" fillId="0" borderId="135" xfId="0" applyFont="1" applyFill="1" applyBorder="1" applyAlignment="1" applyProtection="1">
      <alignment horizontal="left" wrapText="1"/>
    </xf>
    <xf numFmtId="0" fontId="111" fillId="0" borderId="136" xfId="0" applyFont="1" applyFill="1" applyBorder="1" applyAlignment="1" applyProtection="1">
      <alignment horizontal="left" wrapText="1"/>
    </xf>
    <xf numFmtId="164" fontId="37" fillId="0" borderId="0" xfId="0" applyNumberFormat="1" applyFont="1" applyAlignment="1" applyProtection="1">
      <alignment horizontal="center" vertical="center" wrapText="1"/>
    </xf>
    <xf numFmtId="0" fontId="30" fillId="25" borderId="39" xfId="0" applyFont="1" applyFill="1"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41" xfId="0" applyBorder="1" applyAlignment="1" applyProtection="1">
      <alignment horizontal="left" wrapText="1"/>
      <protection locked="0"/>
    </xf>
    <xf numFmtId="172" fontId="34" fillId="25" borderId="39" xfId="0" applyNumberFormat="1" applyFont="1" applyFill="1" applyBorder="1" applyAlignment="1" applyProtection="1">
      <alignment horizontal="justify" vertical="center" wrapText="1"/>
      <protection locked="0"/>
    </xf>
    <xf numFmtId="172" fontId="34" fillId="25" borderId="40" xfId="0" applyNumberFormat="1" applyFont="1" applyFill="1" applyBorder="1" applyAlignment="1" applyProtection="1">
      <alignment horizontal="justify" vertical="center" wrapText="1"/>
      <protection locked="0"/>
    </xf>
    <xf numFmtId="172" fontId="34" fillId="25" borderId="41" xfId="0" applyNumberFormat="1" applyFont="1" applyFill="1" applyBorder="1" applyAlignment="1" applyProtection="1">
      <alignment horizontal="justify" vertical="center" wrapText="1"/>
      <protection locked="0"/>
    </xf>
    <xf numFmtId="0" fontId="34" fillId="25" borderId="39" xfId="0" applyFont="1" applyFill="1" applyBorder="1" applyAlignment="1" applyProtection="1">
      <alignment horizontal="left" wrapText="1"/>
      <protection locked="0"/>
    </xf>
    <xf numFmtId="0" fontId="0" fillId="0" borderId="40" xfId="0" applyBorder="1"/>
    <xf numFmtId="0" fontId="0" fillId="0" borderId="41" xfId="0" applyBorder="1"/>
    <xf numFmtId="164" fontId="104" fillId="0" borderId="131" xfId="0" applyNumberFormat="1" applyFont="1" applyBorder="1" applyAlignment="1" applyProtection="1">
      <alignment horizontal="center" vertical="center" wrapText="1"/>
    </xf>
    <xf numFmtId="164" fontId="104" fillId="0" borderId="132" xfId="0" applyNumberFormat="1" applyFont="1" applyBorder="1" applyAlignment="1" applyProtection="1">
      <alignment horizontal="center" vertical="center" wrapText="1"/>
    </xf>
    <xf numFmtId="164" fontId="104" fillId="0" borderId="133" xfId="0" applyNumberFormat="1" applyFont="1" applyBorder="1" applyAlignment="1" applyProtection="1">
      <alignment horizontal="center" vertical="center" wrapText="1"/>
    </xf>
    <xf numFmtId="0" fontId="0" fillId="0" borderId="137" xfId="0" applyBorder="1" applyAlignment="1" applyProtection="1">
      <alignment horizontal="center"/>
    </xf>
    <xf numFmtId="0" fontId="0" fillId="0" borderId="57" xfId="0" applyBorder="1" applyAlignment="1" applyProtection="1">
      <alignment horizontal="center"/>
    </xf>
    <xf numFmtId="164" fontId="35" fillId="0" borderId="0" xfId="0" applyNumberFormat="1" applyFont="1" applyAlignment="1">
      <alignment horizontal="center" vertical="center" wrapText="1"/>
    </xf>
    <xf numFmtId="164" fontId="59" fillId="31" borderId="0" xfId="47" applyFont="1" applyFill="1" applyAlignment="1">
      <alignment horizontal="center" vertical="center"/>
    </xf>
    <xf numFmtId="0" fontId="105" fillId="0" borderId="0" xfId="0" applyFont="1" applyAlignment="1">
      <alignment horizontal="center"/>
    </xf>
    <xf numFmtId="164" fontId="14" fillId="0" borderId="0" xfId="0" applyNumberFormat="1" applyFont="1" applyAlignment="1">
      <alignment horizontal="center"/>
    </xf>
    <xf numFmtId="164" fontId="28" fillId="0" borderId="0" xfId="0" applyNumberFormat="1" applyFont="1" applyAlignment="1">
      <alignment horizontal="right"/>
    </xf>
    <xf numFmtId="15" fontId="28" fillId="0" borderId="0" xfId="0" applyNumberFormat="1" applyFont="1" applyAlignment="1">
      <alignment horizontal="right"/>
    </xf>
    <xf numFmtId="0" fontId="81" fillId="0" borderId="0" xfId="0" applyFont="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164" fontId="28" fillId="0" borderId="0" xfId="0" applyNumberFormat="1" applyFont="1" applyAlignment="1">
      <alignment horizontal="left"/>
    </xf>
    <xf numFmtId="0" fontId="0" fillId="0" borderId="125" xfId="0" applyFill="1" applyBorder="1" applyAlignment="1" applyProtection="1">
      <alignment horizontal="center" vertical="center"/>
    </xf>
    <xf numFmtId="0" fontId="0" fillId="0" borderId="126" xfId="0" applyFill="1" applyBorder="1" applyAlignment="1" applyProtection="1">
      <alignment horizontal="center" vertical="center"/>
    </xf>
    <xf numFmtId="0" fontId="0" fillId="0" borderId="127" xfId="0" applyFill="1" applyBorder="1" applyAlignment="1" applyProtection="1">
      <alignment horizontal="center" vertical="center"/>
    </xf>
    <xf numFmtId="0" fontId="14" fillId="0" borderId="0" xfId="0" applyFont="1" applyBorder="1" applyAlignment="1">
      <alignment horizontal="center"/>
    </xf>
    <xf numFmtId="172" fontId="0" fillId="0" borderId="40" xfId="0" applyNumberFormat="1" applyBorder="1" applyAlignment="1">
      <alignment horizontal="justify" vertical="center" wrapText="1"/>
    </xf>
    <xf numFmtId="172" fontId="0" fillId="0" borderId="41" xfId="0" applyNumberFormat="1" applyBorder="1" applyAlignment="1">
      <alignment horizontal="justify" vertical="center" wrapText="1"/>
    </xf>
    <xf numFmtId="11" fontId="137" fillId="0" borderId="10" xfId="0" applyNumberFormat="1" applyFont="1" applyBorder="1" applyAlignment="1" applyProtection="1">
      <alignment vertical="center" wrapText="1"/>
    </xf>
    <xf numFmtId="0" fontId="137" fillId="0" borderId="10" xfId="0" applyFont="1" applyBorder="1" applyAlignment="1" applyProtection="1">
      <alignment vertical="center" wrapText="1"/>
    </xf>
    <xf numFmtId="9" fontId="28" fillId="0" borderId="10" xfId="61" applyFont="1" applyBorder="1" applyAlignment="1" applyProtection="1">
      <alignment horizontal="center" vertical="center" wrapText="1"/>
    </xf>
    <xf numFmtId="9" fontId="138" fillId="25" borderId="10" xfId="61" applyFont="1" applyFill="1" applyBorder="1" applyAlignment="1" applyProtection="1">
      <alignment vertical="center" wrapText="1"/>
      <protection locked="0"/>
    </xf>
    <xf numFmtId="9" fontId="34" fillId="25" borderId="10" xfId="61" applyFont="1" applyFill="1" applyBorder="1" applyAlignment="1" applyProtection="1">
      <alignment vertical="center" wrapText="1"/>
      <protection locked="0"/>
    </xf>
    <xf numFmtId="9" fontId="138" fillId="25" borderId="10" xfId="61" applyFont="1" applyFill="1" applyBorder="1" applyAlignment="1" applyProtection="1">
      <alignment horizontal="left" vertical="center" wrapText="1"/>
      <protection locked="0"/>
    </xf>
    <xf numFmtId="9" fontId="34" fillId="25" borderId="10" xfId="61" applyFont="1" applyFill="1" applyBorder="1" applyAlignment="1" applyProtection="1">
      <alignment horizontal="left" vertical="center" wrapText="1"/>
      <protection locked="0"/>
    </xf>
    <xf numFmtId="49" fontId="137" fillId="0" borderId="10" xfId="0" applyNumberFormat="1" applyFont="1" applyBorder="1" applyAlignment="1" applyProtection="1">
      <alignment vertical="center" wrapText="1"/>
    </xf>
    <xf numFmtId="9" fontId="34" fillId="25" borderId="39" xfId="0" applyNumberFormat="1" applyFont="1" applyFill="1" applyBorder="1" applyAlignment="1" applyProtection="1">
      <alignment horizontal="justify" vertical="top" wrapText="1"/>
      <protection locked="0"/>
    </xf>
    <xf numFmtId="0" fontId="34" fillId="25" borderId="40" xfId="0" applyFont="1" applyFill="1" applyBorder="1" applyAlignment="1" applyProtection="1">
      <alignment horizontal="justify" vertical="top" wrapText="1"/>
      <protection locked="0"/>
    </xf>
    <xf numFmtId="0" fontId="34" fillId="25" borderId="41" xfId="0" applyFont="1" applyFill="1" applyBorder="1" applyAlignment="1" applyProtection="1">
      <alignment horizontal="justify" vertical="top" wrapText="1"/>
      <protection locked="0"/>
    </xf>
    <xf numFmtId="0" fontId="0" fillId="0" borderId="40" xfId="0" applyBorder="1" applyAlignment="1">
      <alignment horizontal="justify" vertical="top" wrapText="1"/>
    </xf>
    <xf numFmtId="0" fontId="0" fillId="0" borderId="41" xfId="0" applyBorder="1" applyAlignment="1">
      <alignment horizontal="justify" vertical="top" wrapText="1"/>
    </xf>
    <xf numFmtId="0" fontId="34" fillId="0" borderId="39" xfId="0" applyFont="1" applyBorder="1" applyAlignment="1" applyProtection="1">
      <alignment horizontal="center" vertical="center"/>
    </xf>
    <xf numFmtId="0" fontId="34" fillId="0" borderId="40" xfId="0" applyFont="1" applyBorder="1" applyAlignment="1" applyProtection="1">
      <alignment horizontal="center" vertical="center"/>
    </xf>
    <xf numFmtId="0" fontId="34" fillId="0" borderId="41" xfId="0" applyFont="1" applyBorder="1" applyAlignment="1" applyProtection="1">
      <alignment horizontal="center" vertical="center"/>
    </xf>
    <xf numFmtId="0" fontId="33" fillId="0" borderId="108" xfId="0" applyFont="1" applyBorder="1" applyAlignment="1" applyProtection="1">
      <alignment horizontal="center"/>
    </xf>
    <xf numFmtId="9" fontId="37" fillId="36" borderId="39" xfId="61" applyFont="1" applyFill="1" applyBorder="1" applyAlignment="1" applyProtection="1">
      <alignment horizontal="center" vertical="center" wrapText="1"/>
    </xf>
    <xf numFmtId="9" fontId="37" fillId="36" borderId="41" xfId="61" applyFont="1" applyFill="1" applyBorder="1" applyAlignment="1" applyProtection="1">
      <alignment horizontal="center" vertical="center" wrapText="1"/>
    </xf>
    <xf numFmtId="0" fontId="34" fillId="0" borderId="10" xfId="0" applyFont="1" applyBorder="1" applyAlignment="1" applyProtection="1">
      <alignment horizontal="center" vertical="center" wrapText="1"/>
    </xf>
    <xf numFmtId="9" fontId="34" fillId="25" borderId="39" xfId="0" applyNumberFormat="1" applyFont="1" applyFill="1" applyBorder="1" applyAlignment="1" applyProtection="1">
      <alignment horizontal="left" vertical="top" wrapText="1"/>
      <protection locked="0"/>
    </xf>
    <xf numFmtId="0" fontId="0" fillId="0" borderId="40" xfId="0" applyBorder="1" applyAlignment="1">
      <alignment horizontal="left" vertical="top" wrapText="1"/>
    </xf>
    <xf numFmtId="0" fontId="0" fillId="0" borderId="41" xfId="0" applyBorder="1" applyAlignment="1">
      <alignment horizontal="left" vertical="top" wrapText="1"/>
    </xf>
    <xf numFmtId="9" fontId="37" fillId="34" borderId="39" xfId="61" applyFont="1" applyFill="1" applyBorder="1" applyAlignment="1" applyProtection="1">
      <alignment horizontal="center" vertical="center" wrapText="1"/>
    </xf>
    <xf numFmtId="9" fontId="37" fillId="34" borderId="41" xfId="61" applyFont="1" applyFill="1" applyBorder="1" applyAlignment="1" applyProtection="1">
      <alignment horizontal="center" vertical="center" wrapText="1"/>
    </xf>
    <xf numFmtId="164" fontId="59" fillId="31" borderId="0" xfId="47" applyFont="1" applyFill="1" applyAlignment="1" applyProtection="1">
      <alignment horizontal="center" vertical="center"/>
    </xf>
    <xf numFmtId="164" fontId="14" fillId="0" borderId="0" xfId="0" applyNumberFormat="1" applyFont="1" applyAlignment="1" applyProtection="1">
      <alignment horizontal="justify" wrapText="1"/>
    </xf>
    <xf numFmtId="0" fontId="131" fillId="0" borderId="113" xfId="0" applyFont="1" applyBorder="1" applyAlignment="1" applyProtection="1">
      <alignment horizontal="left" vertical="top" wrapText="1"/>
    </xf>
    <xf numFmtId="164" fontId="105"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0" borderId="0" xfId="57" applyFont="1" applyFill="1" applyBorder="1" applyAlignment="1" applyProtection="1">
      <alignment horizontal="center"/>
    </xf>
    <xf numFmtId="11" fontId="131" fillId="0" borderId="113" xfId="0" applyNumberFormat="1" applyFont="1" applyBorder="1" applyAlignment="1" applyProtection="1">
      <alignment horizontal="justify" vertical="top" wrapText="1"/>
    </xf>
    <xf numFmtId="0" fontId="131" fillId="0" borderId="113" xfId="0" applyFont="1" applyBorder="1" applyAlignment="1" applyProtection="1">
      <alignment horizontal="justify" vertical="top"/>
    </xf>
    <xf numFmtId="0" fontId="2" fillId="25" borderId="138" xfId="0" applyFont="1" applyFill="1" applyBorder="1" applyAlignment="1" applyProtection="1">
      <alignment horizontal="center" vertical="top" wrapText="1"/>
      <protection locked="0"/>
    </xf>
    <xf numFmtId="0" fontId="2" fillId="25" borderId="139" xfId="0" applyFont="1" applyFill="1" applyBorder="1" applyAlignment="1" applyProtection="1">
      <alignment horizontal="center" vertical="top" wrapText="1"/>
      <protection locked="0"/>
    </xf>
    <xf numFmtId="0" fontId="2" fillId="25" borderId="140" xfId="0" applyFont="1" applyFill="1" applyBorder="1" applyAlignment="1" applyProtection="1">
      <alignment horizontal="center" vertical="top" wrapText="1"/>
      <protection locked="0"/>
    </xf>
    <xf numFmtId="0" fontId="2" fillId="25" borderId="141" xfId="0" applyFont="1" applyFill="1" applyBorder="1" applyAlignment="1" applyProtection="1">
      <alignment horizontal="center" vertical="top" wrapText="1"/>
      <protection locked="0"/>
    </xf>
    <xf numFmtId="0" fontId="2" fillId="25" borderId="142" xfId="0" applyFont="1" applyFill="1" applyBorder="1" applyAlignment="1" applyProtection="1">
      <alignment horizontal="center" vertical="top" wrapText="1"/>
      <protection locked="0"/>
    </xf>
    <xf numFmtId="0" fontId="2" fillId="25" borderId="143" xfId="0" applyFont="1" applyFill="1" applyBorder="1" applyAlignment="1" applyProtection="1">
      <alignment horizontal="center" vertical="top" wrapText="1"/>
      <protection locked="0"/>
    </xf>
    <xf numFmtId="9" fontId="2" fillId="0" borderId="144" xfId="61" applyNumberFormat="1" applyFont="1" applyFill="1" applyBorder="1" applyAlignment="1" applyProtection="1">
      <alignment horizontal="left" vertical="center" wrapText="1"/>
    </xf>
    <xf numFmtId="0" fontId="2" fillId="0" borderId="145" xfId="61" applyNumberFormat="1" applyFont="1" applyFill="1" applyBorder="1" applyAlignment="1" applyProtection="1">
      <alignment horizontal="left" vertical="center" wrapText="1"/>
    </xf>
    <xf numFmtId="0" fontId="2" fillId="0" borderId="146" xfId="61" applyNumberFormat="1" applyFont="1" applyFill="1" applyBorder="1" applyAlignment="1" applyProtection="1">
      <alignment horizontal="left" vertical="center" wrapText="1"/>
    </xf>
    <xf numFmtId="0" fontId="76" fillId="0" borderId="159" xfId="0" applyNumberFormat="1" applyFont="1" applyFill="1" applyBorder="1" applyAlignment="1" applyProtection="1">
      <alignment horizontal="left" vertical="top" wrapText="1"/>
    </xf>
    <xf numFmtId="0" fontId="76" fillId="0" borderId="165" xfId="0" applyNumberFormat="1" applyFont="1" applyFill="1" applyBorder="1" applyAlignment="1" applyProtection="1">
      <alignment horizontal="left" vertical="top" wrapText="1"/>
    </xf>
    <xf numFmtId="0" fontId="74" fillId="0" borderId="0" xfId="0" applyFont="1" applyFill="1" applyBorder="1" applyAlignment="1" applyProtection="1">
      <alignment horizontal="center"/>
    </xf>
    <xf numFmtId="0" fontId="74" fillId="0" borderId="166" xfId="0" applyFont="1" applyFill="1" applyBorder="1" applyAlignment="1" applyProtection="1">
      <alignment horizontal="center"/>
    </xf>
    <xf numFmtId="0" fontId="2" fillId="0" borderId="144" xfId="61" applyNumberFormat="1" applyFont="1" applyFill="1" applyBorder="1" applyAlignment="1" applyProtection="1">
      <alignment horizontal="left" vertical="center" wrapText="1"/>
    </xf>
    <xf numFmtId="0" fontId="2" fillId="25" borderId="167" xfId="0" applyFont="1" applyFill="1" applyBorder="1" applyAlignment="1" applyProtection="1">
      <alignment horizontal="center" vertical="top" wrapText="1"/>
      <protection locked="0"/>
    </xf>
    <xf numFmtId="0" fontId="2" fillId="25" borderId="168" xfId="0" applyFont="1" applyFill="1" applyBorder="1" applyAlignment="1" applyProtection="1">
      <alignment horizontal="center" vertical="top" wrapText="1"/>
      <protection locked="0"/>
    </xf>
    <xf numFmtId="0" fontId="2" fillId="25" borderId="169" xfId="0" applyFont="1" applyFill="1" applyBorder="1" applyAlignment="1" applyProtection="1">
      <alignment horizontal="center" vertical="top" wrapText="1"/>
      <protection locked="0"/>
    </xf>
    <xf numFmtId="0" fontId="76" fillId="0" borderId="147" xfId="0" applyNumberFormat="1" applyFont="1" applyFill="1" applyBorder="1" applyAlignment="1" applyProtection="1">
      <alignment horizontal="left" vertical="center" wrapText="1"/>
    </xf>
    <xf numFmtId="0" fontId="76" fillId="0" borderId="148" xfId="0" applyNumberFormat="1" applyFont="1" applyFill="1" applyBorder="1" applyAlignment="1" applyProtection="1">
      <alignment horizontal="left" vertical="center" wrapText="1"/>
    </xf>
    <xf numFmtId="0" fontId="76" fillId="0" borderId="149" xfId="0" applyNumberFormat="1" applyFont="1" applyFill="1" applyBorder="1" applyAlignment="1" applyProtection="1">
      <alignment horizontal="left" vertical="center" wrapText="1"/>
    </xf>
    <xf numFmtId="0" fontId="58" fillId="25" borderId="150" xfId="0" applyFont="1" applyFill="1" applyBorder="1" applyAlignment="1" applyProtection="1">
      <alignment horizontal="center" vertical="center"/>
    </xf>
    <xf numFmtId="0" fontId="58" fillId="25" borderId="151" xfId="0" applyFont="1" applyFill="1" applyBorder="1" applyAlignment="1" applyProtection="1">
      <alignment horizontal="center" vertical="center"/>
    </xf>
    <xf numFmtId="0" fontId="58" fillId="25" borderId="152" xfId="0" applyFont="1" applyFill="1" applyBorder="1" applyAlignment="1" applyProtection="1">
      <alignment horizontal="center" vertical="center"/>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2" fillId="22" borderId="155" xfId="0" applyFont="1" applyFill="1" applyBorder="1" applyAlignment="1" applyProtection="1">
      <alignment horizontal="center" vertical="top" wrapText="1"/>
      <protection locked="0"/>
    </xf>
    <xf numFmtId="0" fontId="75" fillId="19" borderId="12" xfId="0" applyFont="1" applyFill="1" applyBorder="1" applyAlignment="1" applyProtection="1">
      <alignment horizontal="center" vertical="center"/>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76" fillId="0" borderId="160" xfId="0" applyNumberFormat="1" applyFont="1" applyFill="1" applyBorder="1" applyAlignment="1" applyProtection="1">
      <alignment horizontal="left" vertical="top" wrapText="1"/>
    </xf>
    <xf numFmtId="0" fontId="76" fillId="0" borderId="161" xfId="0" applyNumberFormat="1" applyFont="1" applyFill="1" applyBorder="1" applyAlignment="1" applyProtection="1">
      <alignment horizontal="left" vertical="top" wrapText="1"/>
    </xf>
    <xf numFmtId="0" fontId="76" fillId="0" borderId="162" xfId="0" applyNumberFormat="1" applyFont="1" applyFill="1" applyBorder="1" applyAlignment="1" applyProtection="1">
      <alignment horizontal="left" vertical="top" wrapText="1"/>
    </xf>
    <xf numFmtId="0" fontId="76" fillId="0" borderId="163" xfId="0" applyNumberFormat="1" applyFont="1" applyFill="1" applyBorder="1" applyAlignment="1" applyProtection="1">
      <alignment horizontal="left" vertical="top" wrapText="1"/>
    </xf>
    <xf numFmtId="0" fontId="76" fillId="0" borderId="164" xfId="0" applyNumberFormat="1" applyFont="1" applyFill="1" applyBorder="1" applyAlignment="1" applyProtection="1">
      <alignment horizontal="left" vertical="top" wrapText="1"/>
    </xf>
    <xf numFmtId="0" fontId="76" fillId="0" borderId="174" xfId="0" applyNumberFormat="1" applyFont="1" applyFill="1" applyBorder="1" applyAlignment="1" applyProtection="1">
      <alignment horizontal="left" vertical="top" wrapText="1"/>
    </xf>
    <xf numFmtId="0" fontId="76" fillId="0" borderId="175" xfId="0" applyNumberFormat="1" applyFont="1" applyFill="1" applyBorder="1" applyAlignment="1" applyProtection="1">
      <alignment horizontal="left" vertical="top" wrapText="1"/>
    </xf>
    <xf numFmtId="49" fontId="2" fillId="23" borderId="170" xfId="0" applyNumberFormat="1" applyFont="1" applyFill="1" applyBorder="1" applyAlignment="1" applyProtection="1">
      <alignment horizontal="center" vertical="center"/>
      <protection locked="0"/>
    </xf>
    <xf numFmtId="49" fontId="2" fillId="23" borderId="145" xfId="0" applyNumberFormat="1" applyFont="1" applyFill="1" applyBorder="1" applyAlignment="1" applyProtection="1">
      <alignment horizontal="center" vertical="center"/>
      <protection locked="0"/>
    </xf>
    <xf numFmtId="49" fontId="2" fillId="23" borderId="171" xfId="0" applyNumberFormat="1" applyFont="1" applyFill="1" applyBorder="1" applyAlignment="1" applyProtection="1">
      <alignment horizontal="center" vertical="center"/>
      <protection locked="0"/>
    </xf>
    <xf numFmtId="49" fontId="2" fillId="23" borderId="180" xfId="0" applyNumberFormat="1" applyFont="1" applyFill="1" applyBorder="1" applyAlignment="1" applyProtection="1">
      <alignment horizontal="center" vertical="center"/>
      <protection locked="0"/>
    </xf>
    <xf numFmtId="49" fontId="2" fillId="23" borderId="181" xfId="0" applyNumberFormat="1" applyFont="1" applyFill="1" applyBorder="1" applyAlignment="1" applyProtection="1">
      <alignment horizontal="center" vertical="center"/>
      <protection locked="0"/>
    </xf>
    <xf numFmtId="49" fontId="2" fillId="23" borderId="182" xfId="0" applyNumberFormat="1" applyFont="1" applyFill="1" applyBorder="1" applyAlignment="1" applyProtection="1">
      <alignment horizontal="center" vertical="center"/>
      <protection locked="0"/>
    </xf>
    <xf numFmtId="49" fontId="2" fillId="23" borderId="172" xfId="0" applyNumberFormat="1" applyFont="1" applyFill="1" applyBorder="1" applyAlignment="1" applyProtection="1">
      <alignment horizontal="center" vertical="center"/>
      <protection locked="0"/>
    </xf>
    <xf numFmtId="49" fontId="2" fillId="23" borderId="14" xfId="0" applyNumberFormat="1" applyFont="1" applyFill="1" applyBorder="1" applyAlignment="1" applyProtection="1">
      <alignment horizontal="center" vertical="center"/>
      <protection locked="0"/>
    </xf>
    <xf numFmtId="49" fontId="2" fillId="23" borderId="173" xfId="0" applyNumberFormat="1" applyFont="1" applyFill="1" applyBorder="1" applyAlignment="1" applyProtection="1">
      <alignment horizontal="center" vertical="center"/>
      <protection locked="0"/>
    </xf>
    <xf numFmtId="0" fontId="58" fillId="23" borderId="176" xfId="0" applyFont="1" applyFill="1" applyBorder="1" applyAlignment="1" applyProtection="1">
      <alignment horizontal="center" vertical="center"/>
    </xf>
    <xf numFmtId="0" fontId="58" fillId="23" borderId="177" xfId="0" applyFont="1" applyFill="1" applyBorder="1" applyAlignment="1" applyProtection="1">
      <alignment horizontal="center" vertical="center"/>
    </xf>
    <xf numFmtId="0" fontId="58" fillId="23" borderId="178" xfId="0" applyFont="1" applyFill="1" applyBorder="1" applyAlignment="1" applyProtection="1">
      <alignment horizontal="center" vertical="center"/>
    </xf>
    <xf numFmtId="0" fontId="105" fillId="0" borderId="0" xfId="0" applyFont="1" applyBorder="1" applyAlignment="1" applyProtection="1">
      <alignment horizontal="center"/>
    </xf>
    <xf numFmtId="0" fontId="74" fillId="0" borderId="179" xfId="0" applyFont="1" applyFill="1" applyBorder="1" applyAlignment="1" applyProtection="1">
      <alignment horizontal="center"/>
    </xf>
    <xf numFmtId="0" fontId="2" fillId="22" borderId="183" xfId="0" applyFont="1" applyFill="1" applyBorder="1" applyAlignment="1" applyProtection="1">
      <alignment horizontal="center" vertical="top" wrapText="1"/>
      <protection locked="0"/>
    </xf>
    <xf numFmtId="0" fontId="2" fillId="22" borderId="184" xfId="0" applyFont="1" applyFill="1" applyBorder="1" applyAlignment="1" applyProtection="1">
      <alignment horizontal="center" vertical="top" wrapText="1"/>
      <protection locked="0"/>
    </xf>
    <xf numFmtId="0" fontId="2" fillId="22" borderId="185" xfId="0" applyFont="1" applyFill="1" applyBorder="1" applyAlignment="1" applyProtection="1">
      <alignment horizontal="center" vertical="top" wrapText="1"/>
      <protection locked="0"/>
    </xf>
    <xf numFmtId="0" fontId="118" fillId="22" borderId="186" xfId="0" applyFont="1" applyFill="1" applyBorder="1" applyAlignment="1" applyProtection="1">
      <alignment horizontal="center" vertical="center"/>
    </xf>
    <xf numFmtId="0" fontId="118" fillId="22" borderId="187" xfId="0" applyFont="1" applyFill="1" applyBorder="1" applyAlignment="1" applyProtection="1">
      <alignment horizontal="center" vertical="center"/>
    </xf>
    <xf numFmtId="0" fontId="0" fillId="0" borderId="187" xfId="0" applyBorder="1" applyAlignment="1">
      <alignment horizontal="center" vertical="center"/>
    </xf>
    <xf numFmtId="0" fontId="118" fillId="22" borderId="188" xfId="0" applyFont="1" applyFill="1" applyBorder="1" applyAlignment="1" applyProtection="1">
      <alignment horizontal="center" vertical="center"/>
    </xf>
    <xf numFmtId="0" fontId="118" fillId="22" borderId="189" xfId="0" applyFont="1" applyFill="1" applyBorder="1" applyAlignment="1" applyProtection="1">
      <alignment horizontal="center" vertical="center"/>
    </xf>
    <xf numFmtId="0" fontId="118" fillId="22" borderId="190" xfId="0" applyFont="1" applyFill="1" applyBorder="1" applyAlignment="1" applyProtection="1">
      <alignment horizontal="center" vertical="center"/>
    </xf>
    <xf numFmtId="0" fontId="21" fillId="0" borderId="191" xfId="0" applyFont="1" applyBorder="1" applyAlignment="1" applyProtection="1">
      <alignment horizontal="left"/>
      <protection locked="0"/>
    </xf>
    <xf numFmtId="0" fontId="21" fillId="0" borderId="192" xfId="0" applyFont="1" applyBorder="1" applyAlignment="1" applyProtection="1">
      <alignment horizontal="left"/>
      <protection locked="0"/>
    </xf>
    <xf numFmtId="0" fontId="21" fillId="0" borderId="191" xfId="0" applyFont="1" applyFill="1" applyBorder="1" applyAlignment="1" applyProtection="1">
      <alignment horizontal="left"/>
      <protection locked="0"/>
    </xf>
    <xf numFmtId="0" fontId="21" fillId="0" borderId="192" xfId="0" applyFont="1" applyFill="1" applyBorder="1" applyAlignment="1" applyProtection="1">
      <alignment horizontal="left"/>
      <protection locked="0"/>
    </xf>
    <xf numFmtId="0" fontId="21" fillId="0" borderId="33" xfId="0" applyFont="1" applyBorder="1" applyAlignment="1" applyProtection="1">
      <alignment horizontal="left"/>
      <protection locked="0"/>
    </xf>
    <xf numFmtId="0" fontId="21" fillId="0" borderId="193" xfId="0" applyFont="1" applyBorder="1" applyAlignment="1" applyProtection="1">
      <alignment horizontal="left"/>
      <protection locked="0"/>
    </xf>
    <xf numFmtId="0" fontId="73" fillId="21" borderId="13" xfId="52" applyNumberFormat="1" applyFont="1" applyFill="1" applyBorder="1" applyAlignment="1">
      <alignment horizontal="center" vertical="center" wrapText="1"/>
    </xf>
    <xf numFmtId="0" fontId="73" fillId="21" borderId="202" xfId="52" applyNumberFormat="1" applyFont="1" applyFill="1" applyBorder="1" applyAlignment="1">
      <alignment horizontal="center" vertical="center" wrapText="1"/>
    </xf>
    <xf numFmtId="164" fontId="15" fillId="30" borderId="0" xfId="58" applyFont="1" applyFill="1" applyBorder="1" applyAlignment="1" applyProtection="1">
      <alignment horizontal="center"/>
      <protection locked="0"/>
    </xf>
    <xf numFmtId="0" fontId="21" fillId="0" borderId="33" xfId="0" applyFont="1" applyFill="1" applyBorder="1" applyAlignment="1" applyProtection="1">
      <alignment horizontal="left"/>
      <protection locked="0"/>
    </xf>
    <xf numFmtId="0" fontId="21" fillId="0" borderId="193" xfId="0" applyFont="1" applyFill="1" applyBorder="1" applyAlignment="1" applyProtection="1">
      <alignment horizontal="left"/>
      <protection locked="0"/>
    </xf>
    <xf numFmtId="0" fontId="73" fillId="21" borderId="203" xfId="52" applyNumberFormat="1" applyFont="1" applyFill="1" applyBorder="1" applyAlignment="1">
      <alignment horizontal="center" vertical="center" wrapText="1"/>
    </xf>
    <xf numFmtId="0" fontId="73" fillId="21" borderId="204" xfId="52" applyNumberFormat="1" applyFont="1" applyFill="1" applyBorder="1" applyAlignment="1">
      <alignment horizontal="center" vertical="center" wrapText="1"/>
    </xf>
    <xf numFmtId="0" fontId="73" fillId="21" borderId="205" xfId="52" applyNumberFormat="1" applyFont="1" applyFill="1" applyBorder="1" applyAlignment="1">
      <alignment horizontal="center" vertical="center" wrapText="1"/>
    </xf>
    <xf numFmtId="0" fontId="73" fillId="21" borderId="206" xfId="52" applyNumberFormat="1" applyFont="1" applyFill="1" applyBorder="1" applyAlignment="1">
      <alignment horizontal="center" vertical="center" wrapText="1"/>
    </xf>
    <xf numFmtId="0" fontId="0" fillId="25" borderId="112" xfId="0" applyFill="1" applyBorder="1" applyAlignment="1" applyProtection="1">
      <alignment horizontal="center"/>
      <protection locked="0"/>
    </xf>
    <xf numFmtId="0" fontId="0" fillId="25" borderId="113" xfId="0" applyFill="1" applyBorder="1" applyAlignment="1" applyProtection="1">
      <alignment horizontal="center"/>
      <protection locked="0"/>
    </xf>
    <xf numFmtId="0" fontId="0" fillId="25" borderId="110" xfId="0" applyFill="1" applyBorder="1" applyAlignment="1" applyProtection="1">
      <alignment horizontal="center"/>
      <protection locked="0"/>
    </xf>
    <xf numFmtId="0" fontId="0" fillId="25" borderId="111" xfId="0" applyFill="1" applyBorder="1" applyAlignment="1" applyProtection="1">
      <alignment horizontal="center"/>
      <protection locked="0"/>
    </xf>
    <xf numFmtId="0" fontId="0" fillId="25" borderId="108" xfId="0" applyFill="1" applyBorder="1" applyAlignment="1" applyProtection="1">
      <alignment horizontal="center"/>
      <protection locked="0"/>
    </xf>
    <xf numFmtId="0" fontId="0" fillId="25" borderId="109" xfId="0" applyFill="1" applyBorder="1" applyAlignment="1" applyProtection="1">
      <alignment horizontal="center"/>
      <protection locked="0"/>
    </xf>
    <xf numFmtId="0" fontId="21" fillId="0" borderId="194" xfId="0" applyFont="1" applyBorder="1" applyAlignment="1" applyProtection="1">
      <alignment horizontal="left"/>
      <protection locked="0"/>
    </xf>
    <xf numFmtId="0" fontId="21" fillId="0" borderId="195" xfId="0" applyFont="1" applyBorder="1" applyAlignment="1" applyProtection="1">
      <alignment horizontal="left"/>
      <protection locked="0"/>
    </xf>
    <xf numFmtId="0" fontId="21" fillId="0" borderId="196" xfId="0" applyFont="1" applyFill="1" applyBorder="1" applyAlignment="1" applyProtection="1">
      <alignment horizontal="left"/>
      <protection locked="0"/>
    </xf>
    <xf numFmtId="0" fontId="21" fillId="0" borderId="145"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93" fillId="21" borderId="199" xfId="0" applyFont="1" applyFill="1" applyBorder="1" applyAlignment="1">
      <alignment horizontal="center" vertical="center" textRotation="90"/>
    </xf>
    <xf numFmtId="0" fontId="0" fillId="21" borderId="83" xfId="0" applyFill="1" applyBorder="1" applyAlignment="1">
      <alignment horizontal="center" vertical="center" textRotation="90"/>
    </xf>
    <xf numFmtId="0" fontId="0" fillId="21" borderId="200" xfId="0" applyFill="1" applyBorder="1" applyAlignment="1">
      <alignment horizontal="center" vertical="center" textRotation="90"/>
    </xf>
    <xf numFmtId="0" fontId="21" fillId="0" borderId="145" xfId="0" applyFont="1" applyFill="1" applyBorder="1" applyAlignment="1" applyProtection="1">
      <alignment horizontal="left" vertical="center" wrapText="1"/>
      <protection locked="0"/>
    </xf>
    <xf numFmtId="0" fontId="21" fillId="0" borderId="197" xfId="0" applyFont="1" applyFill="1" applyBorder="1" applyAlignment="1" applyProtection="1">
      <alignment horizontal="left" vertical="center" wrapText="1"/>
      <protection locked="0"/>
    </xf>
    <xf numFmtId="0" fontId="21" fillId="0" borderId="201" xfId="0" applyFont="1" applyFill="1" applyBorder="1" applyAlignment="1" applyProtection="1">
      <alignment horizontal="left"/>
      <protection locked="0"/>
    </xf>
    <xf numFmtId="0" fontId="21" fillId="0" borderId="195" xfId="0" applyFont="1" applyFill="1" applyBorder="1" applyAlignment="1" applyProtection="1">
      <alignment horizontal="left"/>
      <protection locked="0"/>
    </xf>
    <xf numFmtId="0" fontId="21" fillId="0" borderId="194" xfId="0" applyFont="1" applyFill="1" applyBorder="1" applyAlignment="1" applyProtection="1">
      <alignment horizontal="left"/>
      <protection locked="0"/>
    </xf>
    <xf numFmtId="0" fontId="33" fillId="0" borderId="0" xfId="0" applyFont="1" applyAlignment="1">
      <alignment horizontal="center"/>
    </xf>
    <xf numFmtId="0" fontId="21" fillId="0" borderId="20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0" xfId="0" applyFont="1" applyFill="1" applyBorder="1" applyAlignment="1" applyProtection="1">
      <alignment horizontal="left" vertical="top" wrapText="1"/>
      <protection locked="0"/>
    </xf>
    <xf numFmtId="0" fontId="21" fillId="0" borderId="181"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207" xfId="0" applyFont="1" applyFill="1" applyBorder="1" applyAlignment="1" applyProtection="1">
      <alignment horizontal="left" vertical="top" wrapText="1"/>
      <protection locked="0"/>
    </xf>
    <xf numFmtId="0" fontId="21" fillId="0" borderId="208" xfId="0" applyFont="1" applyFill="1" applyBorder="1" applyAlignment="1" applyProtection="1">
      <alignment horizontal="left" vertical="top" wrapText="1"/>
      <protection locked="0"/>
    </xf>
    <xf numFmtId="0" fontId="21" fillId="0" borderId="209" xfId="0" applyFont="1" applyFill="1" applyBorder="1" applyAlignment="1" applyProtection="1">
      <alignment horizontal="left" vertical="top" wrapText="1"/>
      <protection locked="0"/>
    </xf>
    <xf numFmtId="0" fontId="21" fillId="0" borderId="211"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8"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164" fontId="17" fillId="31" borderId="0" xfId="38"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62" builtinId="3"/>
    <cellStyle name="Euro" xfId="28"/>
    <cellStyle name="Explanatory Text" xfId="29"/>
    <cellStyle name="Good" xfId="30"/>
    <cellStyle name="Heading 1" xfId="31"/>
    <cellStyle name="Heading 2" xfId="32"/>
    <cellStyle name="Heading 3" xfId="33"/>
    <cellStyle name="Heading 4" xfId="34"/>
    <cellStyle name="Input" xfId="35"/>
    <cellStyle name="Linked Cell" xfId="36"/>
    <cellStyle name="Millares 2" xfId="37"/>
    <cellStyle name="Normal" xfId="0" builtinId="0"/>
    <cellStyle name="Normal 2" xfId="38"/>
    <cellStyle name="Normal 2 2" xfId="39"/>
    <cellStyle name="Normal 2 3" xfId="40"/>
    <cellStyle name="Normal 2 4" xfId="41"/>
    <cellStyle name="Normal 2 5" xfId="42"/>
    <cellStyle name="Normal 2 6" xfId="43"/>
    <cellStyle name="Normal 2 7" xfId="44"/>
    <cellStyle name="Normal 2 8" xfId="45"/>
    <cellStyle name="Normal 2_Dashboard ver 2.2 ES" xfId="46"/>
    <cellStyle name="Normal 2_Prototipo" xfId="47"/>
    <cellStyle name="Normal 3" xfId="48"/>
    <cellStyle name="Normal 4" xfId="49"/>
    <cellStyle name="Normal 5" xfId="50"/>
    <cellStyle name="Normal 6" xfId="51"/>
    <cellStyle name="Normal_TZ_R3HIV_Phase_2_21_August_08" xfId="52"/>
    <cellStyle name="Note" xfId="53"/>
    <cellStyle name="Output" xfId="54"/>
    <cellStyle name="Percent" xfId="61" builtinId="5"/>
    <cellStyle name="Title" xfId="55"/>
    <cellStyle name="Título 3 3" xfId="56"/>
    <cellStyle name="Título 3 3_Prototipo" xfId="57"/>
    <cellStyle name="Título 3 3_PrototipoRep1" xfId="58"/>
    <cellStyle name="Título 3 7" xfId="59"/>
    <cellStyle name="Warning Text" xfId="60"/>
  </cellStyles>
  <dxfs count="64">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9766406608157"/>
          <c:y val="2.3662822431073947E-2"/>
          <c:w val="0.80996068152031453"/>
          <c:h val="0.64192139737991516"/>
        </c:manualLayout>
      </c:layout>
      <c:barChart>
        <c:barDir val="col"/>
        <c:grouping val="clustered"/>
        <c:varyColors val="0"/>
        <c:ser>
          <c:idx val="0"/>
          <c:order val="0"/>
          <c:tx>
            <c:strRef>
              <c:f>'Introducerea datelor'!$B$33</c:f>
              <c:strCache>
                <c:ptCount val="1"/>
                <c:pt idx="0">
                  <c:v>Cumulative budget (Buget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4">
                  <c:v>0</c:v>
                </c:pt>
                <c:pt idx="5">
                  <c:v>4063058</c:v>
                </c:pt>
                <c:pt idx="6">
                  <c:v>4366875.76</c:v>
                </c:pt>
                <c:pt idx="7">
                  <c:v>4693928.5199999996</c:v>
                </c:pt>
                <c:pt idx="8">
                  <c:v>5281390.0399999991</c:v>
                </c:pt>
                <c:pt idx="9">
                  <c:v>5935860.959999999</c:v>
                </c:pt>
                <c:pt idx="10">
                  <c:v>6519861.879999999</c:v>
                </c:pt>
                <c:pt idx="11">
                  <c:v>7149026.7999999989</c:v>
                </c:pt>
              </c:numCache>
            </c:numRef>
          </c:val>
        </c:ser>
        <c:ser>
          <c:idx val="1"/>
          <c:order val="1"/>
          <c:tx>
            <c:strRef>
              <c:f>'Introducerea datelor'!$B$34</c:f>
              <c:strCache>
                <c:ptCount val="1"/>
                <c:pt idx="0">
                  <c:v>Cumulative disbursements (Debursări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5">
                  <c:v>4063058</c:v>
                </c:pt>
                <c:pt idx="6">
                  <c:v>4366876</c:v>
                </c:pt>
                <c:pt idx="7">
                  <c:v>5555263</c:v>
                </c:pt>
                <c:pt idx="8">
                  <c:v>6777482</c:v>
                </c:pt>
                <c:pt idx="9">
                  <c:v>6777482</c:v>
                </c:pt>
                <c:pt idx="10">
                  <c:v>6777482</c:v>
                </c:pt>
                <c:pt idx="11">
                  <c:v>7135006</c:v>
                </c:pt>
              </c:numCache>
            </c:numRef>
          </c:val>
        </c:ser>
        <c:dLbls>
          <c:showLegendKey val="0"/>
          <c:showVal val="0"/>
          <c:showCatName val="0"/>
          <c:showSerName val="0"/>
          <c:showPercent val="0"/>
          <c:showBubbleSize val="0"/>
        </c:dLbls>
        <c:gapWidth val="70"/>
        <c:axId val="146196352"/>
        <c:axId val="146944000"/>
      </c:barChart>
      <c:catAx>
        <c:axId val="14619635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493"/>
              <c:y val="0.78695641210787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46944000"/>
        <c:crosses val="autoZero"/>
        <c:auto val="1"/>
        <c:lblAlgn val="ctr"/>
        <c:lblOffset val="100"/>
        <c:tickLblSkip val="1"/>
        <c:tickMarkSkip val="1"/>
        <c:noMultiLvlLbl val="0"/>
      </c:catAx>
      <c:valAx>
        <c:axId val="1469440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4619635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u-RU"/>
          </a:p>
        </c:txPr>
      </c:legendEntry>
      <c:legendEntry>
        <c:idx val="1"/>
        <c:txPr>
          <a:bodyPr/>
          <a:lstStyle/>
          <a:p>
            <a:pPr>
              <a:defRPr sz="675" b="0" i="0" u="none" strike="noStrike" baseline="0">
                <a:solidFill>
                  <a:srgbClr val="000000"/>
                </a:solidFill>
                <a:latin typeface="Arial"/>
                <a:ea typeface="Arial"/>
                <a:cs typeface="Arial"/>
              </a:defRPr>
            </a:pPr>
            <a:endParaRPr lang="ru-RU"/>
          </a:p>
        </c:txPr>
      </c:legendEntry>
      <c:layout>
        <c:manualLayout>
          <c:xMode val="edge"/>
          <c:yMode val="edge"/>
          <c:x val="0.13089021966293213"/>
          <c:y val="0.88209795070694319"/>
          <c:w val="0.84555081902254148"/>
          <c:h val="0.1048037169156764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804"/>
          <c:h val="0.6532073656620633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val>
            <c:numRef>
              <c:f>'Introducerea datelor'!$H$120:$O$120</c:f>
              <c:numCache>
                <c:formatCode>#,##0</c:formatCode>
                <c:ptCount val="8"/>
                <c:pt idx="0">
                  <c:v>40</c:v>
                </c:pt>
                <c:pt idx="1">
                  <c:v>80</c:v>
                </c:pt>
                <c:pt idx="2">
                  <c:v>15</c:v>
                </c:pt>
                <c:pt idx="3">
                  <c:v>55</c:v>
                </c:pt>
                <c:pt idx="4">
                  <c:v>40</c:v>
                </c:pt>
                <c:pt idx="5">
                  <c:v>80</c:v>
                </c:pt>
                <c:pt idx="6">
                  <c:v>15</c:v>
                </c:pt>
                <c:pt idx="7">
                  <c:v>55</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val>
            <c:numRef>
              <c:f>'Introducerea datelor'!$H$121:$O$121</c:f>
              <c:numCache>
                <c:formatCode>#,##0</c:formatCode>
                <c:ptCount val="8"/>
                <c:pt idx="0">
                  <c:v>23</c:v>
                </c:pt>
                <c:pt idx="1">
                  <c:v>85</c:v>
                </c:pt>
                <c:pt idx="2">
                  <c:v>15</c:v>
                </c:pt>
                <c:pt idx="3">
                  <c:v>69</c:v>
                </c:pt>
                <c:pt idx="4">
                  <c:v>40</c:v>
                </c:pt>
                <c:pt idx="5">
                  <c:v>85</c:v>
                </c:pt>
                <c:pt idx="6">
                  <c:v>14</c:v>
                </c:pt>
                <c:pt idx="7">
                  <c:v>97</c:v>
                </c:pt>
              </c:numCache>
            </c:numRef>
          </c:val>
        </c:ser>
        <c:dLbls>
          <c:showLegendKey val="0"/>
          <c:showVal val="0"/>
          <c:showCatName val="0"/>
          <c:showSerName val="0"/>
          <c:showPercent val="0"/>
          <c:showBubbleSize val="0"/>
        </c:dLbls>
        <c:gapWidth val="150"/>
        <c:axId val="147174528"/>
        <c:axId val="147176064"/>
      </c:barChart>
      <c:catAx>
        <c:axId val="147174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147176064"/>
        <c:crosses val="autoZero"/>
        <c:auto val="1"/>
        <c:lblAlgn val="ctr"/>
        <c:lblOffset val="100"/>
        <c:tickLblSkip val="1"/>
        <c:tickMarkSkip val="1"/>
        <c:noMultiLvlLbl val="0"/>
      </c:catAx>
      <c:valAx>
        <c:axId val="1471760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147174528"/>
        <c:crosses val="autoZero"/>
        <c:crossBetween val="between"/>
      </c:valAx>
      <c:spPr>
        <a:noFill/>
        <a:ln w="25400">
          <a:noFill/>
        </a:ln>
      </c:spPr>
    </c:plotArea>
    <c:legend>
      <c:legendPos val="r"/>
      <c:layout>
        <c:manualLayout>
          <c:xMode val="edge"/>
          <c:yMode val="edge"/>
          <c:x val="0.1794875880672441"/>
          <c:y val="0.91099476439790572"/>
          <c:w val="0.57575888639752326"/>
          <c:h val="7.3298429319371722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16E-2"/>
          <c:y val="9.7938144329897045E-2"/>
          <c:w val="0.89473684210526316"/>
          <c:h val="0.61340206185566726"/>
        </c:manualLayout>
      </c:layout>
      <c:barChart>
        <c:barDir val="col"/>
        <c:grouping val="clustered"/>
        <c:varyColors val="0"/>
        <c:ser>
          <c:idx val="0"/>
          <c:order val="0"/>
          <c:tx>
            <c:strRef>
              <c:f>'Introducerea datelor'!$G$116</c:f>
              <c:strCache>
                <c:ptCount val="1"/>
                <c:pt idx="0">
                  <c:v>Target</c:v>
                </c:pt>
              </c:strCache>
            </c:strRef>
          </c:tx>
          <c:spPr>
            <a:solidFill>
              <a:srgbClr val="0066CC"/>
            </a:solidFill>
            <a:ln w="25400">
              <a:noFill/>
            </a:ln>
          </c:spPr>
          <c:invertIfNegative val="0"/>
          <c:val>
            <c:numRef>
              <c:f>'Introducerea datelor'!$H$116:$O$116</c:f>
              <c:numCache>
                <c:formatCode>#,##0</c:formatCode>
                <c:ptCount val="8"/>
                <c:pt idx="0">
                  <c:v>562</c:v>
                </c:pt>
                <c:pt idx="1">
                  <c:v>1125</c:v>
                </c:pt>
                <c:pt idx="2">
                  <c:v>562</c:v>
                </c:pt>
                <c:pt idx="3">
                  <c:v>1125</c:v>
                </c:pt>
                <c:pt idx="4">
                  <c:v>552</c:v>
                </c:pt>
                <c:pt idx="5">
                  <c:v>1105</c:v>
                </c:pt>
                <c:pt idx="6">
                  <c:v>552</c:v>
                </c:pt>
                <c:pt idx="7">
                  <c:v>1105</c:v>
                </c:pt>
              </c:numCache>
            </c:numRef>
          </c:val>
        </c:ser>
        <c:ser>
          <c:idx val="1"/>
          <c:order val="1"/>
          <c:tx>
            <c:strRef>
              <c:f>'Introducerea datelor'!$G$117</c:f>
              <c:strCache>
                <c:ptCount val="1"/>
                <c:pt idx="0">
                  <c:v>Achieved </c:v>
                </c:pt>
              </c:strCache>
            </c:strRef>
          </c:tx>
          <c:spPr>
            <a:solidFill>
              <a:srgbClr val="00CCFF"/>
            </a:solidFill>
            <a:ln w="12700">
              <a:solidFill>
                <a:srgbClr val="000000"/>
              </a:solidFill>
              <a:prstDash val="solid"/>
            </a:ln>
          </c:spPr>
          <c:invertIfNegative val="0"/>
          <c:val>
            <c:numRef>
              <c:f>'Introducerea datelor'!$H$117:$O$117</c:f>
              <c:numCache>
                <c:formatCode>#,##0</c:formatCode>
                <c:ptCount val="8"/>
                <c:pt idx="0">
                  <c:v>341</c:v>
                </c:pt>
                <c:pt idx="1">
                  <c:v>1237</c:v>
                </c:pt>
                <c:pt idx="2">
                  <c:v>555</c:v>
                </c:pt>
                <c:pt idx="3">
                  <c:v>1003</c:v>
                </c:pt>
                <c:pt idx="4">
                  <c:v>441</c:v>
                </c:pt>
                <c:pt idx="5">
                  <c:v>991</c:v>
                </c:pt>
                <c:pt idx="6">
                  <c:v>436</c:v>
                </c:pt>
                <c:pt idx="7">
                  <c:v>1253</c:v>
                </c:pt>
              </c:numCache>
            </c:numRef>
          </c:val>
        </c:ser>
        <c:dLbls>
          <c:showLegendKey val="0"/>
          <c:showVal val="0"/>
          <c:showCatName val="0"/>
          <c:showSerName val="0"/>
          <c:showPercent val="0"/>
          <c:showBubbleSize val="0"/>
        </c:dLbls>
        <c:gapWidth val="150"/>
        <c:axId val="147205120"/>
        <c:axId val="147215104"/>
      </c:barChart>
      <c:catAx>
        <c:axId val="147205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147215104"/>
        <c:crosses val="autoZero"/>
        <c:auto val="1"/>
        <c:lblAlgn val="ctr"/>
        <c:lblOffset val="100"/>
        <c:tickLblSkip val="1"/>
        <c:tickMarkSkip val="1"/>
        <c:noMultiLvlLbl val="0"/>
      </c:catAx>
      <c:valAx>
        <c:axId val="1472151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147205120"/>
        <c:crosses val="autoZero"/>
        <c:crossBetween val="between"/>
      </c:valAx>
      <c:spPr>
        <a:noFill/>
        <a:ln w="25400">
          <a:noFill/>
        </a:ln>
      </c:spPr>
    </c:plotArea>
    <c:legend>
      <c:legendPos val="r"/>
      <c:layout>
        <c:manualLayout>
          <c:xMode val="edge"/>
          <c:yMode val="edge"/>
          <c:x val="0.17288164208428575"/>
          <c:y val="0.81958762886597936"/>
          <c:w val="0.5796619764002523"/>
          <c:h val="7.216494845360824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Cumulative budget (Buget Cumulativ)</c:v>
                </c:pt>
              </c:strCache>
            </c:strRef>
          </c:tx>
          <c:spPr>
            <a:solidFill>
              <a:srgbClr val="339966"/>
            </a:solidFill>
            <a:ln w="12700">
              <a:solidFill>
                <a:srgbClr val="000000"/>
              </a:solidFill>
              <a:prstDash val="solid"/>
            </a:ln>
          </c:spPr>
          <c:cat>
            <c:strRef>
              <c:f>'Introducerea datelor'!$C$30:$M$30</c:f>
              <c:strCache>
                <c:ptCount val="11"/>
                <c:pt idx="5">
                  <c:v>Phase One</c:v>
                </c:pt>
                <c:pt idx="6">
                  <c:v>P7</c:v>
                </c:pt>
                <c:pt idx="7">
                  <c:v>P8</c:v>
                </c:pt>
                <c:pt idx="8">
                  <c:v>P9</c:v>
                </c:pt>
                <c:pt idx="9">
                  <c:v>P10</c:v>
                </c:pt>
                <c:pt idx="10">
                  <c:v>P11</c:v>
                </c:pt>
              </c:strCache>
            </c:strRef>
          </c:cat>
          <c:val>
            <c:numRef>
              <c:f>'Introducerea datelor'!$C$33:$M$33</c:f>
              <c:numCache>
                <c:formatCode>#,##0</c:formatCode>
                <c:ptCount val="11"/>
                <c:pt idx="4">
                  <c:v>0</c:v>
                </c:pt>
                <c:pt idx="5">
                  <c:v>4063058</c:v>
                </c:pt>
                <c:pt idx="6">
                  <c:v>4366875.76</c:v>
                </c:pt>
                <c:pt idx="7">
                  <c:v>4693928.5199999996</c:v>
                </c:pt>
                <c:pt idx="8">
                  <c:v>5281390.0399999991</c:v>
                </c:pt>
                <c:pt idx="9">
                  <c:v>5935860.959999999</c:v>
                </c:pt>
                <c:pt idx="10">
                  <c:v>6519861.879999999</c:v>
                </c:pt>
              </c:numCache>
            </c:numRef>
          </c:val>
        </c:ser>
        <c:ser>
          <c:idx val="1"/>
          <c:order val="1"/>
          <c:tx>
            <c:strRef>
              <c:f>'Introducerea datelor'!$B$34</c:f>
              <c:strCache>
                <c:ptCount val="1"/>
                <c:pt idx="0">
                  <c:v>Cumulative disbursements (Debursări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5">
                  <c:v>Phase One</c:v>
                </c:pt>
                <c:pt idx="6">
                  <c:v>P7</c:v>
                </c:pt>
                <c:pt idx="7">
                  <c:v>P8</c:v>
                </c:pt>
                <c:pt idx="8">
                  <c:v>P9</c:v>
                </c:pt>
                <c:pt idx="9">
                  <c:v>P10</c:v>
                </c:pt>
                <c:pt idx="10">
                  <c:v>P11</c:v>
                </c:pt>
              </c:strCache>
            </c:strRef>
          </c:cat>
          <c:val>
            <c:numRef>
              <c:f>'Introducerea datelor'!$C$34:$M$34</c:f>
              <c:numCache>
                <c:formatCode>#,##0</c:formatCode>
                <c:ptCount val="11"/>
                <c:pt idx="5">
                  <c:v>4063058</c:v>
                </c:pt>
                <c:pt idx="6">
                  <c:v>4366876</c:v>
                </c:pt>
                <c:pt idx="7">
                  <c:v>5555263</c:v>
                </c:pt>
                <c:pt idx="8">
                  <c:v>6777482</c:v>
                </c:pt>
                <c:pt idx="9">
                  <c:v>6777482</c:v>
                </c:pt>
                <c:pt idx="10">
                  <c:v>6777482</c:v>
                </c:pt>
              </c:numCache>
            </c:numRef>
          </c:val>
        </c:ser>
        <c:dLbls>
          <c:showLegendKey val="0"/>
          <c:showVal val="0"/>
          <c:showCatName val="0"/>
          <c:showSerName val="0"/>
          <c:showPercent val="0"/>
          <c:showBubbleSize val="0"/>
        </c:dLbls>
        <c:dropLines>
          <c:spPr>
            <a:ln w="3175">
              <a:solidFill>
                <a:srgbClr val="000000"/>
              </a:solidFill>
              <a:prstDash val="solid"/>
            </a:ln>
          </c:spPr>
        </c:dropLines>
        <c:axId val="149254528"/>
        <c:axId val="149256064"/>
      </c:areaChart>
      <c:catAx>
        <c:axId val="149254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149256064"/>
        <c:crosses val="autoZero"/>
        <c:auto val="1"/>
        <c:lblAlgn val="ctr"/>
        <c:lblOffset val="100"/>
        <c:tickLblSkip val="8"/>
        <c:tickMarkSkip val="1"/>
        <c:noMultiLvlLbl val="0"/>
      </c:catAx>
      <c:valAx>
        <c:axId val="14925606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14925452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826"/>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datelor'!$C$51:$C$54</c:f>
              <c:numCache>
                <c:formatCode>#,##0</c:formatCode>
                <c:ptCount val="4"/>
                <c:pt idx="0">
                  <c:v>6777481.9000000004</c:v>
                </c:pt>
                <c:pt idx="1">
                  <c:v>6486874.6899999995</c:v>
                </c:pt>
                <c:pt idx="2">
                  <c:v>3394317.5</c:v>
                </c:pt>
                <c:pt idx="3">
                  <c:v>3317380.78</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datelor'!$B$51:$B$54</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datelor'!$D$51:$D$54</c:f>
              <c:numCache>
                <c:formatCode>#,##0</c:formatCode>
                <c:ptCount val="4"/>
                <c:pt idx="0">
                  <c:v>357524</c:v>
                </c:pt>
                <c:pt idx="1">
                  <c:v>607702.44412236963</c:v>
                </c:pt>
                <c:pt idx="2">
                  <c:v>230317.84161954935</c:v>
                </c:pt>
                <c:pt idx="3">
                  <c:v>300626.47949192673</c:v>
                </c:pt>
              </c:numCache>
            </c:numRef>
          </c:val>
        </c:ser>
        <c:dLbls>
          <c:showLegendKey val="0"/>
          <c:showVal val="0"/>
          <c:showCatName val="0"/>
          <c:showSerName val="0"/>
          <c:showPercent val="0"/>
          <c:showBubbleSize val="0"/>
        </c:dLbls>
        <c:gapWidth val="150"/>
        <c:overlap val="100"/>
        <c:axId val="148124800"/>
        <c:axId val="148126336"/>
      </c:barChart>
      <c:catAx>
        <c:axId val="1481248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148126336"/>
        <c:crossesAt val="0"/>
        <c:auto val="1"/>
        <c:lblAlgn val="ctr"/>
        <c:lblOffset val="100"/>
        <c:noMultiLvlLbl val="0"/>
      </c:catAx>
      <c:valAx>
        <c:axId val="14812633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u-RU"/>
          </a:p>
        </c:txPr>
        <c:crossAx val="14812480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u-RU"/>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95"/>
          <c:y val="9.3877551020408165E-2"/>
          <c:w val="0.84029484029484292"/>
          <c:h val="0.53469387755102293"/>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datelor'!$C$39:$C$45</c:f>
              <c:numCache>
                <c:formatCode>#,##0</c:formatCode>
                <c:ptCount val="7"/>
                <c:pt idx="0">
                  <c:v>2239084.5</c:v>
                </c:pt>
                <c:pt idx="1">
                  <c:v>2442478.83</c:v>
                </c:pt>
                <c:pt idx="2">
                  <c:v>342209</c:v>
                </c:pt>
                <c:pt idx="3">
                  <c:v>102080</c:v>
                </c:pt>
                <c:pt idx="4">
                  <c:v>707986.42</c:v>
                </c:pt>
                <c:pt idx="5">
                  <c:v>19227</c:v>
                </c:pt>
                <c:pt idx="6">
                  <c:v>1295961.0899999999</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datelor'!$D$39:$D$45</c:f>
              <c:numCache>
                <c:formatCode>#,##0</c:formatCode>
                <c:ptCount val="7"/>
                <c:pt idx="0">
                  <c:v>2282292.59</c:v>
                </c:pt>
                <c:pt idx="1">
                  <c:v>2274993</c:v>
                </c:pt>
                <c:pt idx="2">
                  <c:v>340362.61</c:v>
                </c:pt>
                <c:pt idx="3">
                  <c:v>106798.33</c:v>
                </c:pt>
                <c:pt idx="4">
                  <c:v>671331.6</c:v>
                </c:pt>
                <c:pt idx="5">
                  <c:v>18754.98</c:v>
                </c:pt>
                <c:pt idx="6">
                  <c:v>1400043.9700000002</c:v>
                </c:pt>
              </c:numCache>
            </c:numRef>
          </c:val>
        </c:ser>
        <c:dLbls>
          <c:showLegendKey val="0"/>
          <c:showVal val="0"/>
          <c:showCatName val="0"/>
          <c:showSerName val="0"/>
          <c:showPercent val="0"/>
          <c:showBubbleSize val="0"/>
        </c:dLbls>
        <c:gapWidth val="150"/>
        <c:axId val="148160896"/>
        <c:axId val="148162432"/>
      </c:barChart>
      <c:catAx>
        <c:axId val="148160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148162432"/>
        <c:crosses val="autoZero"/>
        <c:auto val="1"/>
        <c:lblAlgn val="ctr"/>
        <c:lblOffset val="100"/>
        <c:tickMarkSkip val="1"/>
        <c:noMultiLvlLbl val="0"/>
      </c:catAx>
      <c:valAx>
        <c:axId val="148162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14816089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5.9322033898305516E-2"/>
          <c:y val="0.19565217391304279"/>
          <c:w val="0.8728813559322034"/>
          <c:h val="0.42028985507246502"/>
        </c:manualLayout>
      </c:layout>
      <c:barChart>
        <c:barDir val="bar"/>
        <c:grouping val="cluster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dLbls>
            <c:dLbl>
              <c:idx val="0"/>
              <c:layout>
                <c:manualLayout>
                  <c:x val="0.25756013242089343"/>
                  <c:y val="-0.29611370761718181"/>
                </c:manualLayout>
              </c:layout>
              <c:numFmt formatCode="#,##0" sourceLinked="0"/>
              <c:spPr>
                <a:noFill/>
                <a:ln w="25400">
                  <a:noFill/>
                </a:ln>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ru-RU"/>
                </a:p>
              </c:txPr>
              <c:dLblPos val="outEnd"/>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ru-RU"/>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datelor'!$C$78</c:f>
              <c:numCache>
                <c:formatCode>General</c:formatCode>
                <c:ptCount val="1"/>
                <c:pt idx="0">
                  <c:v>14</c:v>
                </c:pt>
              </c:numCache>
            </c:numRef>
          </c:val>
        </c:ser>
        <c:dLbls>
          <c:showLegendKey val="0"/>
          <c:showVal val="0"/>
          <c:showCatName val="0"/>
          <c:showSerName val="0"/>
          <c:showPercent val="0"/>
          <c:showBubbleSize val="0"/>
        </c:dLbls>
        <c:gapWidth val="79"/>
        <c:axId val="148186624"/>
        <c:axId val="148188160"/>
      </c:barChart>
      <c:catAx>
        <c:axId val="148186624"/>
        <c:scaling>
          <c:orientation val="minMax"/>
        </c:scaling>
        <c:delete val="1"/>
        <c:axPos val="l"/>
        <c:majorTickMark val="out"/>
        <c:minorTickMark val="none"/>
        <c:tickLblPos val="none"/>
        <c:crossAx val="148188160"/>
        <c:crosses val="autoZero"/>
        <c:auto val="1"/>
        <c:lblAlgn val="ctr"/>
        <c:lblOffset val="100"/>
        <c:noMultiLvlLbl val="0"/>
      </c:catAx>
      <c:valAx>
        <c:axId val="148188160"/>
        <c:scaling>
          <c:orientation val="minMax"/>
        </c:scaling>
        <c:delete val="0"/>
        <c:axPos val="t"/>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u-RU"/>
          </a:p>
        </c:txPr>
        <c:crossAx val="148186624"/>
        <c:crosses val="max"/>
        <c:crossBetween val="between"/>
      </c:valAx>
      <c:spPr>
        <a:solidFill>
          <a:srgbClr val="FFFFFF"/>
        </a:solidFill>
        <a:ln w="25400">
          <a:noFill/>
        </a:ln>
      </c:spPr>
    </c:plotArea>
    <c:legend>
      <c:legendPos val="r"/>
      <c:legendEntry>
        <c:idx val="0"/>
        <c:delete val="1"/>
      </c:legendEntry>
      <c:layout>
        <c:manualLayout>
          <c:xMode val="edge"/>
          <c:yMode val="edge"/>
          <c:x val="0.29449152542372881"/>
          <c:y val="0.80434782608695654"/>
          <c:w val="1.6949152542372892E-2"/>
          <c:h val="2.8985507246376829E-2"/>
        </c:manualLayout>
      </c:layout>
      <c:overlay val="0"/>
      <c:spPr>
        <a:noFill/>
        <a:ln w="25400">
          <a:noFill/>
        </a:ln>
      </c:spPr>
      <c:txPr>
        <a:bodyPr rot="0" spcFirstLastPara="1" vertOverflow="ellipsis" vert="horz" wrap="square" anchor="ctr" anchorCtr="1"/>
        <a:lstStyle/>
        <a:p>
          <a:pPr>
            <a:defRPr sz="675" b="0" i="0" u="none" strike="noStrike" kern="1200"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dk1">
                <a:tint val="88500"/>
              </a:schemeClr>
            </a:solidFill>
            <a:ln>
              <a:noFill/>
            </a:ln>
            <a:effectLst/>
          </c:spPr>
          <c:invertIfNegative val="0"/>
          <c:dLbls>
            <c:spPr>
              <a:noFill/>
              <a:ln w="25400">
                <a:noFill/>
              </a:ln>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datelor'!$C$83</c:f>
              <c:numCache>
                <c:formatCode>General</c:formatCode>
                <c:ptCount val="1"/>
                <c:pt idx="0">
                  <c:v>3</c:v>
                </c:pt>
              </c:numCache>
            </c:numRef>
          </c:val>
        </c:ser>
        <c:dLbls>
          <c:showLegendKey val="0"/>
          <c:showVal val="0"/>
          <c:showCatName val="0"/>
          <c:showSerName val="0"/>
          <c:showPercent val="0"/>
          <c:showBubbleSize val="0"/>
        </c:dLbls>
        <c:gapWidth val="150"/>
        <c:overlap val="-20"/>
        <c:axId val="148196736"/>
        <c:axId val="148219008"/>
      </c:barChart>
      <c:catAx>
        <c:axId val="148196736"/>
        <c:scaling>
          <c:orientation val="minMax"/>
        </c:scaling>
        <c:delete val="0"/>
        <c:axPos val="b"/>
        <c:majorTickMark val="none"/>
        <c:minorTickMark val="none"/>
        <c:tickLblPos val="none"/>
        <c:spPr>
          <a:ln w="3175">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u-RU"/>
          </a:p>
        </c:txPr>
        <c:crossAx val="148219008"/>
        <c:crosses val="autoZero"/>
        <c:auto val="0"/>
        <c:lblAlgn val="ctr"/>
        <c:lblOffset val="100"/>
        <c:tickMarkSkip val="1"/>
        <c:noMultiLvlLbl val="0"/>
      </c:catAx>
      <c:valAx>
        <c:axId val="1482190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u-RU"/>
          </a:p>
        </c:txPr>
        <c:crossAx val="148196736"/>
        <c:crosses val="autoZero"/>
        <c:crossBetween val="between"/>
      </c:valAx>
      <c:spPr>
        <a:noFill/>
        <a:ln w="25400">
          <a:noFill/>
        </a:ln>
      </c:spPr>
    </c:plotArea>
    <c:legend>
      <c:legendPos val="b"/>
      <c:layout>
        <c:manualLayout>
          <c:xMode val="edge"/>
          <c:yMode val="edge"/>
          <c:x val="0"/>
          <c:y val="0.77490928388049862"/>
          <c:w val="1"/>
          <c:h val="0.18137486912496592"/>
        </c:manualLayout>
      </c:layout>
      <c:overlay val="0"/>
      <c:spPr>
        <a:noFill/>
        <a:ln w="25400">
          <a:noFill/>
        </a:ln>
      </c:spPr>
      <c:txPr>
        <a:bodyPr rot="0" spcFirstLastPara="1" vertOverflow="ellipsis" vert="horz" wrap="square" anchor="ctr" anchorCtr="1"/>
        <a:lstStyle/>
        <a:p>
          <a:pPr rtl="0">
            <a:defRPr sz="675" b="0" i="0" u="none" strike="noStrike" kern="1200"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022" r="0.750000000000000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74"/>
          <c:y val="5.6000000000000001E-2"/>
          <c:w val="0.54462242562929064"/>
          <c:h val="0.56000000000000005"/>
        </c:manualLayout>
      </c:layout>
      <c:barChart>
        <c:barDir val="bar"/>
        <c:grouping val="percentStacked"/>
        <c:varyColors val="0"/>
        <c:ser>
          <c:idx val="0"/>
          <c:order val="0"/>
          <c:tx>
            <c:strRef>
              <c:f>'Introducerea datelor'!$D$70</c:f>
              <c:strCache>
                <c:ptCount val="1"/>
                <c:pt idx="0">
                  <c:v>Fulfilled (Finisate)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Conditions precedent (CPs) (Condiții Precedente (CP))</c:v>
                </c:pt>
                <c:pt idx="1">
                  <c:v>Time Bound Actions (TBAs) (Acțiuni Prestabilite în Timp (TBA))</c:v>
                </c:pt>
              </c:strCache>
            </c:strRef>
          </c:cat>
          <c:val>
            <c:numRef>
              <c:f>'Introducerea datelor'!$D$71:$D$72</c:f>
              <c:numCache>
                <c:formatCode>0</c:formatCode>
                <c:ptCount val="2"/>
                <c:pt idx="0">
                  <c:v>3</c:v>
                </c:pt>
              </c:numCache>
            </c:numRef>
          </c:val>
        </c:ser>
        <c:ser>
          <c:idx val="1"/>
          <c:order val="1"/>
          <c:tx>
            <c:strRef>
              <c:f>'Introducerea datelor'!$E$70</c:f>
              <c:strCache>
                <c:ptCount val="1"/>
                <c:pt idx="0">
                  <c:v>Not fulfilled, but within deadline (Ne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Conditions precedent (CPs) (Condiții Precedente (CP))</c:v>
                </c:pt>
                <c:pt idx="1">
                  <c:v>Time Bound Actions (TBAs) (Acțiuni Prestabilite în Timp (TBA))</c:v>
                </c:pt>
              </c:strCache>
            </c:strRef>
          </c:cat>
          <c:val>
            <c:numRef>
              <c:f>'Introducerea datelor'!$E$71:$E$72</c:f>
              <c:numCache>
                <c:formatCode>0</c:formatCode>
                <c:ptCount val="2"/>
                <c:pt idx="0">
                  <c:v>0</c:v>
                </c:pt>
              </c:numCache>
            </c:numRef>
          </c:val>
        </c:ser>
        <c:ser>
          <c:idx val="2"/>
          <c:order val="2"/>
          <c:tx>
            <c:strRef>
              <c:f>'Introducerea datelor'!$F$70</c:f>
              <c:strCache>
                <c:ptCount val="1"/>
                <c:pt idx="0">
                  <c:v>Not fulfilled, and past the deadline (Ne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datelor'!$B$71:$B$72</c:f>
              <c:strCache>
                <c:ptCount val="2"/>
                <c:pt idx="0">
                  <c:v>Conditions precedent (CPs) (Condiții Precedente (CP))</c:v>
                </c:pt>
                <c:pt idx="1">
                  <c:v>Time Bound Actions (TBAs) (Acțiuni Prestabilite în Timp (TBA))</c:v>
                </c:pt>
              </c:strCache>
            </c:strRef>
          </c:cat>
          <c:val>
            <c:numRef>
              <c:f>'Introducerea datelor'!$F$71:$F$72</c:f>
              <c:numCache>
                <c:formatCode>0</c:formatCode>
                <c:ptCount val="2"/>
              </c:numCache>
            </c:numRef>
          </c:val>
        </c:ser>
        <c:dLbls>
          <c:showLegendKey val="0"/>
          <c:showVal val="0"/>
          <c:showCatName val="0"/>
          <c:showSerName val="0"/>
          <c:showPercent val="0"/>
          <c:showBubbleSize val="0"/>
        </c:dLbls>
        <c:gapWidth val="70"/>
        <c:overlap val="100"/>
        <c:axId val="148660224"/>
        <c:axId val="148661760"/>
      </c:barChart>
      <c:catAx>
        <c:axId val="148660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148661760"/>
        <c:crosses val="autoZero"/>
        <c:auto val="1"/>
        <c:lblAlgn val="ctr"/>
        <c:lblOffset val="100"/>
        <c:tickLblSkip val="1"/>
        <c:tickMarkSkip val="1"/>
        <c:noMultiLvlLbl val="0"/>
      </c:catAx>
      <c:valAx>
        <c:axId val="14866176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148660224"/>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82"/>
          <c:y val="0.12154728922244371"/>
          <c:w val="0.60327318841303279"/>
          <c:h val="0.5524876782838356"/>
        </c:manualLayout>
      </c:layout>
      <c:barChart>
        <c:barDir val="bar"/>
        <c:grouping val="percentStacked"/>
        <c:varyColors val="0"/>
        <c:ser>
          <c:idx val="1"/>
          <c:order val="0"/>
          <c:tx>
            <c:strRef>
              <c:f>'Introducerea datelor'!$D$87</c:f>
              <c:strCache>
                <c:ptCount val="1"/>
                <c:pt idx="0">
                  <c:v># Received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to SR</c:v>
                </c:pt>
                <c:pt idx="1">
                  <c:v>SRs to PR</c:v>
                </c:pt>
              </c:strCache>
            </c:strRef>
          </c:cat>
          <c:val>
            <c:numRef>
              <c:f>'Introducerea datelor'!$D$88:$D$89</c:f>
              <c:numCache>
                <c:formatCode>0</c:formatCode>
                <c:ptCount val="2"/>
                <c:pt idx="0">
                  <c:v>7</c:v>
                </c:pt>
                <c:pt idx="1">
                  <c:v>3</c:v>
                </c:pt>
              </c:numCache>
            </c:numRef>
          </c:val>
        </c:ser>
        <c:ser>
          <c:idx val="2"/>
          <c:order val="1"/>
          <c:tx>
            <c:strRef>
              <c:f>'Introducerea datelor'!$E$87</c:f>
              <c:strCache>
                <c:ptCount val="1"/>
                <c:pt idx="0">
                  <c:v>Pending (În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datelor'!$B$88:$B$89</c:f>
              <c:strCache>
                <c:ptCount val="2"/>
                <c:pt idx="0">
                  <c:v>SSR to SR</c:v>
                </c:pt>
                <c:pt idx="1">
                  <c:v>SRs to PR</c:v>
                </c:pt>
              </c:strCache>
            </c:strRef>
          </c:cat>
          <c:val>
            <c:numRef>
              <c:f>'Introducerea datelor'!$E$88:$E$89</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148699392"/>
        <c:axId val="148385792"/>
      </c:barChart>
      <c:catAx>
        <c:axId val="1486993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148385792"/>
        <c:crosses val="autoZero"/>
        <c:auto val="1"/>
        <c:lblAlgn val="ctr"/>
        <c:lblOffset val="100"/>
        <c:noMultiLvlLbl val="0"/>
      </c:catAx>
      <c:valAx>
        <c:axId val="1483857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148699392"/>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u-RU"/>
          </a:p>
        </c:txPr>
      </c:legendEntry>
      <c:legendEntry>
        <c:idx val="1"/>
        <c:txPr>
          <a:bodyPr/>
          <a:lstStyle/>
          <a:p>
            <a:pPr>
              <a:defRPr sz="675" b="0" i="0" u="none" strike="noStrike" baseline="0">
                <a:solidFill>
                  <a:srgbClr val="000000"/>
                </a:solidFill>
                <a:latin typeface="Calibri"/>
                <a:ea typeface="Calibri"/>
                <a:cs typeface="Calibri"/>
              </a:defRPr>
            </a:pPr>
            <a:endParaRPr lang="ru-RU"/>
          </a:p>
        </c:txPr>
      </c:legendEntry>
      <c:layout>
        <c:manualLayout>
          <c:xMode val="edge"/>
          <c:yMode val="edge"/>
          <c:x val="0.31827956989247314"/>
          <c:y val="0.81215469613259672"/>
          <c:w val="0.35483870967741932"/>
          <c:h val="0.13259668508287292"/>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31"/>
          <c:y val="0.10989010989011012"/>
          <c:w val="0.81094724363350612"/>
          <c:h val="0.54395604395604358"/>
        </c:manualLayout>
      </c:layout>
      <c:lineChart>
        <c:grouping val="standard"/>
        <c:varyColors val="0"/>
        <c:ser>
          <c:idx val="0"/>
          <c:order val="0"/>
          <c:tx>
            <c:strRef>
              <c:f>'Introducerea datelor'!$B$97</c:f>
              <c:strCache>
                <c:ptCount val="1"/>
                <c:pt idx="0">
                  <c:v>Budget Approved cumulative* (Buget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datelor'!$C$97:$N$97</c:f>
            </c:numRef>
          </c:val>
          <c:smooth val="0"/>
        </c:ser>
        <c:ser>
          <c:idx val="1"/>
          <c:order val="1"/>
          <c:tx>
            <c:strRef>
              <c:f>'Introducerea datelor'!$B$98</c:f>
              <c:strCache>
                <c:ptCount val="1"/>
                <c:pt idx="0">
                  <c:v>Obligations cumulative (Obligațiuni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datelor'!$C$98:$N$98</c:f>
            </c:numRef>
          </c:val>
          <c:smooth val="0"/>
        </c:ser>
        <c:ser>
          <c:idx val="2"/>
          <c:order val="2"/>
          <c:tx>
            <c:strRef>
              <c:f>'Introducerea datelor'!$B$99</c:f>
              <c:strCache>
                <c:ptCount val="1"/>
                <c:pt idx="0">
                  <c:v>Expenditures cumulative (Cheltuieli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datelor'!$C$99:$N$99</c:f>
            </c:numRef>
          </c:val>
          <c:smooth val="0"/>
        </c:ser>
        <c:dLbls>
          <c:showLegendKey val="0"/>
          <c:showVal val="0"/>
          <c:showCatName val="0"/>
          <c:showSerName val="0"/>
          <c:showPercent val="0"/>
          <c:showBubbleSize val="0"/>
        </c:dLbls>
        <c:marker val="1"/>
        <c:smooth val="0"/>
        <c:axId val="148416000"/>
        <c:axId val="148417920"/>
      </c:lineChart>
      <c:catAx>
        <c:axId val="14841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u-RU"/>
          </a:p>
        </c:txPr>
        <c:crossAx val="148417920"/>
        <c:crosses val="autoZero"/>
        <c:auto val="1"/>
        <c:lblAlgn val="ctr"/>
        <c:lblOffset val="100"/>
        <c:tickLblSkip val="1"/>
        <c:tickMarkSkip val="1"/>
        <c:noMultiLvlLbl val="0"/>
      </c:catAx>
      <c:valAx>
        <c:axId val="1484179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u-RU"/>
          </a:p>
        </c:txPr>
        <c:crossAx val="148416000"/>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345"/>
          <c:h val="0.17582417582417587"/>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val>
            <c:numRef>
              <c:f>'Introducerea datelor'!$H$118:$O$118</c:f>
              <c:numCache>
                <c:formatCode>#,##0</c:formatCode>
                <c:ptCount val="8"/>
                <c:pt idx="0">
                  <c:v>142</c:v>
                </c:pt>
                <c:pt idx="1">
                  <c:v>285</c:v>
                </c:pt>
                <c:pt idx="2">
                  <c:v>142</c:v>
                </c:pt>
                <c:pt idx="3">
                  <c:v>285</c:v>
                </c:pt>
                <c:pt idx="4">
                  <c:v>140</c:v>
                </c:pt>
                <c:pt idx="5">
                  <c:v>280</c:v>
                </c:pt>
                <c:pt idx="6">
                  <c:v>140</c:v>
                </c:pt>
                <c:pt idx="7">
                  <c:v>280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val>
            <c:numRef>
              <c:f>'Introducerea datelor'!$H$119:$O$119</c:f>
              <c:numCache>
                <c:formatCode>#,##0</c:formatCode>
                <c:ptCount val="8"/>
                <c:pt idx="0">
                  <c:v>63</c:v>
                </c:pt>
                <c:pt idx="1">
                  <c:v>288</c:v>
                </c:pt>
                <c:pt idx="2">
                  <c:v>152</c:v>
                </c:pt>
                <c:pt idx="3">
                  <c:v>290</c:v>
                </c:pt>
                <c:pt idx="4">
                  <c:v>137</c:v>
                </c:pt>
                <c:pt idx="5">
                  <c:v>283</c:v>
                </c:pt>
                <c:pt idx="6">
                  <c:v>95</c:v>
                </c:pt>
                <c:pt idx="7">
                  <c:v>326</c:v>
                </c:pt>
              </c:numCache>
            </c:numRef>
          </c:val>
        </c:ser>
        <c:dLbls>
          <c:showLegendKey val="0"/>
          <c:showVal val="0"/>
          <c:showCatName val="0"/>
          <c:showSerName val="0"/>
          <c:showPercent val="0"/>
          <c:showBubbleSize val="0"/>
        </c:dLbls>
        <c:gapWidth val="150"/>
        <c:axId val="147102720"/>
        <c:axId val="147149568"/>
      </c:barChart>
      <c:catAx>
        <c:axId val="147102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147149568"/>
        <c:crosses val="autoZero"/>
        <c:auto val="1"/>
        <c:lblAlgn val="ctr"/>
        <c:lblOffset val="100"/>
        <c:tickLblSkip val="1"/>
        <c:tickMarkSkip val="1"/>
        <c:noMultiLvlLbl val="0"/>
      </c:catAx>
      <c:valAx>
        <c:axId val="1471495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147102720"/>
        <c:crosses val="autoZero"/>
        <c:crossBetween val="between"/>
      </c:valAx>
      <c:spPr>
        <a:noFill/>
        <a:ln w="25400">
          <a:noFill/>
        </a:ln>
      </c:spPr>
    </c:plotArea>
    <c:legend>
      <c:legendPos val="r"/>
      <c:layout>
        <c:manualLayout>
          <c:xMode val="edge"/>
          <c:yMode val="edge"/>
          <c:x val="0.17571103770752006"/>
          <c:y val="0.91191940556034845"/>
          <c:w val="0.57881283009536022"/>
          <c:h val="7.25390436241186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819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8194"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8195"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8196"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8197"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8198"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8200"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31"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8233"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8201" name="Group 830"/>
        <xdr:cNvGrpSpPr>
          <a:grpSpLocks/>
        </xdr:cNvGrpSpPr>
      </xdr:nvGrpSpPr>
      <xdr:grpSpPr bwMode="auto">
        <a:xfrm>
          <a:off x="327025" y="1903413"/>
          <a:ext cx="2143125" cy="2124075"/>
          <a:chOff x="32" y="188"/>
          <a:chExt cx="225" cy="225"/>
        </a:xfrm>
      </xdr:grpSpPr>
      <xdr:sp macro="" textlink="">
        <xdr:nvSpPr>
          <xdr:cNvPr id="8228"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8202"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5"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8227"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8203"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1"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8204"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7"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8205"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3"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8206"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8208"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8210"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649"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9525</xdr:colOff>
      <xdr:row>34</xdr:row>
      <xdr:rowOff>47625</xdr:rowOff>
    </xdr:from>
    <xdr:to>
      <xdr:col>11</xdr:col>
      <xdr:colOff>638175</xdr:colOff>
      <xdr:row>45</xdr:row>
      <xdr:rowOff>28575</xdr:rowOff>
    </xdr:to>
    <xdr:cxnSp macro="">
      <xdr:nvCxnSpPr>
        <xdr:cNvPr id="6963" name="AutoShape 100"/>
        <xdr:cNvCxnSpPr>
          <a:cxnSpLocks noChangeShapeType="1"/>
        </xdr:cNvCxnSpPr>
      </xdr:nvCxnSpPr>
      <xdr:spPr bwMode="auto">
        <a:xfrm flipH="1">
          <a:off x="8267700" y="6210300"/>
          <a:ext cx="4705350" cy="340995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45</xdr:row>
      <xdr:rowOff>104775</xdr:rowOff>
    </xdr:from>
    <xdr:to>
      <xdr:col>4</xdr:col>
      <xdr:colOff>1057275</xdr:colOff>
      <xdr:row>45</xdr:row>
      <xdr:rowOff>104775</xdr:rowOff>
    </xdr:to>
    <xdr:cxnSp macro="">
      <xdr:nvCxnSpPr>
        <xdr:cNvPr id="6964" name="AutoShape 101"/>
        <xdr:cNvCxnSpPr>
          <a:cxnSpLocks noChangeShapeType="1"/>
        </xdr:cNvCxnSpPr>
      </xdr:nvCxnSpPr>
      <xdr:spPr bwMode="auto">
        <a:xfrm rot="10800000">
          <a:off x="5591175" y="8886825"/>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1265"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152400</xdr:colOff>
      <xdr:row>9</xdr:row>
      <xdr:rowOff>47625</xdr:rowOff>
    </xdr:from>
    <xdr:to>
      <xdr:col>11</xdr:col>
      <xdr:colOff>123825</xdr:colOff>
      <xdr:row>21</xdr:row>
      <xdr:rowOff>2574</xdr:rowOff>
    </xdr:to>
    <xdr:grpSp>
      <xdr:nvGrpSpPr>
        <xdr:cNvPr id="11267" name="Group 489"/>
        <xdr:cNvGrpSpPr>
          <a:grpSpLocks/>
        </xdr:cNvGrpSpPr>
      </xdr:nvGrpSpPr>
      <xdr:grpSpPr bwMode="auto">
        <a:xfrm>
          <a:off x="4026758" y="2338774"/>
          <a:ext cx="3478942" cy="2419864"/>
          <a:chOff x="410" y="229"/>
          <a:chExt cx="366" cy="235"/>
        </a:xfrm>
      </xdr:grpSpPr>
      <xdr:graphicFrame macro="">
        <xdr:nvGraphicFramePr>
          <xdr:cNvPr id="11271"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1272"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45" y="442"/>
            <a:ext cx="297" cy="22"/>
          </a:xfrm>
          <a:prstGeom prst="rect">
            <a:avLst/>
          </a:prstGeom>
          <a:noFill/>
          <a:ln w="9525">
            <a:noFill/>
            <a:miter lim="800000"/>
            <a:headEnd/>
            <a:tailEnd/>
          </a:ln>
        </xdr:spPr>
      </xdr:pic>
    </xdr:grpSp>
    <xdr:clientData/>
  </xdr:twoCellAnchor>
  <xdr:twoCellAnchor>
    <xdr:from>
      <xdr:col>0</xdr:col>
      <xdr:colOff>209550</xdr:colOff>
      <xdr:row>23</xdr:row>
      <xdr:rowOff>38100</xdr:rowOff>
    </xdr:from>
    <xdr:to>
      <xdr:col>6</xdr:col>
      <xdr:colOff>209550</xdr:colOff>
      <xdr:row>31</xdr:row>
      <xdr:rowOff>51486</xdr:rowOff>
    </xdr:to>
    <xdr:grpSp>
      <xdr:nvGrpSpPr>
        <xdr:cNvPr id="11268" name="Group 490"/>
        <xdr:cNvGrpSpPr>
          <a:grpSpLocks/>
        </xdr:cNvGrpSpPr>
      </xdr:nvGrpSpPr>
      <xdr:grpSpPr bwMode="auto">
        <a:xfrm>
          <a:off x="209550" y="5553590"/>
          <a:ext cx="3874358" cy="1918386"/>
          <a:chOff x="0" y="487"/>
          <a:chExt cx="407" cy="276"/>
        </a:xfrm>
      </xdr:grpSpPr>
      <xdr:graphicFrame macro="">
        <xdr:nvGraphicFramePr>
          <xdr:cNvPr id="11269" name="Chart 34"/>
          <xdr:cNvGraphicFramePr>
            <a:graphicFrameLocks/>
          </xdr:cNvGraphicFramePr>
        </xdr:nvGraphicFramePr>
        <xdr:xfrm>
          <a:off x="0" y="487"/>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1270"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9" y="741"/>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228600</xdr:colOff>
      <xdr:row>7</xdr:row>
      <xdr:rowOff>171450</xdr:rowOff>
    </xdr:from>
    <xdr:to>
      <xdr:col>12</xdr:col>
      <xdr:colOff>180975</xdr:colOff>
      <xdr:row>14</xdr:row>
      <xdr:rowOff>152400</xdr:rowOff>
    </xdr:to>
    <xdr:graphicFrame macro="">
      <xdr:nvGraphicFramePr>
        <xdr:cNvPr id="7169"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7170"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7171"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7172"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7173"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85725</xdr:rowOff>
    </xdr:from>
    <xdr:to>
      <xdr:col>11</xdr:col>
      <xdr:colOff>95250</xdr:colOff>
      <xdr:row>17</xdr:row>
      <xdr:rowOff>38100</xdr:rowOff>
    </xdr:to>
    <xdr:graphicFrame macro="">
      <xdr:nvGraphicFramePr>
        <xdr:cNvPr id="20481"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0483"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0484"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4577" name="Group 41"/>
        <xdr:cNvGrpSpPr>
          <a:grpSpLocks/>
        </xdr:cNvGrpSpPr>
      </xdr:nvGrpSpPr>
      <xdr:grpSpPr bwMode="auto">
        <a:xfrm>
          <a:off x="5556250" y="5154083"/>
          <a:ext cx="85725" cy="0"/>
          <a:chOff x="595" y="540"/>
          <a:chExt cx="9" cy="9"/>
        </a:xfrm>
      </xdr:grpSpPr>
      <xdr:sp macro="" textlink="">
        <xdr:nvSpPr>
          <xdr:cNvPr id="24588"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4578" name="Group 44"/>
        <xdr:cNvGrpSpPr>
          <a:grpSpLocks/>
        </xdr:cNvGrpSpPr>
      </xdr:nvGrpSpPr>
      <xdr:grpSpPr bwMode="auto">
        <a:xfrm>
          <a:off x="6537325" y="5154083"/>
          <a:ext cx="86783" cy="0"/>
          <a:chOff x="698" y="540"/>
          <a:chExt cx="9" cy="9"/>
        </a:xfrm>
      </xdr:grpSpPr>
      <xdr:sp macro="" textlink="">
        <xdr:nvSpPr>
          <xdr:cNvPr id="245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24579" name="Group 47"/>
        <xdr:cNvGrpSpPr>
          <a:grpSpLocks/>
        </xdr:cNvGrpSpPr>
      </xdr:nvGrpSpPr>
      <xdr:grpSpPr bwMode="auto">
        <a:xfrm>
          <a:off x="5183717" y="5154083"/>
          <a:ext cx="86783" cy="0"/>
          <a:chOff x="698" y="540"/>
          <a:chExt cx="9" cy="9"/>
        </a:xfrm>
      </xdr:grpSpPr>
      <xdr:sp macro="" textlink="">
        <xdr:nvSpPr>
          <xdr:cNvPr id="24584"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24580" name="Group 50"/>
        <xdr:cNvGrpSpPr>
          <a:grpSpLocks/>
        </xdr:cNvGrpSpPr>
      </xdr:nvGrpSpPr>
      <xdr:grpSpPr bwMode="auto">
        <a:xfrm>
          <a:off x="1439333" y="5154083"/>
          <a:ext cx="85725" cy="0"/>
          <a:chOff x="595" y="540"/>
          <a:chExt cx="9" cy="9"/>
        </a:xfrm>
      </xdr:grpSpPr>
      <xdr:sp macro="" textlink="">
        <xdr:nvSpPr>
          <xdr:cNvPr id="24582"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6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s/1.%20Centrul%20PAS/GFATM%20GRANTS/TB%20SSF_PR_GFATM/Financial%20reports/S9_SSF_TB/Revewed/PUDR%20on%20TB%20PAS%20Center%2030%2006%202015_Sep%20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PR_Programmatic Progress_1A"/>
      <sheetName val="PR_Programmatic Progress_1B"/>
      <sheetName val="PR_Grant Management_2"/>
      <sheetName val="PR_Total PR Cash Outflow_3A"/>
      <sheetName val="EFR TB Financial Data_3B"/>
      <sheetName val="PR_Procurement Info_4"/>
      <sheetName val="PR_Cash Reconciliation_5A"/>
      <sheetName val="PR_Disbursement Request_5B"/>
      <sheetName val="PR_Overall Performance_6"/>
      <sheetName val="PR_Cash Request_7A&amp;B"/>
      <sheetName val="PR_Bank Details_7C"/>
      <sheetName val="PR_Annex_SR-Financials"/>
      <sheetName val="Checklist"/>
      <sheetName val="LFA_Programmatic Progress_1A"/>
      <sheetName val="LFA_Programmatic Progress_1B"/>
      <sheetName val="LFA_Grant Management_2"/>
      <sheetName val="LFA_Total PR Cash Outflow_3A"/>
      <sheetName val="LFA_EFR Review_3B"/>
      <sheetName val="LFA_Procurement Info_4"/>
      <sheetName val="LFA_Findings&amp;Recommendations"/>
      <sheetName val="LFA_Cash Reconciliation_5A"/>
      <sheetName val="LFA_Disbursement Recommend_5B"/>
      <sheetName val="Sheet1"/>
      <sheetName val="LFA_Overall Performance_6"/>
      <sheetName val="LFA_DisbursementRecommendation7"/>
      <sheetName val="LFA_Bank Details_7C"/>
      <sheetName val="LFA_Annex-SR Financials"/>
      <sheetName val="Annex for additional info"/>
      <sheetName val="Memo HIV"/>
      <sheetName val="Memo TB"/>
      <sheetName val="Memo Malaria"/>
      <sheetName val="Definitions-lists-EFR"/>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9">
          <cell r="A39" t="str">
            <v>Please Select…</v>
          </cell>
        </row>
        <row r="40">
          <cell r="A40" t="str">
            <v>TB Detection</v>
          </cell>
        </row>
        <row r="41">
          <cell r="A41" t="str">
            <v>TB Treatment</v>
          </cell>
        </row>
        <row r="42">
          <cell r="A42" t="str">
            <v>TB/HIV Collaborative Activities</v>
          </cell>
        </row>
        <row r="43">
          <cell r="A43" t="str">
            <v>Supportive Environment</v>
          </cell>
        </row>
        <row r="44">
          <cell r="A44" t="str">
            <v>Health System Strengthening</v>
          </cell>
        </row>
      </sheetData>
      <sheetData sheetId="33"/>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43" connectionId="0">
    <xmlCellPr id="1" uniqueName="1">
      <xmlPr mapId="43" xpath="/ns1:Root/ns1:F2/ns1:TB__detect_and_treat_Cumulative_Budget__in___" xmlDataType="double"/>
    </xmlCellPr>
  </singleXmlCell>
  <singleXmlCell id="461" r="D43" connectionId="0">
    <xmlCellPr id="1" uniqueName="1">
      <xmlPr mapId="43" xpath="/ns1:Root/ns1:F2/ns1:TB__detect_and_treat_Cumulative_Expenditures__in___" xmlDataType="double"/>
    </xmlCellPr>
  </singleXmlCell>
  <singleXmlCell id="462" r="C44" connectionId="0">
    <xmlCellPr id="1" uniqueName="1">
      <xmlPr mapId="43" xpath="/ns1:Root/ns1:F2/ns1:TB__ID_cases_Cumulative_Budget__in___" xmlDataType="double"/>
    </xmlCellPr>
  </singleXmlCell>
  <singleXmlCell id="463" r="D44" connectionId="0">
    <xmlCellPr id="1" uniqueName="1">
      <xmlPr mapId="43" xpath="/ns1:Root/ns1:F2/ns1:TB__ID_cases_Cumulative_Expenditures__in___" xmlDataType="double"/>
    </xmlCellPr>
  </singleXmlCell>
  <singleXmlCell id="464" r="C45"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76" r="C51" connectionId="0">
    <xmlCellPr id="1" uniqueName="1">
      <xmlPr mapId="43" xpath="/ns1:Root/ns1:F3/ns1:Disbursed_by_Global_Fund_Prior_to_reporting_period__in___" xmlDataType="double"/>
    </xmlCellPr>
  </singleXmlCell>
  <singleXmlCell id="477" r="D51" connectionId="0">
    <xmlCellPr id="1" uniqueName="1">
      <xmlPr mapId="43" xpath="/ns1:Root/ns1:F3/ns1:Disbursed_by_Global_Fund_Reporting_period__in___" xmlDataType="double"/>
    </xmlCellPr>
  </singleXmlCell>
  <singleXmlCell id="478" r="C52" connectionId="0">
    <xmlCellPr id="1" uniqueName="1">
      <xmlPr mapId="43" xpath="/ns1:Root/ns1:F3/ns1:PR_expenditure_and_disbursement_Prior_to_reporting_period__in___" xmlDataType="double"/>
    </xmlCellPr>
  </singleXmlCell>
  <singleXmlCell id="479" r="D52" connectionId="0">
    <xmlCellPr id="1" uniqueName="1">
      <xmlPr mapId="43" xpath="/ns1:Root/ns1:F3/ns1:PR_expenditure_and_disbursement_Reporting_period__in___" xmlDataType="double"/>
    </xmlCellPr>
  </singleXmlCell>
  <singleXmlCell id="480" r="C53" connectionId="0">
    <xmlCellPr id="1" uniqueName="1">
      <xmlPr mapId="43" xpath="/ns1:Root/ns1:F3/ns1:Disbursed_to_SRs_Prior_to_reporting_period__in___" xmlDataType="double"/>
    </xmlCellPr>
  </singleXmlCell>
  <singleXmlCell id="481" r="D53" connectionId="0">
    <xmlCellPr id="1" uniqueName="1">
      <xmlPr mapId="43" xpath="/ns1:Root/ns1:F3/ns1:Disbursed_to_SRs_Reporting_period__in___" xmlDataType="double"/>
    </xmlCellPr>
  </singleXmlCell>
  <singleXmlCell id="482" r="C54" connectionId="0">
    <xmlCellPr id="1" uniqueName="1">
      <xmlPr mapId="43" xpath="/ns1:Root/ns1:F3/ns1:SR_expenditures_Prior_to_reporting_period__in___" xmlDataType="double"/>
    </xmlCellPr>
  </singleXmlCell>
  <singleXmlCell id="483" r="D54" connectionId="0">
    <xmlCellPr id="1" uniqueName="1">
      <xmlPr mapId="43" xpath="/ns1:Root/ns1:F3/ns1:SR_expenditures_Reporting_period__in___" xmlDataType="double"/>
    </xmlCellPr>
  </singleXmlCell>
  <singleXmlCell id="484" r="C61" connectionId="0">
    <xmlCellPr id="1" uniqueName="1">
      <xmlPr mapId="43" xpath="/ns1:Root/ns1:F4/ns1:Days_taken_to_submit_acceptable_PU_DR_to_LFA_Expected__days_" xmlDataType="double"/>
    </xmlCellPr>
  </singleXmlCell>
  <singleXmlCell id="485" r="D61" connectionId="0">
    <xmlCellPr id="1" uniqueName="1">
      <xmlPr mapId="43" xpath="/ns1:Root/ns1:F4/ns1:Days_taken_to_submit_acceptable_PU_DR_to_LFA_Actual__days_" xmlDataType="double"/>
    </xmlCellPr>
  </singleXmlCell>
  <singleXmlCell id="486" r="C62" connectionId="0">
    <xmlCellPr id="1" uniqueName="1">
      <xmlPr mapId="43" xpath="/ns1:Root/ns1:F4/ns1:Days_taken_for_disbursement_to_reach_PR_Expected__days_" xmlDataType="double"/>
    </xmlCellPr>
  </singleXmlCell>
  <singleXmlCell id="487" r="D62" connectionId="0">
    <xmlCellPr id="1" uniqueName="1">
      <xmlPr mapId="43" xpath="/ns1:Root/ns1:F4/ns1:Days_taken_for_disbursement_to_reach_PR_Actual__days_" xmlDataType="double"/>
    </xmlCellPr>
  </singleXmlCell>
  <singleXmlCell id="488" r="C63" connectionId="0">
    <xmlCellPr id="1" uniqueName="1">
      <xmlPr mapId="43" xpath="/ns1:Root/ns1:F4/ns1:Days_taken_for_disbursement_to_reach_SRs__Expected__days_" xmlDataType="double"/>
    </xmlCellPr>
  </singleXmlCell>
  <singleXmlCell id="489" r="D63" connectionId="0">
    <xmlCellPr id="1" uniqueName="1">
      <xmlPr mapId="43" xpath="/ns1:Root/ns1:F4/ns1:Days_taken_for_disbursement_to_reach_SRs__Actual__days_" xmlDataType="double"/>
    </xmlCellPr>
  </singleXmlCell>
  <singleXmlCell id="490" r="B71" connectionId="0">
    <xmlCellPr id="1" uniqueName="1">
      <xmlPr mapId="43" xpath="/ns1:Root/ns1:M1/ns1:Conditions_precedents__CPs__" xmlDataType="string"/>
    </xmlCellPr>
  </singleXmlCell>
  <singleXmlCell id="491" r="D71" connectionId="0">
    <xmlCellPr id="1" uniqueName="1">
      <xmlPr mapId="43" xpath="/ns1:Root/ns1:M1/ns1:Conditions_precedents__CPs__Fulfilled" xmlDataType="double"/>
    </xmlCellPr>
  </singleXmlCell>
  <singleXmlCell id="492" r="E71" connectionId="0">
    <xmlCellPr id="1" uniqueName="1">
      <xmlPr mapId="43" xpath="/ns1:Root/ns1:M1/ns1:Conditions_precedents__CPs__Not_fulfilled__but_within_deadline" xmlDataType="double"/>
    </xmlCellPr>
  </singleXmlCell>
  <singleXmlCell id="493" r="F71" connectionId="0">
    <xmlCellPr id="1" uniqueName="1">
      <xmlPr mapId="43" xpath="/ns1:Root/ns1:M1/ns1:Conditions_precedents__CPs__Not_fulfilled__and_past_the_deadline" xmlDataType="double"/>
    </xmlCellPr>
  </singleXmlCell>
  <singleXmlCell id="494" r="B72" connectionId="0">
    <xmlCellPr id="1" uniqueName="1">
      <xmlPr mapId="43" xpath="/ns1:Root/ns1:M1/ns1:Time_Bound_Actions__TBAs__" xmlDataType="string"/>
    </xmlCellPr>
  </singleXmlCell>
  <singleXmlCell id="495" r="D72" connectionId="0">
    <xmlCellPr id="1" uniqueName="1">
      <xmlPr mapId="43" xpath="/ns1:Root/ns1:M1/ns1:Time_Bound_Actions__TBAs__Fulfilled" xmlDataType="double"/>
    </xmlCellPr>
  </singleXmlCell>
  <singleXmlCell id="496" r="E72" connectionId="0">
    <xmlCellPr id="1" uniqueName="1">
      <xmlPr mapId="43" xpath="/ns1:Root/ns1:M1/ns1:Time_Bound_Actions__TBAs__Not_fulfilled__but_within_deadline" xmlDataType="string"/>
    </xmlCellPr>
  </singleXmlCell>
  <singleXmlCell id="497" r="F72" connectionId="0">
    <xmlCellPr id="1" uniqueName="1">
      <xmlPr mapId="43" xpath="/ns1:Root/ns1:M1/ns1:Time_Bound_Actions__TBAs__Not_fulfilled__and_past_the_deadline" xmlDataType="double"/>
    </xmlCellPr>
  </singleXmlCell>
  <singleXmlCell id="498" r="C78" connectionId="0">
    <xmlCellPr id="1" uniqueName="1">
      <xmlPr mapId="43" xpath="/ns1:Root/ns1:M2/ns1:PMU_Planned" xmlDataType="double"/>
    </xmlCellPr>
  </singleXmlCell>
  <singleXmlCell id="499" r="D78" connectionId="0">
    <xmlCellPr id="1" uniqueName="1">
      <xmlPr mapId="43" xpath="/ns1:Root/ns1:M2/ns1:PMU_Filled" xmlDataType="double"/>
    </xmlCellPr>
  </singleXmlCell>
  <singleXmlCell id="500" r="C83" connectionId="0">
    <xmlCellPr id="1" uniqueName="1">
      <xmlPr mapId="43" xpath="/ns1:Root/ns1:M3/ns1:SRs_Identified" xmlDataType="double"/>
    </xmlCellPr>
  </singleXmlCell>
  <singleXmlCell id="501" r="D83" connectionId="0">
    <xmlCellPr id="1" uniqueName="1">
      <xmlPr mapId="43" xpath="/ns1:Root/ns1:M3/ns1:SRs_Assessed" xmlDataType="double"/>
    </xmlCellPr>
  </singleXmlCell>
  <singleXmlCell id="502" r="E83" connectionId="0">
    <xmlCellPr id="1" uniqueName="1">
      <xmlPr mapId="43" xpath="/ns1:Root/ns1:M3/ns1:SRs_Approved" xmlDataType="double"/>
    </xmlCellPr>
  </singleXmlCell>
  <singleXmlCell id="503" r="F83" connectionId="0">
    <xmlCellPr id="1" uniqueName="1">
      <xmlPr mapId="43" xpath="/ns1:Root/ns1:M3/ns1:SRs_Signed" xmlDataType="double"/>
    </xmlCellPr>
  </singleXmlCell>
  <singleXmlCell id="504" r="G83" connectionId="0">
    <xmlCellPr id="1" uniqueName="1">
      <xmlPr mapId="43" xpath="/ns1:Root/ns1:M3/ns1:SRs_Receiving_Funding" xmlDataType="double"/>
    </xmlCellPr>
  </singleXmlCell>
  <singleXmlCell id="506" r="C88" connectionId="0">
    <xmlCellPr id="1" uniqueName="1">
      <xmlPr mapId="43" xpath="/ns1:Root/ns1:M4/ns1:SSR_to_SR__IR_____Expected" xmlDataType="string"/>
    </xmlCellPr>
  </singleXmlCell>
  <singleXmlCell id="507" r="D88" connectionId="0">
    <xmlCellPr id="1" uniqueName="1">
      <xmlPr mapId="43" xpath="/ns1:Root/ns1:M4/ns1:SSR_to_SR__IR____Received" xmlDataType="string"/>
    </xmlCellPr>
  </singleXmlCell>
  <singleXmlCell id="509" r="C89" connectionId="0">
    <xmlCellPr id="1" uniqueName="1">
      <xmlPr mapId="43" xpath="/ns1:Root/ns1:M4/ns1:SRs__IRs__to_PR____Expected" xmlDataType="double"/>
    </xmlCellPr>
  </singleXmlCell>
  <singleXmlCell id="510" r="D89" connectionId="0">
    <xmlCellPr id="1" uniqueName="1">
      <xmlPr mapId="43" xpath="/ns1:Root/ns1:M4/ns1:SRs__IRs__to_PR___Received" xmlDataType="double"/>
    </xmlCellPr>
  </singleXmlCell>
  <singleXmlCell id="511" r="C94" connectionId="0">
    <xmlCellPr id="1" uniqueName="1">
      <xmlPr mapId="43" xpath="/ns1:Root/ns1:M5/ns1:Budget_Approved__P1" xmlDataType="double"/>
    </xmlCellPr>
  </singleXmlCell>
  <singleXmlCell id="512" r="D94" connectionId="0">
    <xmlCellPr id="1" uniqueName="1">
      <xmlPr mapId="43" xpath="/ns1:Root/ns1:M5/ns1:Budget_Approved__P2" xmlDataType="double"/>
    </xmlCellPr>
  </singleXmlCell>
  <singleXmlCell id="513" r="E94" connectionId="0">
    <xmlCellPr id="1" uniqueName="1">
      <xmlPr mapId="43" xpath="/ns1:Root/ns1:M5/ns1:Budget_Approved__P3" xmlDataType="double"/>
    </xmlCellPr>
  </singleXmlCell>
  <singleXmlCell id="514" r="F94" connectionId="0">
    <xmlCellPr id="1" uniqueName="1">
      <xmlPr mapId="43" xpath="/ns1:Root/ns1:M5/ns1:Budget_Approved__P4" xmlDataType="double"/>
    </xmlCellPr>
  </singleXmlCell>
  <singleXmlCell id="515" r="G94" connectionId="0">
    <xmlCellPr id="1" uniqueName="1">
      <xmlPr mapId="43" xpath="/ns1:Root/ns1:M5/ns1:Budget_Approved__P5" xmlDataType="double"/>
    </xmlCellPr>
  </singleXmlCell>
  <singleXmlCell id="516" r="H94" connectionId="0">
    <xmlCellPr id="1" uniqueName="1">
      <xmlPr mapId="43" xpath="/ns1:Root/ns1:M5/ns1:Budget_Approved__P6" xmlDataType="double"/>
    </xmlCellPr>
  </singleXmlCell>
  <singleXmlCell id="517" r="I94" connectionId="0">
    <xmlCellPr id="1" uniqueName="1">
      <xmlPr mapId="43" xpath="/ns1:Root/ns1:M5/ns1:Budget_Approved__P7" xmlDataType="double"/>
    </xmlCellPr>
  </singleXmlCell>
  <singleXmlCell id="518" r="J94" connectionId="0">
    <xmlCellPr id="1" uniqueName="1">
      <xmlPr mapId="43" xpath="/ns1:Root/ns1:M5/ns1:Budget_Approved__P8" xmlDataType="double"/>
    </xmlCellPr>
  </singleXmlCell>
  <singleXmlCell id="519" r="K94" connectionId="0">
    <xmlCellPr id="1" uniqueName="1">
      <xmlPr mapId="43" xpath="/ns1:Root/ns1:M5/ns1:Budget_Approved__P9" xmlDataType="double"/>
    </xmlCellPr>
  </singleXmlCell>
  <singleXmlCell id="520" r="L94" connectionId="0">
    <xmlCellPr id="1" uniqueName="1">
      <xmlPr mapId="43" xpath="/ns1:Root/ns1:M5/ns1:Budget_Approved__P10" xmlDataType="double"/>
    </xmlCellPr>
  </singleXmlCell>
  <singleXmlCell id="521" r="M94" connectionId="0">
    <xmlCellPr id="1" uniqueName="1">
      <xmlPr mapId="43" xpath="/ns1:Root/ns1:M5/ns1:Budget_Approved__P11" xmlDataType="double"/>
    </xmlCellPr>
  </singleXmlCell>
  <singleXmlCell id="522" r="N94" connectionId="0">
    <xmlCellPr id="1" uniqueName="1">
      <xmlPr mapId="43" xpath="/ns1:Root/ns1:M5/ns1:Budget_Approved__P12" xmlDataType="double"/>
    </xmlCellPr>
  </singleXmlCell>
  <singleXmlCell id="523" r="C95" connectionId="0">
    <xmlCellPr id="1" uniqueName="1">
      <xmlPr mapId="43" xpath="/ns1:Root/ns1:M5/ns1:Obligations_P1" xmlDataType="double"/>
    </xmlCellPr>
  </singleXmlCell>
  <singleXmlCell id="524" r="D95" connectionId="0">
    <xmlCellPr id="1" uniqueName="1">
      <xmlPr mapId="43" xpath="/ns1:Root/ns1:M5/ns1:Obligations_P2" xmlDataType="double"/>
    </xmlCellPr>
  </singleXmlCell>
  <singleXmlCell id="525" r="E95" connectionId="0">
    <xmlCellPr id="1" uniqueName="1">
      <xmlPr mapId="43" xpath="/ns1:Root/ns1:M5/ns1:Obligations_P3" xmlDataType="double"/>
    </xmlCellPr>
  </singleXmlCell>
  <singleXmlCell id="526" r="F95" connectionId="0">
    <xmlCellPr id="1" uniqueName="1">
      <xmlPr mapId="43" xpath="/ns1:Root/ns1:M5/ns1:Obligations_P4" xmlDataType="double"/>
    </xmlCellPr>
  </singleXmlCell>
  <singleXmlCell id="527" r="G95" connectionId="0">
    <xmlCellPr id="1" uniqueName="1">
      <xmlPr mapId="43" xpath="/ns1:Root/ns1:M5/ns1:Obligations_P5" xmlDataType="double"/>
    </xmlCellPr>
  </singleXmlCell>
  <singleXmlCell id="528" r="H95" connectionId="0">
    <xmlCellPr id="1" uniqueName="1">
      <xmlPr mapId="43" xpath="/ns1:Root/ns1:M5/ns1:Obligations_P6" xmlDataType="double"/>
    </xmlCellPr>
  </singleXmlCell>
  <singleXmlCell id="529" r="I95" connectionId="0">
    <xmlCellPr id="1" uniqueName="1">
      <xmlPr mapId="43" xpath="/ns1:Root/ns1:M5/ns1:Obligations_P7" xmlDataType="double"/>
    </xmlCellPr>
  </singleXmlCell>
  <singleXmlCell id="530" r="J95" connectionId="0">
    <xmlCellPr id="1" uniqueName="1">
      <xmlPr mapId="43" xpath="/ns1:Root/ns1:M5/ns1:Obligations_P8" xmlDataType="double"/>
    </xmlCellPr>
  </singleXmlCell>
  <singleXmlCell id="531" r="K95" connectionId="0">
    <xmlCellPr id="1" uniqueName="1">
      <xmlPr mapId="43" xpath="/ns1:Root/ns1:M5/ns1:Obligations_P9" xmlDataType="double"/>
    </xmlCellPr>
  </singleXmlCell>
  <singleXmlCell id="532" r="L95" connectionId="0">
    <xmlCellPr id="1" uniqueName="1">
      <xmlPr mapId="43" xpath="/ns1:Root/ns1:M5/ns1:Obligations_P10" xmlDataType="double"/>
    </xmlCellPr>
  </singleXmlCell>
  <singleXmlCell id="533" r="M95" connectionId="0">
    <xmlCellPr id="1" uniqueName="1">
      <xmlPr mapId="43" xpath="/ns1:Root/ns1:M5/ns1:Obligations_P11" xmlDataType="double"/>
    </xmlCellPr>
  </singleXmlCell>
  <singleXmlCell id="534" r="N95" connectionId="0">
    <xmlCellPr id="1" uniqueName="1">
      <xmlPr mapId="43" xpath="/ns1:Root/ns1:M5/ns1:Obligations_P12" xmlDataType="double"/>
    </xmlCellPr>
  </singleXmlCell>
  <singleXmlCell id="535" r="C96" connectionId="0">
    <xmlCellPr id="1" uniqueName="1">
      <xmlPr mapId="43" xpath="/ns1:Root/ns1:M5/ns1:Expenditures_P1" xmlDataType="double"/>
    </xmlCellPr>
  </singleXmlCell>
  <singleXmlCell id="536" r="D96" connectionId="0">
    <xmlCellPr id="1" uniqueName="1">
      <xmlPr mapId="43" xpath="/ns1:Root/ns1:M5/ns1:Expenditures_P2" xmlDataType="double"/>
    </xmlCellPr>
  </singleXmlCell>
  <singleXmlCell id="537" r="E96" connectionId="0">
    <xmlCellPr id="1" uniqueName="1">
      <xmlPr mapId="43" xpath="/ns1:Root/ns1:M5/ns1:Expenditures_P3" xmlDataType="double"/>
    </xmlCellPr>
  </singleXmlCell>
  <singleXmlCell id="538" r="F96" connectionId="0">
    <xmlCellPr id="1" uniqueName="1">
      <xmlPr mapId="43" xpath="/ns1:Root/ns1:M5/ns1:Expenditures_P4" xmlDataType="double"/>
    </xmlCellPr>
  </singleXmlCell>
  <singleXmlCell id="539" r="G96" connectionId="0">
    <xmlCellPr id="1" uniqueName="1">
      <xmlPr mapId="43" xpath="/ns1:Root/ns1:M5/ns1:Expenditures_P5" xmlDataType="double"/>
    </xmlCellPr>
  </singleXmlCell>
  <singleXmlCell id="540" r="H96" connectionId="0">
    <xmlCellPr id="1" uniqueName="1">
      <xmlPr mapId="43" xpath="/ns1:Root/ns1:M5/ns1:Expenditures_P6" xmlDataType="double"/>
    </xmlCellPr>
  </singleXmlCell>
  <singleXmlCell id="541" r="I96" connectionId="0">
    <xmlCellPr id="1" uniqueName="1">
      <xmlPr mapId="43" xpath="/ns1:Root/ns1:M5/ns1:Expenditures_P7" xmlDataType="double"/>
    </xmlCellPr>
  </singleXmlCell>
  <singleXmlCell id="542" r="J96" connectionId="0">
    <xmlCellPr id="1" uniqueName="1">
      <xmlPr mapId="43" xpath="/ns1:Root/ns1:M5/ns1:Expenditures_P8" xmlDataType="double"/>
    </xmlCellPr>
  </singleXmlCell>
  <singleXmlCell id="543" r="K96" connectionId="0">
    <xmlCellPr id="1" uniqueName="1">
      <xmlPr mapId="43" xpath="/ns1:Root/ns1:M5/ns1:Expenditures_P9" xmlDataType="double"/>
    </xmlCellPr>
  </singleXmlCell>
  <singleXmlCell id="544" r="L96" connectionId="0">
    <xmlCellPr id="1" uniqueName="1">
      <xmlPr mapId="43" xpath="/ns1:Root/ns1:M5/ns1:Expenditures_P10" xmlDataType="double"/>
    </xmlCellPr>
  </singleXmlCell>
  <singleXmlCell id="545" r="M96" connectionId="0">
    <xmlCellPr id="1" uniqueName="1">
      <xmlPr mapId="43" xpath="/ns1:Root/ns1:M5/ns1:Expenditures_P11" xmlDataType="double"/>
    </xmlCellPr>
  </singleXmlCell>
  <singleXmlCell id="546" r="N96" connectionId="0">
    <xmlCellPr id="1" uniqueName="1">
      <xmlPr mapId="43" xpath="/ns1:Root/ns1:M5/ns1:Expenditures_P12" xmlDataType="double"/>
    </xmlCellPr>
  </singleXmlCell>
  <singleXmlCell id="547" r="C107" connectionId="0">
    <xmlCellPr id="1" uniqueName="1">
      <xmlPr mapId="43" xpath="/ns1:Root/ns1:M6/ns1:HIV___AIDS_Products" xmlDataType="string"/>
    </xmlCellPr>
  </singleXmlCell>
  <singleXmlCell id="548" r="D107" connectionId="0">
    <xmlCellPr id="1" uniqueName="1">
      <xmlPr mapId="43" xpath="/ns1:Root/ns1:M6/ns1:HIV___AIDS__1__Number_of_tablets_per_patient_per_day__Review_country_treatment_guidelines_" xmlDataType="double"/>
    </xmlCellPr>
  </singleXmlCell>
  <singleXmlCell id="549" r="F107" connectionId="0">
    <xmlCellPr id="1" uniqueName="1">
      <xmlPr mapId="43" xpath="/ns1:Root/ns1:M6/ns1:HIV___AIDS__3__Total_patients_in_treatment" xmlDataType="double"/>
    </xmlCellPr>
  </singleXmlCell>
  <singleXmlCell id="550" r="H107" connectionId="0">
    <xmlCellPr id="1" uniqueName="1">
      <xmlPr mapId="43" xpath="/ns1:Root/ns1:M6/ns1:HIV___AIDS__5__Current_stock_in_central_warehouse__that_does_not_expire_within_the_next_3_months_" xmlDataType="double"/>
    </xmlCellPr>
  </singleXmlCell>
  <singleXmlCell id="551" r="J107" connectionId="0">
    <xmlCellPr id="1" uniqueName="1">
      <xmlPr mapId="43" xpath="/ns1:Root/ns1:M6/ns1:HIV___AIDS__7__Level_of_safety_stock__expressed_in_months_and_defined_by_country__" xmlDataType="double"/>
    </xmlCellPr>
  </singleXmlCell>
  <singleXmlCell id="552" r="C108" connectionId="0">
    <xmlCellPr id="1" uniqueName="1">
      <xmlPr mapId="43" xpath="/ns1:Root/ns1:M6/ns1:_Products_1" xmlDataType="string"/>
    </xmlCellPr>
  </singleXmlCell>
  <singleXmlCell id="553" r="D108" connectionId="0">
    <xmlCellPr id="1" uniqueName="1">
      <xmlPr mapId="43" xpath="/ns1:Root/ns1:M6/ns1:__1__Number_of_tablets_per_patient_per_day__Review_country_treatment_guidelines__1" xmlDataType="double"/>
    </xmlCellPr>
  </singleXmlCell>
  <singleXmlCell id="554" r="F108" connectionId="0">
    <xmlCellPr id="1" uniqueName="1">
      <xmlPr mapId="43" xpath="/ns1:Root/ns1:M6/ns1:__3__Total_patients_in_treatment_1" xmlDataType="double"/>
    </xmlCellPr>
  </singleXmlCell>
  <singleXmlCell id="555" r="H108" connectionId="0">
    <xmlCellPr id="1" uniqueName="1">
      <xmlPr mapId="43" xpath="/ns1:Root/ns1:M6/ns1:__5__Current_stock_in_central_warehouse__that_does_not_expire_within_the_next_3_months__1" xmlDataType="double"/>
    </xmlCellPr>
  </singleXmlCell>
  <singleXmlCell id="556" r="J108" connectionId="0">
    <xmlCellPr id="1" uniqueName="1">
      <xmlPr mapId="43" xpath="/ns1:Root/ns1:M6/ns1:__7__Level_of_safety_stock__expressed_in_months_and_defined_by_country___1" xmlDataType="double"/>
    </xmlCellPr>
  </singleXmlCell>
  <singleXmlCell id="557" r="C109" connectionId="0">
    <xmlCellPr id="1" uniqueName="1">
      <xmlPr mapId="43" xpath="/ns1:Root/ns1:M6/ns1:_Products_2" xmlDataType="string"/>
    </xmlCellPr>
  </singleXmlCell>
  <singleXmlCell id="558" r="D109" connectionId="0">
    <xmlCellPr id="1" uniqueName="1">
      <xmlPr mapId="43" xpath="/ns1:Root/ns1:M6/ns1:__1__Number_of_tablets_per_patient_per_day__Review_country_treatment_guidelines__2" xmlDataType="double"/>
    </xmlCellPr>
  </singleXmlCell>
  <singleXmlCell id="559" r="F109" connectionId="0">
    <xmlCellPr id="1" uniqueName="1">
      <xmlPr mapId="43" xpath="/ns1:Root/ns1:M6/ns1:__3__Total_patients_in_treatment_2" xmlDataType="double"/>
    </xmlCellPr>
  </singleXmlCell>
  <singleXmlCell id="560" r="H109" connectionId="0">
    <xmlCellPr id="1" uniqueName="1">
      <xmlPr mapId="43" xpath="/ns1:Root/ns1:M6/ns1:__5__Current_stock_in_central_warehouse__that_does_not_expire_within_the_next_3_months__2" xmlDataType="double"/>
    </xmlCellPr>
  </singleXmlCell>
  <singleXmlCell id="561" r="J109" connectionId="0">
    <xmlCellPr id="1" uniqueName="1">
      <xmlPr mapId="43" xpath="/ns1:Root/ns1:M6/ns1:__7__Level_of_safety_stock__expressed_in_months_and_defined_by_country___2" xmlDataType="double"/>
    </xmlCellPr>
  </singleXmlCell>
  <singleXmlCell id="562" r="C110" connectionId="0">
    <xmlCellPr id="1" uniqueName="1">
      <xmlPr mapId="43" xpath="/ns1:Root/ns1:M6/ns1:_Products" xmlDataType="string"/>
    </xmlCellPr>
  </singleXmlCell>
  <singleXmlCell id="563" r="D110" connectionId="0">
    <xmlCellPr id="1" uniqueName="1">
      <xmlPr mapId="43" xpath="/ns1:Root/ns1:M6/ns1:__1__Number_of_tablets_per_patient_per_day__Review_country_treatment_guidelines_" xmlDataType="double"/>
    </xmlCellPr>
  </singleXmlCell>
  <singleXmlCell id="564" r="F110" connectionId="0">
    <xmlCellPr id="1" uniqueName="1">
      <xmlPr mapId="43" xpath="/ns1:Root/ns1:M6/ns1:__3__Total_patients_in_treatment" xmlDataType="double"/>
    </xmlCellPr>
  </singleXmlCell>
  <singleXmlCell id="565" r="H110" connectionId="0">
    <xmlCellPr id="1" uniqueName="1">
      <xmlPr mapId="43" xpath="/ns1:Root/ns1:M6/ns1:__5__Current_stock_in_central_warehouse__that_does_not_expire_within_the_next_3_months_" xmlDataType="double"/>
    </xmlCellPr>
  </singleXmlCell>
  <singleXmlCell id="566" r="J110" connectionId="0">
    <xmlCellPr id="1" uniqueName="1">
      <xmlPr mapId="43" xpath="/ns1:Root/ns1:M6/ns1:__7__Level_of_safety_stock__expressed_in_months_and_defined_by_country__" xmlDataType="double"/>
    </xmlCellPr>
  </singleXmlCell>
  <singleXmlCell id="569" r="J120" connectionId="0">
    <xmlCellPr id="1" uniqueName="1">
      <xmlPr mapId="43" xpath="/ns1:Root/ns1:Prog/ns1:Target_P3_1" xmlDataType="double"/>
    </xmlCellPr>
  </singleXmlCell>
  <singleXmlCell id="570" r="K120" connectionId="0">
    <xmlCellPr id="1" uniqueName="1">
      <xmlPr mapId="43" xpath="/ns1:Root/ns1:Prog/ns1:Target_P4_1" xmlDataType="double"/>
    </xmlCellPr>
  </singleXmlCell>
  <singleXmlCell id="571" r="L120" connectionId="0">
    <xmlCellPr id="1" uniqueName="1">
      <xmlPr mapId="43" xpath="/ns1:Root/ns1:Prog/ns1:Target_P5_1" xmlDataType="double"/>
    </xmlCellPr>
  </singleXmlCell>
  <singleXmlCell id="572" r="M120" connectionId="0">
    <xmlCellPr id="1" uniqueName="1">
      <xmlPr mapId="43" xpath="/ns1:Root/ns1:Prog/ns1:Target_P6_1" xmlDataType="double"/>
    </xmlCellPr>
  </singleXmlCell>
  <singleXmlCell id="573" r="N120" connectionId="0">
    <xmlCellPr id="1" uniqueName="1">
      <xmlPr mapId="43" xpath="/ns1:Root/ns1:Prog/ns1:Target_P7_1" xmlDataType="double"/>
    </xmlCellPr>
  </singleXmlCell>
  <singleXmlCell id="574" r="P120" connectionId="0">
    <xmlCellPr id="1" uniqueName="1">
      <xmlPr mapId="43" xpath="/ns1:Root/ns1:Prog/ns1:Target_P8_1" xmlDataType="double"/>
    </xmlCellPr>
  </singleXmlCell>
  <singleXmlCell id="577" r="H120" connectionId="0">
    <xmlCellPr id="1" uniqueName="1">
      <xmlPr mapId="43" xpath="/ns1:Root/ns1:Prog/ns1:Target_P11_1" xmlDataType="double"/>
    </xmlCellPr>
  </singleXmlCell>
  <singleXmlCell id="578" r="I120" connectionId="0">
    <xmlCellPr id="1" uniqueName="1">
      <xmlPr mapId="43" xpath="/ns1:Root/ns1:Prog/ns1:Target_P12_1" xmlDataType="double"/>
    </xmlCellPr>
  </singleXmlCell>
  <singleXmlCell id="581" r="J121" connectionId="0">
    <xmlCellPr id="1" uniqueName="1">
      <xmlPr mapId="43" xpath="/ns1:Root/ns1:Prog/ns1:Achieved__P3_1" xmlDataType="double"/>
    </xmlCellPr>
  </singleXmlCell>
  <singleXmlCell id="582" r="K121" connectionId="0">
    <xmlCellPr id="1" uniqueName="1">
      <xmlPr mapId="43" xpath="/ns1:Root/ns1:Prog/ns1:Achieved__P4_1" xmlDataType="double"/>
    </xmlCellPr>
  </singleXmlCell>
  <singleXmlCell id="583" r="L121" connectionId="0">
    <xmlCellPr id="1" uniqueName="1">
      <xmlPr mapId="43" xpath="/ns1:Root/ns1:Prog/ns1:Achieved__P5_1" xmlDataType="string"/>
    </xmlCellPr>
  </singleXmlCell>
  <singleXmlCell id="584" r="M121" connectionId="0">
    <xmlCellPr id="1" uniqueName="1">
      <xmlPr mapId="43" xpath="/ns1:Root/ns1:Prog/ns1:Achieved__P6_1" xmlDataType="string"/>
    </xmlCellPr>
  </singleXmlCell>
  <singleXmlCell id="585" r="N121" connectionId="0">
    <xmlCellPr id="1" uniqueName="1">
      <xmlPr mapId="43" xpath="/ns1:Root/ns1:Prog/ns1:Achieved__P7_1" xmlDataType="string"/>
    </xmlCellPr>
  </singleXmlCell>
  <singleXmlCell id="586" r="P121" connectionId="0">
    <xmlCellPr id="1" uniqueName="1">
      <xmlPr mapId="43" xpath="/ns1:Root/ns1:Prog/ns1:Achieved__P8_1" xmlDataType="string"/>
    </xmlCellPr>
  </singleXmlCell>
  <singleXmlCell id="589" r="H121" connectionId="0">
    <xmlCellPr id="1" uniqueName="1">
      <xmlPr mapId="43" xpath="/ns1:Root/ns1:Prog/ns1:Achieved__P11_1" xmlDataType="string"/>
    </xmlCellPr>
  </singleXmlCell>
  <singleXmlCell id="590" r="I121" connectionId="0">
    <xmlCellPr id="1" uniqueName="1">
      <xmlPr mapId="43" xpath="/ns1:Root/ns1:Prog/ns1:Achieved__P12_1" xmlDataType="string"/>
    </xmlCellPr>
  </singleXmlCell>
  <singleXmlCell id="593" r="J124" connectionId="0">
    <xmlCellPr id="1" uniqueName="1">
      <xmlPr mapId="43" xpath="/ns1:Root/ns1:Prog/ns1:Target_P3_2" xmlDataType="double"/>
    </xmlCellPr>
  </singleXmlCell>
  <singleXmlCell id="594" r="L124" connectionId="0">
    <xmlCellPr id="1" uniqueName="1">
      <xmlPr mapId="43" xpath="/ns1:Root/ns1:Prog/ns1:Target_P5_2" xmlDataType="double"/>
    </xmlCellPr>
  </singleXmlCell>
  <singleXmlCell id="595" r="M124" connectionId="0">
    <xmlCellPr id="1" uniqueName="1">
      <xmlPr mapId="43" xpath="/ns1:Root/ns1:Prog/ns1:Target_P6_2" xmlDataType="double"/>
    </xmlCellPr>
  </singleXmlCell>
  <singleXmlCell id="596" r="N124" connectionId="0">
    <xmlCellPr id="1" uniqueName="1">
      <xmlPr mapId="43" xpath="/ns1:Root/ns1:Prog/ns1:Target_P7_2" xmlDataType="double"/>
    </xmlCellPr>
  </singleXmlCell>
  <singleXmlCell id="597" r="P124" connectionId="0">
    <xmlCellPr id="1" uniqueName="1">
      <xmlPr mapId="43" xpath="/ns1:Root/ns1:Prog/ns1:Target_P8_2" xmlDataType="double"/>
    </xmlCellPr>
  </singleXmlCell>
  <singleXmlCell id="600" r="H124" connectionId="0">
    <xmlCellPr id="1" uniqueName="1">
      <xmlPr mapId="43" xpath="/ns1:Root/ns1:Prog/ns1:Target_P11_2" xmlDataType="double"/>
    </xmlCellPr>
  </singleXmlCell>
  <singleXmlCell id="601" r="I124" connectionId="0">
    <xmlCellPr id="1" uniqueName="1">
      <xmlPr mapId="43" xpath="/ns1:Root/ns1:Prog/ns1:Target_P12_2" xmlDataType="double"/>
    </xmlCellPr>
  </singleXmlCell>
  <singleXmlCell id="604" r="J125" connectionId="0">
    <xmlCellPr id="1" uniqueName="1">
      <xmlPr mapId="43" xpath="/ns1:Root/ns1:Prog/ns1:Achieved__P3_2" xmlDataType="double"/>
    </xmlCellPr>
  </singleXmlCell>
  <singleXmlCell id="605" r="K125" connectionId="0">
    <xmlCellPr id="1" uniqueName="1">
      <xmlPr mapId="43" xpath="/ns1:Root/ns1:Prog/ns1:Achieved__P4_2" xmlDataType="double"/>
    </xmlCellPr>
  </singleXmlCell>
  <singleXmlCell id="606" r="L125" connectionId="0">
    <xmlCellPr id="1" uniqueName="1">
      <xmlPr mapId="43" xpath="/ns1:Root/ns1:Prog/ns1:Achieved__P5_2" xmlDataType="string"/>
    </xmlCellPr>
  </singleXmlCell>
  <singleXmlCell id="607" r="M125" connectionId="0">
    <xmlCellPr id="1" uniqueName="1">
      <xmlPr mapId="43" xpath="/ns1:Root/ns1:Prog/ns1:Achieved__P6_2" xmlDataType="string"/>
    </xmlCellPr>
  </singleXmlCell>
  <singleXmlCell id="608" r="N125" connectionId="0">
    <xmlCellPr id="1" uniqueName="1">
      <xmlPr mapId="43" xpath="/ns1:Root/ns1:Prog/ns1:Achieved__P7_2" xmlDataType="string"/>
    </xmlCellPr>
  </singleXmlCell>
  <singleXmlCell id="609" r="P125" connectionId="0">
    <xmlCellPr id="1" uniqueName="1">
      <xmlPr mapId="43" xpath="/ns1:Root/ns1:Prog/ns1:Achieved__P8_2" xmlDataType="string"/>
    </xmlCellPr>
  </singleXmlCell>
  <singleXmlCell id="612" r="H125" connectionId="0">
    <xmlCellPr id="1" uniqueName="1">
      <xmlPr mapId="43" xpath="/ns1:Root/ns1:Prog/ns1:Achieved__P11_2" xmlDataType="string"/>
    </xmlCellPr>
  </singleXmlCell>
  <singleXmlCell id="613" r="I125" connectionId="0">
    <xmlCellPr id="1" uniqueName="1">
      <xmlPr mapId="43" xpath="/ns1:Root/ns1:Prog/ns1:Achieved__P12_2" xmlDataType="string"/>
    </xmlCellPr>
  </singleXmlCell>
  <singleXmlCell id="616" r="J116" connectionId="0">
    <xmlCellPr id="1" uniqueName="1">
      <xmlPr mapId="43" xpath="/ns1:Root/ns1:Prog/ns1:Target_P3_3" xmlDataType="double"/>
    </xmlCellPr>
  </singleXmlCell>
  <singleXmlCell id="617" r="K116" connectionId="0">
    <xmlCellPr id="1" uniqueName="1">
      <xmlPr mapId="43" xpath="/ns1:Root/ns1:Prog/ns1:Target_P4_3" xmlDataType="double"/>
    </xmlCellPr>
  </singleXmlCell>
  <singleXmlCell id="618" r="L116" connectionId="0">
    <xmlCellPr id="1" uniqueName="1">
      <xmlPr mapId="43" xpath="/ns1:Root/ns1:Prog/ns1:Target_P5_3" xmlDataType="double"/>
    </xmlCellPr>
  </singleXmlCell>
  <singleXmlCell id="619" r="M116" connectionId="0">
    <xmlCellPr id="1" uniqueName="1">
      <xmlPr mapId="43" xpath="/ns1:Root/ns1:Prog/ns1:Target_P6_3" xmlDataType="double"/>
    </xmlCellPr>
  </singleXmlCell>
  <singleXmlCell id="620" r="N116" connectionId="0">
    <xmlCellPr id="1" uniqueName="1">
      <xmlPr mapId="43" xpath="/ns1:Root/ns1:Prog/ns1:Target_P7_3" xmlDataType="double"/>
    </xmlCellPr>
  </singleXmlCell>
  <singleXmlCell id="621" r="P116" connectionId="0">
    <xmlCellPr id="1" uniqueName="1">
      <xmlPr mapId="43" xpath="/ns1:Root/ns1:Prog/ns1:Target_P8_3" xmlDataType="double"/>
    </xmlCellPr>
  </singleXmlCell>
  <singleXmlCell id="624" r="H116" connectionId="0">
    <xmlCellPr id="1" uniqueName="1">
      <xmlPr mapId="43" xpath="/ns1:Root/ns1:Prog/ns1:Target_P11_3" xmlDataType="string"/>
    </xmlCellPr>
  </singleXmlCell>
  <singleXmlCell id="625" r="I116" connectionId="0">
    <xmlCellPr id="1" uniqueName="1">
      <xmlPr mapId="43" xpath="/ns1:Root/ns1:Prog/ns1:Target_P12_3" xmlDataType="double"/>
    </xmlCellPr>
  </singleXmlCell>
  <singleXmlCell id="628" r="J117" connectionId="0">
    <xmlCellPr id="1" uniqueName="1">
      <xmlPr mapId="43" xpath="/ns1:Root/ns1:Prog/ns1:Achieved__P3_3" xmlDataType="string"/>
    </xmlCellPr>
  </singleXmlCell>
  <singleXmlCell id="629" r="K117" connectionId="0">
    <xmlCellPr id="1" uniqueName="1">
      <xmlPr mapId="43" xpath="/ns1:Root/ns1:Prog/ns1:Achieved__P4_3" xmlDataType="double"/>
    </xmlCellPr>
  </singleXmlCell>
  <singleXmlCell id="630" r="L117" connectionId="0">
    <xmlCellPr id="1" uniqueName="1">
      <xmlPr mapId="43" xpath="/ns1:Root/ns1:Prog/ns1:Achieved__P5_3" xmlDataType="string"/>
    </xmlCellPr>
  </singleXmlCell>
  <singleXmlCell id="631" r="M117" connectionId="0">
    <xmlCellPr id="1" uniqueName="1">
      <xmlPr mapId="43" xpath="/ns1:Root/ns1:Prog/ns1:Achieved__P6_3" xmlDataType="string"/>
    </xmlCellPr>
  </singleXmlCell>
  <singleXmlCell id="632" r="N117" connectionId="0">
    <xmlCellPr id="1" uniqueName="1">
      <xmlPr mapId="43" xpath="/ns1:Root/ns1:Prog/ns1:Achieved__P7_3" xmlDataType="string"/>
    </xmlCellPr>
  </singleXmlCell>
  <singleXmlCell id="633" r="P117" connectionId="0">
    <xmlCellPr id="1" uniqueName="1">
      <xmlPr mapId="43" xpath="/ns1:Root/ns1:Prog/ns1:Achieved__P8_3" xmlDataType="string"/>
    </xmlCellPr>
  </singleXmlCell>
  <singleXmlCell id="636" r="H117" connectionId="0">
    <xmlCellPr id="1" uniqueName="1">
      <xmlPr mapId="43" xpath="/ns1:Root/ns1:Prog/ns1:Achieved__P11_3" xmlDataType="string"/>
    </xmlCellPr>
  </singleXmlCell>
  <singleXmlCell id="637" r="I117" connectionId="0">
    <xmlCellPr id="1" uniqueName="1">
      <xmlPr mapId="43" xpath="/ns1:Root/ns1:Prog/ns1:Achieved__P12_3" xmlDataType="string"/>
    </xmlCellPr>
  </singleXmlCell>
  <singleXmlCell id="664" r="J118" connectionId="0">
    <xmlCellPr id="1" uniqueName="1">
      <xmlPr mapId="43" xpath="/ns1:Root/ns1:Prog/ns1:Target_P3_5" xmlDataType="double"/>
    </xmlCellPr>
  </singleXmlCell>
  <singleXmlCell id="665" r="K118" connectionId="0">
    <xmlCellPr id="1" uniqueName="1">
      <xmlPr mapId="43" xpath="/ns1:Root/ns1:Prog/ns1:Target_P4_5" xmlDataType="double"/>
    </xmlCellPr>
  </singleXmlCell>
  <singleXmlCell id="666" r="L118" connectionId="0">
    <xmlCellPr id="1" uniqueName="1">
      <xmlPr mapId="43" xpath="/ns1:Root/ns1:Prog/ns1:Target_P5_5" xmlDataType="double"/>
    </xmlCellPr>
  </singleXmlCell>
  <singleXmlCell id="667" r="M118" connectionId="0">
    <xmlCellPr id="1" uniqueName="1">
      <xmlPr mapId="43" xpath="/ns1:Root/ns1:Prog/ns1:Target_P6_5" xmlDataType="double"/>
    </xmlCellPr>
  </singleXmlCell>
  <singleXmlCell id="668" r="N118" connectionId="0">
    <xmlCellPr id="1" uniqueName="1">
      <xmlPr mapId="43" xpath="/ns1:Root/ns1:Prog/ns1:Target_P7_5" xmlDataType="double"/>
    </xmlCellPr>
  </singleXmlCell>
  <singleXmlCell id="669" r="P118" connectionId="0">
    <xmlCellPr id="1" uniqueName="1">
      <xmlPr mapId="43" xpath="/ns1:Root/ns1:Prog/ns1:Target_P8_5" xmlDataType="double"/>
    </xmlCellPr>
  </singleXmlCell>
  <singleXmlCell id="672" r="H118" connectionId="0">
    <xmlCellPr id="1" uniqueName="1">
      <xmlPr mapId="43" xpath="/ns1:Root/ns1:Prog/ns1:Target_P11_5" xmlDataType="double"/>
    </xmlCellPr>
  </singleXmlCell>
  <singleXmlCell id="673" r="I118" connectionId="0">
    <xmlCellPr id="1" uniqueName="1">
      <xmlPr mapId="43" xpath="/ns1:Root/ns1:Prog/ns1:Target_P12_5" xmlDataType="double"/>
    </xmlCellPr>
  </singleXmlCell>
  <singleXmlCell id="676" r="J119" connectionId="0">
    <xmlCellPr id="1" uniqueName="1">
      <xmlPr mapId="43" xpath="/ns1:Root/ns1:Prog/ns1:Achieved__P3_5" xmlDataType="double"/>
    </xmlCellPr>
  </singleXmlCell>
  <singleXmlCell id="677" r="K119" connectionId="0">
    <xmlCellPr id="1" uniqueName="1">
      <xmlPr mapId="43" xpath="/ns1:Root/ns1:Prog/ns1:Achieved__P4_5" xmlDataType="double"/>
    </xmlCellPr>
  </singleXmlCell>
  <singleXmlCell id="678" r="L119" connectionId="0">
    <xmlCellPr id="1" uniqueName="1">
      <xmlPr mapId="43" xpath="/ns1:Root/ns1:Prog/ns1:Achieved__P5_5" xmlDataType="string"/>
    </xmlCellPr>
  </singleXmlCell>
  <singleXmlCell id="679" r="M119" connectionId="0">
    <xmlCellPr id="1" uniqueName="1">
      <xmlPr mapId="43" xpath="/ns1:Root/ns1:Prog/ns1:Achieved__P6_5" xmlDataType="string"/>
    </xmlCellPr>
  </singleXmlCell>
  <singleXmlCell id="680" r="N119" connectionId="0">
    <xmlCellPr id="1" uniqueName="1">
      <xmlPr mapId="43" xpath="/ns1:Root/ns1:Prog/ns1:Achieved__P7_5" xmlDataType="string"/>
    </xmlCellPr>
  </singleXmlCell>
  <singleXmlCell id="681" r="P119" connectionId="0">
    <xmlCellPr id="1" uniqueName="1">
      <xmlPr mapId="43" xpath="/ns1:Root/ns1:Prog/ns1:Achieved__P8_5" xmlDataType="string"/>
    </xmlCellPr>
  </singleXmlCell>
  <singleXmlCell id="684" r="H119" connectionId="0">
    <xmlCellPr id="1" uniqueName="1">
      <xmlPr mapId="43" xpath="/ns1:Root/ns1:Prog/ns1:Achieved__P11_5" xmlDataType="string"/>
    </xmlCellPr>
  </singleXmlCell>
  <singleXmlCell id="685" r="I119" connectionId="0">
    <xmlCellPr id="1" uniqueName="1">
      <xmlPr mapId="43" xpath="/ns1:Root/ns1:Prog/ns1:Achieved__P12_5" xmlDataType="string"/>
    </xmlCellPr>
  </singleXmlCell>
  <singleXmlCell id="688" r="J122" connectionId="0">
    <xmlCellPr id="1" uniqueName="1">
      <xmlPr mapId="43" xpath="/ns1:Root/ns1:Prog/ns1:Target_P3_6" xmlDataType="double"/>
    </xmlCellPr>
  </singleXmlCell>
  <singleXmlCell id="689" r="K122" connectionId="0">
    <xmlCellPr id="1" uniqueName="1">
      <xmlPr mapId="43" xpath="/ns1:Root/ns1:Prog/ns1:Target_P4_6" xmlDataType="double"/>
    </xmlCellPr>
  </singleXmlCell>
  <singleXmlCell id="690" r="L122" connectionId="0">
    <xmlCellPr id="1" uniqueName="1">
      <xmlPr mapId="43" xpath="/ns1:Root/ns1:Prog/ns1:Target_P5_6" xmlDataType="double"/>
    </xmlCellPr>
  </singleXmlCell>
  <singleXmlCell id="691" r="M122" connectionId="0">
    <xmlCellPr id="1" uniqueName="1">
      <xmlPr mapId="43" xpath="/ns1:Root/ns1:Prog/ns1:Target_P6_6" xmlDataType="double"/>
    </xmlCellPr>
  </singleXmlCell>
  <singleXmlCell id="692" r="N122" connectionId="0">
    <xmlCellPr id="1" uniqueName="1">
      <xmlPr mapId="43" xpath="/ns1:Root/ns1:Prog/ns1:Target_P7_6" xmlDataType="double"/>
    </xmlCellPr>
  </singleXmlCell>
  <singleXmlCell id="693" r="P122" connectionId="0">
    <xmlCellPr id="1" uniqueName="1">
      <xmlPr mapId="43" xpath="/ns1:Root/ns1:Prog/ns1:Target_P8_6" xmlDataType="double"/>
    </xmlCellPr>
  </singleXmlCell>
  <singleXmlCell id="696" r="H122" connectionId="0">
    <xmlCellPr id="1" uniqueName="1">
      <xmlPr mapId="43" xpath="/ns1:Root/ns1:Prog/ns1:Target_P11_6" xmlDataType="double"/>
    </xmlCellPr>
  </singleXmlCell>
  <singleXmlCell id="697" r="I122" connectionId="0">
    <xmlCellPr id="1" uniqueName="1">
      <xmlPr mapId="43" xpath="/ns1:Root/ns1:Prog/ns1:Target_P12_6" xmlDataType="double"/>
    </xmlCellPr>
  </singleXmlCell>
  <singleXmlCell id="700" r="J123" connectionId="0">
    <xmlCellPr id="1" uniqueName="1">
      <xmlPr mapId="43" xpath="/ns1:Root/ns1:Prog/ns1:Achieved__P3_6" xmlDataType="double"/>
    </xmlCellPr>
  </singleXmlCell>
  <singleXmlCell id="701" r="K123" connectionId="0">
    <xmlCellPr id="1" uniqueName="1">
      <xmlPr mapId="43" xpath="/ns1:Root/ns1:Prog/ns1:Achieved__P4_6" xmlDataType="double"/>
    </xmlCellPr>
  </singleXmlCell>
  <singleXmlCell id="702" r="L123" connectionId="0">
    <xmlCellPr id="1" uniqueName="1">
      <xmlPr mapId="43" xpath="/ns1:Root/ns1:Prog/ns1:Achieved__P5_6" xmlDataType="string"/>
    </xmlCellPr>
  </singleXmlCell>
  <singleXmlCell id="703" r="M123" connectionId="0">
    <xmlCellPr id="1" uniqueName="1">
      <xmlPr mapId="43" xpath="/ns1:Root/ns1:Prog/ns1:Achieved__P6_6" xmlDataType="string"/>
    </xmlCellPr>
  </singleXmlCell>
  <singleXmlCell id="704" r="N123" connectionId="0">
    <xmlCellPr id="1" uniqueName="1">
      <xmlPr mapId="43" xpath="/ns1:Root/ns1:Prog/ns1:Achieved__P7_6" xmlDataType="string"/>
    </xmlCellPr>
  </singleXmlCell>
  <singleXmlCell id="705" r="P123" connectionId="0">
    <xmlCellPr id="1" uniqueName="1">
      <xmlPr mapId="43" xpath="/ns1:Root/ns1:Prog/ns1:Achieved__P8_6" xmlDataType="string"/>
    </xmlCellPr>
  </singleXmlCell>
  <singleXmlCell id="708" r="H123" connectionId="0">
    <xmlCellPr id="1" uniqueName="1">
      <xmlPr mapId="43" xpath="/ns1:Root/ns1:Prog/ns1:Achieved__P11_6" xmlDataType="string"/>
    </xmlCellPr>
  </singleXmlCell>
  <singleXmlCell id="709" r="I123" connectionId="0">
    <xmlCellPr id="1" uniqueName="1">
      <xmlPr mapId="43" xpath="/ns1:Root/ns1:Prog/ns1:Achieved__P12_6" xmlDataType="string"/>
    </xmlCellPr>
  </singleXmlCell>
  <singleXmlCell id="712" r="J126" connectionId="0">
    <xmlCellPr id="1" uniqueName="1">
      <xmlPr mapId="43" xpath="/ns1:Root/ns1:Prog/ns1:Target_P3_7" xmlDataType="double"/>
    </xmlCellPr>
  </singleXmlCell>
  <singleXmlCell id="713" r="K126" connectionId="0">
    <xmlCellPr id="1" uniqueName="1">
      <xmlPr mapId="43" xpath="/ns1:Root/ns1:Prog/ns1:Target_P4_7" xmlDataType="double"/>
    </xmlCellPr>
  </singleXmlCell>
  <singleXmlCell id="714" r="L126" connectionId="0">
    <xmlCellPr id="1" uniqueName="1">
      <xmlPr mapId="43" xpath="/ns1:Root/ns1:Prog/ns1:Target_P5_7" xmlDataType="double"/>
    </xmlCellPr>
  </singleXmlCell>
  <singleXmlCell id="715" r="M126" connectionId="0">
    <xmlCellPr id="1" uniqueName="1">
      <xmlPr mapId="43" xpath="/ns1:Root/ns1:Prog/ns1:Target_P6_7" xmlDataType="double"/>
    </xmlCellPr>
  </singleXmlCell>
  <singleXmlCell id="716" r="N126" connectionId="0">
    <xmlCellPr id="1" uniqueName="1">
      <xmlPr mapId="43" xpath="/ns1:Root/ns1:Prog/ns1:Target_P7_7" xmlDataType="double"/>
    </xmlCellPr>
  </singleXmlCell>
  <singleXmlCell id="717" r="P126" connectionId="0">
    <xmlCellPr id="1" uniqueName="1">
      <xmlPr mapId="43" xpath="/ns1:Root/ns1:Prog/ns1:Target_P8_7" xmlDataType="double"/>
    </xmlCellPr>
  </singleXmlCell>
  <singleXmlCell id="720" r="H126" connectionId="0">
    <xmlCellPr id="1" uniqueName="1">
      <xmlPr mapId="43" xpath="/ns1:Root/ns1:Prog/ns1:Target_P11_7" xmlDataType="double"/>
    </xmlCellPr>
  </singleXmlCell>
  <singleXmlCell id="721" r="I126" connectionId="0">
    <xmlCellPr id="1" uniqueName="1">
      <xmlPr mapId="43" xpath="/ns1:Root/ns1:Prog/ns1:Target_P12_7" xmlDataType="double"/>
    </xmlCellPr>
  </singleXmlCell>
  <singleXmlCell id="724" r="J127" connectionId="0">
    <xmlCellPr id="1" uniqueName="1">
      <xmlPr mapId="43" xpath="/ns1:Root/ns1:Prog/ns1:Achieved__P3_7" xmlDataType="double"/>
    </xmlCellPr>
  </singleXmlCell>
  <singleXmlCell id="725" r="K127" connectionId="0">
    <xmlCellPr id="1" uniqueName="1">
      <xmlPr mapId="43" xpath="/ns1:Root/ns1:Prog/ns1:Achieved__P4_7" xmlDataType="double"/>
    </xmlCellPr>
  </singleXmlCell>
  <singleXmlCell id="726" r="L127" connectionId="0">
    <xmlCellPr id="1" uniqueName="1">
      <xmlPr mapId="43" xpath="/ns1:Root/ns1:Prog/ns1:Achieved__P5_7" xmlDataType="string"/>
    </xmlCellPr>
  </singleXmlCell>
  <singleXmlCell id="727" r="M127" connectionId="0">
    <xmlCellPr id="1" uniqueName="1">
      <xmlPr mapId="43" xpath="/ns1:Root/ns1:Prog/ns1:Achieved__P6_7" xmlDataType="string"/>
    </xmlCellPr>
  </singleXmlCell>
  <singleXmlCell id="728" r="N127" connectionId="0">
    <xmlCellPr id="1" uniqueName="1">
      <xmlPr mapId="43" xpath="/ns1:Root/ns1:Prog/ns1:Achieved__P7_7" xmlDataType="string"/>
    </xmlCellPr>
  </singleXmlCell>
  <singleXmlCell id="729" r="P127" connectionId="0">
    <xmlCellPr id="1" uniqueName="1">
      <xmlPr mapId="43" xpath="/ns1:Root/ns1:Prog/ns1:Achieved__P8_7" xmlDataType="string"/>
    </xmlCellPr>
  </singleXmlCell>
  <singleXmlCell id="732" r="H127" connectionId="0">
    <xmlCellPr id="1" uniqueName="1">
      <xmlPr mapId="43" xpath="/ns1:Root/ns1:Prog/ns1:Achieved__P11_7" xmlDataType="string"/>
    </xmlCellPr>
  </singleXmlCell>
  <singleXmlCell id="733" r="I127" connectionId="0">
    <xmlCellPr id="1" uniqueName="1">
      <xmlPr mapId="43" xpath="/ns1:Root/ns1:Prog/ns1:Achieved__P12_7" xmlDataType="string"/>
    </xmlCellPr>
  </singleXmlCell>
  <singleXmlCell id="760" r="J130" connectionId="0">
    <xmlCellPr id="1" uniqueName="1">
      <xmlPr mapId="43" xpath="/ns1:Root/ns1:Prog/ns1:Target_P3_9" xmlDataType="double"/>
    </xmlCellPr>
  </singleXmlCell>
  <singleXmlCell id="761" r="K130" connectionId="0">
    <xmlCellPr id="1" uniqueName="1">
      <xmlPr mapId="43" xpath="/ns1:Root/ns1:Prog/ns1:Target_P4_9" xmlDataType="double"/>
    </xmlCellPr>
  </singleXmlCell>
  <singleXmlCell id="762" r="L130" connectionId="0">
    <xmlCellPr id="1" uniqueName="1">
      <xmlPr mapId="43" xpath="/ns1:Root/ns1:Prog/ns1:Target_P5_9" xmlDataType="double"/>
    </xmlCellPr>
  </singleXmlCell>
  <singleXmlCell id="763" r="M130" connectionId="0">
    <xmlCellPr id="1" uniqueName="1">
      <xmlPr mapId="43" xpath="/ns1:Root/ns1:Prog/ns1:Target_P6_9" xmlDataType="double"/>
    </xmlCellPr>
  </singleXmlCell>
  <singleXmlCell id="764" r="N130" connectionId="0">
    <xmlCellPr id="1" uniqueName="1">
      <xmlPr mapId="43" xpath="/ns1:Root/ns1:Prog/ns1:Target_P7_9" xmlDataType="double"/>
    </xmlCellPr>
  </singleXmlCell>
  <singleXmlCell id="765" r="P130" connectionId="0">
    <xmlCellPr id="1" uniqueName="1">
      <xmlPr mapId="43" xpath="/ns1:Root/ns1:Prog/ns1:Target_P8_9" xmlDataType="double"/>
    </xmlCellPr>
  </singleXmlCell>
  <singleXmlCell id="768" r="H130" connectionId="0">
    <xmlCellPr id="1" uniqueName="1">
      <xmlPr mapId="43" xpath="/ns1:Root/ns1:Prog/ns1:Target_P11_9" xmlDataType="double"/>
    </xmlCellPr>
  </singleXmlCell>
  <singleXmlCell id="769" r="I130" connectionId="0">
    <xmlCellPr id="1" uniqueName="1">
      <xmlPr mapId="43" xpath="/ns1:Root/ns1:Prog/ns1:Target_P12_9" xmlDataType="double"/>
    </xmlCellPr>
  </singleXmlCell>
  <singleXmlCell id="772" r="J131" connectionId="0">
    <xmlCellPr id="1" uniqueName="1">
      <xmlPr mapId="43" xpath="/ns1:Root/ns1:Prog/ns1:Achieved__P3_9" xmlDataType="string"/>
    </xmlCellPr>
  </singleXmlCell>
  <singleXmlCell id="773" r="K131" connectionId="0">
    <xmlCellPr id="1" uniqueName="1">
      <xmlPr mapId="43" xpath="/ns1:Root/ns1:Prog/ns1:Achieved__P4_9" xmlDataType="double"/>
    </xmlCellPr>
  </singleXmlCell>
  <singleXmlCell id="774" r="L131" connectionId="0">
    <xmlCellPr id="1" uniqueName="1">
      <xmlPr mapId="43" xpath="/ns1:Root/ns1:Prog/ns1:Achieved__P5_9" xmlDataType="string"/>
    </xmlCellPr>
  </singleXmlCell>
  <singleXmlCell id="775" r="M131" connectionId="0">
    <xmlCellPr id="1" uniqueName="1">
      <xmlPr mapId="43" xpath="/ns1:Root/ns1:Prog/ns1:Achieved__P6_9" xmlDataType="string"/>
    </xmlCellPr>
  </singleXmlCell>
  <singleXmlCell id="776" r="N131" connectionId="0">
    <xmlCellPr id="1" uniqueName="1">
      <xmlPr mapId="43" xpath="/ns1:Root/ns1:Prog/ns1:Achieved__P7_9" xmlDataType="string"/>
    </xmlCellPr>
  </singleXmlCell>
  <singleXmlCell id="777" r="P131" connectionId="0">
    <xmlCellPr id="1" uniqueName="1">
      <xmlPr mapId="43" xpath="/ns1:Root/ns1:Prog/ns1:Achieved__P8_9" xmlDataType="string"/>
    </xmlCellPr>
  </singleXmlCell>
  <singleXmlCell id="780" r="H131" connectionId="0">
    <xmlCellPr id="1" uniqueName="1">
      <xmlPr mapId="43" xpath="/ns1:Root/ns1:Prog/ns1:Achieved__P11_9" xmlDataType="string"/>
    </xmlCellPr>
  </singleXmlCell>
  <singleXmlCell id="781" r="I131" connectionId="0">
    <xmlCellPr id="1" uniqueName="1">
      <xmlPr mapId="43" xpath="/ns1:Root/ns1:Prog/ns1:Achieved__P12_9" xmlDataType="string"/>
    </xmlCellPr>
  </singleXmlCell>
  <singleXmlCell id="784" r="J132" connectionId="0">
    <xmlCellPr id="1" uniqueName="1">
      <xmlPr mapId="43" xpath="/ns1:Root/ns1:Prog/ns1:Target_P3" xmlDataType="string"/>
    </xmlCellPr>
  </singleXmlCell>
  <singleXmlCell id="785" r="K132" connectionId="0">
    <xmlCellPr id="1" uniqueName="1">
      <xmlPr mapId="43" xpath="/ns1:Root/ns1:Prog/ns1:Target_P4" xmlDataType="double"/>
    </xmlCellPr>
  </singleXmlCell>
  <singleXmlCell id="786" r="L132" connectionId="0">
    <xmlCellPr id="1" uniqueName="1">
      <xmlPr mapId="43" xpath="/ns1:Root/ns1:Prog/ns1:Target_P5" xmlDataType="string"/>
    </xmlCellPr>
  </singleXmlCell>
  <singleXmlCell id="787" r="M132" connectionId="0">
    <xmlCellPr id="1" uniqueName="1">
      <xmlPr mapId="43" xpath="/ns1:Root/ns1:Prog/ns1:Target_P6" xmlDataType="string"/>
    </xmlCellPr>
  </singleXmlCell>
  <singleXmlCell id="788" r="N132" connectionId="0">
    <xmlCellPr id="1" uniqueName="1">
      <xmlPr mapId="43" xpath="/ns1:Root/ns1:Prog/ns1:Target_P7" xmlDataType="string"/>
    </xmlCellPr>
  </singleXmlCell>
  <singleXmlCell id="789" r="P132" connectionId="0">
    <xmlCellPr id="1" uniqueName="1">
      <xmlPr mapId="43" xpath="/ns1:Root/ns1:Prog/ns1:Target_P8" xmlDataType="string"/>
    </xmlCellPr>
  </singleXmlCell>
  <singleXmlCell id="792" r="H132" connectionId="0">
    <xmlCellPr id="1" uniqueName="1">
      <xmlPr mapId="43" xpath="/ns1:Root/ns1:Prog/ns1:Target_P11" xmlDataType="string"/>
    </xmlCellPr>
  </singleXmlCell>
  <singleXmlCell id="793" r="I132" connectionId="0">
    <xmlCellPr id="1" uniqueName="1">
      <xmlPr mapId="43" xpath="/ns1:Root/ns1:Prog/ns1:Target_P12" xmlDataType="string"/>
    </xmlCellPr>
  </singleXmlCell>
  <singleXmlCell id="796" r="J133" connectionId="0">
    <xmlCellPr id="1" uniqueName="1">
      <xmlPr mapId="43" xpath="/ns1:Root/ns1:Prog/ns1:Achieved__P3" xmlDataType="string"/>
    </xmlCellPr>
  </singleXmlCell>
  <singleXmlCell id="797" r="K133" connectionId="0">
    <xmlCellPr id="1" uniqueName="1">
      <xmlPr mapId="43" xpath="/ns1:Root/ns1:Prog/ns1:Achieved__P4" xmlDataType="string"/>
    </xmlCellPr>
  </singleXmlCell>
  <singleXmlCell id="798" r="L133" connectionId="0">
    <xmlCellPr id="1" uniqueName="1">
      <xmlPr mapId="43" xpath="/ns1:Root/ns1:Prog/ns1:Achieved__P5" xmlDataType="string"/>
    </xmlCellPr>
  </singleXmlCell>
  <singleXmlCell id="799" r="M133" connectionId="0">
    <xmlCellPr id="1" uniqueName="1">
      <xmlPr mapId="43" xpath="/ns1:Root/ns1:Prog/ns1:Achieved__P6" xmlDataType="string"/>
    </xmlCellPr>
  </singleXmlCell>
  <singleXmlCell id="800" r="N133" connectionId="0">
    <xmlCellPr id="1" uniqueName="1">
      <xmlPr mapId="43" xpath="/ns1:Root/ns1:Prog/ns1:Achieved__P7" xmlDataType="string"/>
    </xmlCellPr>
  </singleXmlCell>
  <singleXmlCell id="801" r="P133" connectionId="0">
    <xmlCellPr id="1" uniqueName="1">
      <xmlPr mapId="43" xpath="/ns1:Root/ns1:Prog/ns1:Achieved__P8" xmlDataType="string"/>
    </xmlCellPr>
  </singleXmlCell>
  <singleXmlCell id="804" r="H133" connectionId="0">
    <xmlCellPr id="1" uniqueName="1">
      <xmlPr mapId="43" xpath="/ns1:Root/ns1:Prog/ns1:Achieved__P11" xmlDataType="string"/>
    </xmlCellPr>
  </singleXmlCell>
  <singleXmlCell id="805" r="I133" connectionId="0">
    <xmlCellPr id="1" uniqueName="1">
      <xmlPr mapId="43" xpath="/ns1:Root/ns1:Prog/ns1:Achieved__P12" xmlDataType="string"/>
    </xmlCellPr>
  </singleXmlCell>
  <singleXmlCell id="806" r="K124" connectionId="0">
    <xmlCellPr id="1" uniqueName="1">
      <xmlPr mapId="43" xpath="/ns1:Root/ns1:Prog/ns1:Target_P4_2" xmlDataType="double"/>
    </xmlCellPr>
  </singleXmlCell>
  <singleXmlCell id="807" r="B116" connectionId="0">
    <xmlCellPr id="1" uniqueName="1">
      <xmlPr mapId="43" xpath="/ns1:Root/ns1:P1" xmlDataType="string"/>
    </xmlCellPr>
  </singleXmlCell>
  <singleXmlCell id="808" r="E116" connectionId="0">
    <xmlCellPr id="1" uniqueName="1">
      <xmlPr mapId="43" xpath="/ns1:Root/ns1:P1_Code" xmlDataType="double"/>
    </xmlCellPr>
  </singleXmlCell>
  <singleXmlCell id="809" r="F120"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4"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16" connectionId="0">
    <xmlCellPr id="1" uniqueName="1">
      <xmlPr mapId="43" xpath="/ns1:Root/ns1:P3_Tied" xmlDataType="string"/>
    </xmlCellPr>
  </singleXmlCell>
  <singleXmlCell id="819" r="B124" connectionId="0">
    <xmlCellPr id="1" uniqueName="1">
      <xmlPr mapId="43" xpath="/ns1:Root/ns1:P5" xmlDataType="string"/>
    </xmlCellPr>
  </singleXmlCell>
  <singleXmlCell id="820" r="E124" connectionId="0">
    <xmlCellPr id="1" uniqueName="1">
      <xmlPr mapId="43" xpath="/ns1:Root/ns1:P5_Code" xmlDataType="double"/>
    </xmlCellPr>
  </singleXmlCell>
  <singleXmlCell id="821" r="F118" connectionId="0">
    <xmlCellPr id="1" uniqueName="1">
      <xmlPr mapId="43" xpath="/ns1:Root/ns1:P5_Tied" xmlDataType="string"/>
    </xmlCellPr>
  </singleXmlCell>
  <singleXmlCell id="822" r="B118" connectionId="0">
    <xmlCellPr id="1" uniqueName="1">
      <xmlPr mapId="43" xpath="/ns1:Root/ns1:P6" xmlDataType="string"/>
    </xmlCellPr>
  </singleXmlCell>
  <singleXmlCell id="823" r="E118" connectionId="0">
    <xmlCellPr id="1" uniqueName="1">
      <xmlPr mapId="43" xpath="/ns1:Root/ns1:P6_Code" xmlDataType="double"/>
    </xmlCellPr>
  </singleXmlCell>
  <singleXmlCell id="824" r="F122" connectionId="0">
    <xmlCellPr id="1" uniqueName="1">
      <xmlPr mapId="43" xpath="/ns1:Root/ns1:P6_Tied" xmlDataType="string"/>
    </xmlCellPr>
  </singleXmlCell>
  <singleXmlCell id="825" r="B126" connectionId="0">
    <xmlCellPr id="1" uniqueName="1">
      <xmlPr mapId="43" xpath="/ns1:Root/ns1:P7" xmlDataType="string"/>
    </xmlCellPr>
  </singleXmlCell>
  <singleXmlCell id="826" r="E126" connectionId="0">
    <xmlCellPr id="1" uniqueName="1">
      <xmlPr mapId="43" xpath="/ns1:Root/ns1:P7_Code" xmlDataType="double"/>
    </xmlCellPr>
  </singleXmlCell>
  <singleXmlCell id="827" r="F126" connectionId="0">
    <xmlCellPr id="1" uniqueName="1">
      <xmlPr mapId="43" xpath="/ns1:Root/ns1:P7_Tied" xmlDataType="string"/>
    </xmlCellPr>
  </singleXmlCell>
  <singleXmlCell id="831" r="B130" connectionId="0">
    <xmlCellPr id="1" uniqueName="1">
      <xmlPr mapId="43" xpath="/ns1:Root/ns1:P9" xmlDataType="string"/>
    </xmlCellPr>
  </singleXmlCell>
  <singleXmlCell id="832" r="E130" connectionId="0">
    <xmlCellPr id="1" uniqueName="1">
      <xmlPr mapId="43" xpath="/ns1:Root/ns1:P9_Code" xmlDataType="double"/>
    </xmlCellPr>
  </singleXmlCell>
  <singleXmlCell id="833" r="F130" connectionId="0">
    <xmlCellPr id="1" uniqueName="1">
      <xmlPr mapId="43" xpath="/ns1:Root/ns1:P9_Tied" xmlDataType="double"/>
    </xmlCellPr>
  </singleXmlCell>
  <singleXmlCell id="834" r="B132" connectionId="0">
    <xmlCellPr id="1" uniqueName="1">
      <xmlPr mapId="43" xpath="/ns1:Root/ns1:P10" xmlDataType="string"/>
    </xmlCellPr>
  </singleXmlCell>
  <singleXmlCell id="835" r="E132" connectionId="0">
    <xmlCellPr id="1" uniqueName="1">
      <xmlPr mapId="43" xpath="/ns1:Root/ns1:P10_Code" xmlDataType="double"/>
    </xmlCellPr>
  </singleXmlCell>
  <singleXmlCell id="836" r="F132"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17" t="str">
        <f>+'Detalii despre Grant'!B3:J3</f>
        <v>Dashboard:  Moldova - TB</v>
      </c>
      <c r="C2" s="517"/>
      <c r="D2" s="517"/>
      <c r="E2" s="517"/>
      <c r="F2" s="517"/>
      <c r="G2" s="517"/>
      <c r="H2" s="517"/>
      <c r="I2" s="517"/>
      <c r="J2" s="517"/>
      <c r="K2" s="517"/>
      <c r="L2" s="517"/>
      <c r="M2" s="1"/>
      <c r="N2" s="1"/>
      <c r="O2" s="1"/>
    </row>
    <row r="4" spans="2:15" ht="21">
      <c r="B4" s="518" t="str">
        <f>+IF('Introducerea datelor'!G6="Please Select", "",'Introducerea datelor'!G6) &amp;"  "&amp;+IF('Introducerea datelor'!G8="Please Select", "", 'Introducerea datelor'!G8&amp;",  ")&amp;+IF('Introducerea datelor'!I8="Please Select","",'Introducerea datelor'!I8)</f>
        <v>TB  Round 9,  Phase 2</v>
      </c>
      <c r="C4" s="518"/>
      <c r="D4" s="518"/>
      <c r="E4" s="519"/>
      <c r="F4" s="185"/>
      <c r="G4" s="185"/>
      <c r="H4" s="268" t="str">
        <f>+'Introducerea datelor'!B6&amp;" "&amp;+'Introducerea datelor'!C6</f>
        <v>Grant No.(Nr. Grantului): MOL-T-PAS</v>
      </c>
      <c r="I4" s="268"/>
      <c r="J4" s="184"/>
      <c r="K4" s="185"/>
      <c r="L4" s="185"/>
    </row>
    <row r="22" spans="2:12" ht="26.25">
      <c r="B22" s="520" t="s">
        <v>366</v>
      </c>
      <c r="C22" s="521"/>
      <c r="D22" s="521"/>
      <c r="E22" s="521"/>
      <c r="F22" s="521"/>
      <c r="G22" s="521"/>
      <c r="H22" s="521"/>
      <c r="I22" s="521"/>
      <c r="J22" s="521"/>
      <c r="K22" s="521"/>
      <c r="L22" s="521"/>
    </row>
  </sheetData>
  <sheetProtection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scale="80"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867" t="str">
        <f>'Detalii despre Grant'!B3:J3</f>
        <v>Dashboard:  Moldova - TB</v>
      </c>
      <c r="C3" s="867"/>
      <c r="D3" s="867"/>
      <c r="E3" s="867"/>
      <c r="F3" s="867"/>
      <c r="G3" s="867"/>
      <c r="H3" s="867"/>
      <c r="I3" s="1"/>
    </row>
    <row r="6" spans="2:15" ht="18.75">
      <c r="B6" s="846" t="s">
        <v>323</v>
      </c>
      <c r="C6" s="846"/>
      <c r="D6" s="846"/>
      <c r="E6" s="846"/>
      <c r="F6" s="846"/>
      <c r="G6" s="846"/>
      <c r="H6" s="846"/>
    </row>
    <row r="8" spans="2:15" ht="18.75">
      <c r="B8" s="59" t="s">
        <v>62</v>
      </c>
      <c r="C8" s="59" t="s">
        <v>65</v>
      </c>
      <c r="D8" s="59" t="s">
        <v>66</v>
      </c>
      <c r="E8" s="59" t="s">
        <v>71</v>
      </c>
      <c r="F8" s="59" t="s">
        <v>300</v>
      </c>
      <c r="G8" s="59" t="s">
        <v>282</v>
      </c>
      <c r="H8" s="59" t="s">
        <v>304</v>
      </c>
      <c r="I8" s="60" t="s">
        <v>109</v>
      </c>
      <c r="J8" s="60" t="s">
        <v>147</v>
      </c>
      <c r="M8" s="19"/>
      <c r="N8" s="19"/>
      <c r="O8" s="19"/>
    </row>
    <row r="9" spans="2:15">
      <c r="B9" s="82" t="s">
        <v>357</v>
      </c>
      <c r="C9" s="82" t="s">
        <v>357</v>
      </c>
      <c r="D9" s="82" t="s">
        <v>357</v>
      </c>
      <c r="E9" s="82" t="s">
        <v>357</v>
      </c>
      <c r="F9" s="82" t="s">
        <v>357</v>
      </c>
      <c r="G9" s="82" t="s">
        <v>357</v>
      </c>
      <c r="H9" s="82" t="s">
        <v>357</v>
      </c>
      <c r="I9" s="323" t="s">
        <v>357</v>
      </c>
      <c r="J9" s="82" t="s">
        <v>357</v>
      </c>
      <c r="M9" s="19"/>
      <c r="N9" s="19"/>
      <c r="O9" s="19"/>
    </row>
    <row r="10" spans="2:15">
      <c r="B10" s="54" t="s">
        <v>57</v>
      </c>
      <c r="C10" s="54" t="s">
        <v>48</v>
      </c>
      <c r="D10" s="54" t="s">
        <v>46</v>
      </c>
      <c r="E10" s="54" t="s">
        <v>47</v>
      </c>
      <c r="F10" s="54" t="s">
        <v>127</v>
      </c>
      <c r="G10" s="330" t="s">
        <v>73</v>
      </c>
      <c r="H10" s="57" t="s">
        <v>78</v>
      </c>
      <c r="I10" s="26" t="s">
        <v>308</v>
      </c>
      <c r="J10" s="82" t="s">
        <v>148</v>
      </c>
      <c r="M10" s="19"/>
      <c r="N10" s="19"/>
      <c r="O10" s="19"/>
    </row>
    <row r="11" spans="2:15">
      <c r="B11" s="54" t="s">
        <v>63</v>
      </c>
      <c r="C11" s="54" t="s">
        <v>43</v>
      </c>
      <c r="D11" s="54" t="s">
        <v>49</v>
      </c>
      <c r="E11" s="54" t="s">
        <v>45</v>
      </c>
      <c r="F11" s="54" t="s">
        <v>128</v>
      </c>
      <c r="G11" s="330" t="s">
        <v>74</v>
      </c>
      <c r="H11" s="57" t="s">
        <v>79</v>
      </c>
      <c r="I11" s="26" t="s">
        <v>309</v>
      </c>
      <c r="J11" s="82" t="s">
        <v>149</v>
      </c>
      <c r="M11" s="19"/>
      <c r="N11" s="19"/>
      <c r="O11" s="19"/>
    </row>
    <row r="12" spans="2:15">
      <c r="B12" s="54" t="s">
        <v>64</v>
      </c>
      <c r="D12" s="54" t="s">
        <v>52</v>
      </c>
      <c r="E12" s="54" t="s">
        <v>53</v>
      </c>
      <c r="F12" s="54" t="s">
        <v>129</v>
      </c>
      <c r="G12" s="330" t="s">
        <v>75</v>
      </c>
      <c r="H12" s="57" t="s">
        <v>80</v>
      </c>
      <c r="I12" s="26" t="s">
        <v>310</v>
      </c>
      <c r="J12" s="82" t="s">
        <v>150</v>
      </c>
      <c r="M12" s="159"/>
      <c r="N12" s="19"/>
      <c r="O12" s="19"/>
    </row>
    <row r="13" spans="2:15">
      <c r="B13" s="54" t="s">
        <v>105</v>
      </c>
      <c r="D13" s="54" t="s">
        <v>54</v>
      </c>
      <c r="E13" s="55"/>
      <c r="F13" s="54" t="s">
        <v>130</v>
      </c>
      <c r="G13" s="330" t="s">
        <v>76</v>
      </c>
      <c r="H13" s="57" t="s">
        <v>81</v>
      </c>
      <c r="I13" s="26" t="s">
        <v>311</v>
      </c>
      <c r="J13" s="82" t="s">
        <v>151</v>
      </c>
      <c r="M13" s="159"/>
      <c r="N13" s="19"/>
      <c r="O13" s="19"/>
    </row>
    <row r="14" spans="2:15">
      <c r="B14" s="54" t="s">
        <v>106</v>
      </c>
      <c r="D14" s="54" t="s">
        <v>67</v>
      </c>
      <c r="F14" s="54" t="s">
        <v>138</v>
      </c>
      <c r="G14" s="330" t="s">
        <v>77</v>
      </c>
      <c r="H14" s="57" t="s">
        <v>82</v>
      </c>
      <c r="I14" s="26" t="s">
        <v>285</v>
      </c>
      <c r="J14" s="82" t="s">
        <v>152</v>
      </c>
      <c r="M14" s="159"/>
      <c r="N14" s="19"/>
      <c r="O14" s="19"/>
    </row>
    <row r="15" spans="2:15">
      <c r="D15" s="54" t="s">
        <v>68</v>
      </c>
      <c r="F15" s="54" t="s">
        <v>139</v>
      </c>
      <c r="H15" s="57" t="s">
        <v>83</v>
      </c>
      <c r="I15" s="26" t="s">
        <v>94</v>
      </c>
      <c r="J15" s="82" t="s">
        <v>153</v>
      </c>
      <c r="M15" s="159"/>
      <c r="N15" s="19"/>
      <c r="O15" s="19"/>
    </row>
    <row r="16" spans="2:15">
      <c r="D16" s="54" t="s">
        <v>69</v>
      </c>
      <c r="F16" s="54" t="s">
        <v>140</v>
      </c>
      <c r="H16" s="57" t="s">
        <v>84</v>
      </c>
      <c r="I16" s="26" t="s">
        <v>95</v>
      </c>
      <c r="J16" s="82" t="s">
        <v>154</v>
      </c>
      <c r="M16" s="159"/>
      <c r="N16" s="19"/>
      <c r="O16" s="19"/>
    </row>
    <row r="17" spans="4:15">
      <c r="D17" s="54" t="s">
        <v>70</v>
      </c>
      <c r="F17" s="54" t="s">
        <v>141</v>
      </c>
      <c r="H17" s="57" t="s">
        <v>85</v>
      </c>
      <c r="I17" s="26" t="s">
        <v>96</v>
      </c>
      <c r="J17" s="82" t="s">
        <v>155</v>
      </c>
      <c r="M17" s="159"/>
      <c r="N17" s="19"/>
      <c r="O17" s="19"/>
    </row>
    <row r="18" spans="4:15">
      <c r="D18" s="54" t="s">
        <v>44</v>
      </c>
      <c r="F18" s="54" t="s">
        <v>142</v>
      </c>
      <c r="H18" s="57" t="s">
        <v>86</v>
      </c>
      <c r="I18" s="26" t="s">
        <v>97</v>
      </c>
      <c r="J18" s="82" t="s">
        <v>156</v>
      </c>
      <c r="M18" s="159"/>
      <c r="N18" s="19"/>
      <c r="O18" s="19"/>
    </row>
    <row r="19" spans="4:15">
      <c r="D19" s="329" t="s">
        <v>354</v>
      </c>
      <c r="F19" s="54" t="s">
        <v>143</v>
      </c>
      <c r="H19" s="57" t="s">
        <v>87</v>
      </c>
      <c r="I19" s="26" t="s">
        <v>98</v>
      </c>
      <c r="J19" s="82" t="s">
        <v>157</v>
      </c>
      <c r="M19" s="159"/>
      <c r="N19" s="19"/>
      <c r="O19" s="19"/>
    </row>
    <row r="20" spans="4:15">
      <c r="D20" s="56"/>
      <c r="F20" s="54" t="s">
        <v>144</v>
      </c>
      <c r="H20" s="57" t="s">
        <v>280</v>
      </c>
      <c r="I20" s="26" t="s">
        <v>99</v>
      </c>
      <c r="J20" s="82" t="s">
        <v>158</v>
      </c>
      <c r="M20" s="19"/>
      <c r="N20" s="19"/>
      <c r="O20" s="19"/>
    </row>
    <row r="21" spans="4:15">
      <c r="D21" s="58"/>
      <c r="F21" s="54" t="s">
        <v>301</v>
      </c>
      <c r="H21" s="58"/>
      <c r="I21" s="26" t="s">
        <v>101</v>
      </c>
      <c r="J21" s="82" t="s">
        <v>159</v>
      </c>
      <c r="M21" s="19"/>
      <c r="N21" s="19"/>
      <c r="O21" s="19"/>
    </row>
    <row r="22" spans="4:15">
      <c r="H22" s="58"/>
      <c r="I22" s="26" t="s">
        <v>102</v>
      </c>
      <c r="J22" s="82" t="s">
        <v>160</v>
      </c>
      <c r="M22" s="19"/>
      <c r="N22" s="19"/>
      <c r="O22" s="19"/>
    </row>
    <row r="23" spans="4:15">
      <c r="I23" s="26" t="s">
        <v>100</v>
      </c>
      <c r="J23" s="82" t="s">
        <v>161</v>
      </c>
      <c r="M23" s="19"/>
      <c r="N23" s="19"/>
      <c r="O23" s="19"/>
    </row>
    <row r="24" spans="4:15">
      <c r="I24" s="26" t="s">
        <v>317</v>
      </c>
      <c r="J24" s="82" t="s">
        <v>162</v>
      </c>
      <c r="M24" s="19"/>
      <c r="N24" s="19"/>
      <c r="O24" s="19"/>
    </row>
    <row r="25" spans="4:15">
      <c r="I25" s="42"/>
      <c r="J25" s="82" t="s">
        <v>163</v>
      </c>
    </row>
    <row r="26" spans="4:15">
      <c r="I26" s="26" t="s">
        <v>318</v>
      </c>
      <c r="J26" s="82" t="s">
        <v>164</v>
      </c>
    </row>
    <row r="27" spans="4:15">
      <c r="I27" s="26" t="s">
        <v>316</v>
      </c>
      <c r="J27" s="82" t="s">
        <v>165</v>
      </c>
    </row>
    <row r="28" spans="4:15">
      <c r="I28" s="42"/>
      <c r="J28" s="82" t="s">
        <v>166</v>
      </c>
    </row>
    <row r="29" spans="4:15">
      <c r="I29" s="42"/>
      <c r="J29" s="82" t="s">
        <v>167</v>
      </c>
    </row>
    <row r="30" spans="4:15">
      <c r="I30" s="42"/>
      <c r="J30" s="82" t="s">
        <v>168</v>
      </c>
    </row>
    <row r="31" spans="4:15">
      <c r="J31" s="82" t="s">
        <v>169</v>
      </c>
    </row>
    <row r="32" spans="4:15">
      <c r="J32" s="82" t="s">
        <v>170</v>
      </c>
    </row>
    <row r="33" spans="10:10">
      <c r="J33" s="82" t="s">
        <v>171</v>
      </c>
    </row>
    <row r="34" spans="10:10">
      <c r="J34" s="82" t="s">
        <v>172</v>
      </c>
    </row>
    <row r="35" spans="10:10">
      <c r="J35" s="82" t="s">
        <v>173</v>
      </c>
    </row>
    <row r="36" spans="10:10">
      <c r="J36" s="82" t="s">
        <v>173</v>
      </c>
    </row>
    <row r="37" spans="10:10">
      <c r="J37" s="82" t="s">
        <v>174</v>
      </c>
    </row>
    <row r="38" spans="10:10">
      <c r="J38" s="82" t="s">
        <v>175</v>
      </c>
    </row>
    <row r="39" spans="10:10">
      <c r="J39" s="82" t="s">
        <v>176</v>
      </c>
    </row>
    <row r="40" spans="10:10">
      <c r="J40" s="82" t="s">
        <v>177</v>
      </c>
    </row>
    <row r="41" spans="10:10">
      <c r="J41" s="82" t="s">
        <v>178</v>
      </c>
    </row>
    <row r="42" spans="10:10">
      <c r="J42" s="82" t="s">
        <v>179</v>
      </c>
    </row>
    <row r="43" spans="10:10">
      <c r="J43" s="82" t="s">
        <v>180</v>
      </c>
    </row>
    <row r="44" spans="10:10">
      <c r="J44" s="82" t="s">
        <v>181</v>
      </c>
    </row>
    <row r="45" spans="10:10">
      <c r="J45" s="82" t="s">
        <v>182</v>
      </c>
    </row>
    <row r="46" spans="10:10">
      <c r="J46" s="82" t="s">
        <v>183</v>
      </c>
    </row>
    <row r="47" spans="10:10">
      <c r="J47" s="82" t="s">
        <v>184</v>
      </c>
    </row>
    <row r="48" spans="10:10">
      <c r="J48" s="82" t="s">
        <v>185</v>
      </c>
    </row>
    <row r="49" spans="10:10">
      <c r="J49" s="82" t="s">
        <v>186</v>
      </c>
    </row>
    <row r="50" spans="10:10">
      <c r="J50" s="82" t="s">
        <v>187</v>
      </c>
    </row>
    <row r="51" spans="10:10">
      <c r="J51" s="82" t="s">
        <v>188</v>
      </c>
    </row>
    <row r="52" spans="10:10">
      <c r="J52" s="82" t="s">
        <v>189</v>
      </c>
    </row>
    <row r="53" spans="10:10">
      <c r="J53" s="82" t="s">
        <v>190</v>
      </c>
    </row>
    <row r="54" spans="10:10">
      <c r="J54" s="82" t="s">
        <v>191</v>
      </c>
    </row>
    <row r="55" spans="10:10">
      <c r="J55" s="82" t="s">
        <v>192</v>
      </c>
    </row>
    <row r="56" spans="10:10">
      <c r="J56" s="82" t="s">
        <v>193</v>
      </c>
    </row>
    <row r="57" spans="10:10">
      <c r="J57" s="82" t="s">
        <v>194</v>
      </c>
    </row>
    <row r="58" spans="10:10">
      <c r="J58" s="82" t="s">
        <v>195</v>
      </c>
    </row>
    <row r="59" spans="10:10">
      <c r="J59" s="82" t="s">
        <v>196</v>
      </c>
    </row>
    <row r="60" spans="10:10">
      <c r="J60" s="82" t="s">
        <v>197</v>
      </c>
    </row>
    <row r="61" spans="10:10">
      <c r="J61" s="82" t="s">
        <v>198</v>
      </c>
    </row>
    <row r="62" spans="10:10">
      <c r="J62" s="82" t="s">
        <v>199</v>
      </c>
    </row>
    <row r="63" spans="10:10">
      <c r="J63" s="82" t="s">
        <v>200</v>
      </c>
    </row>
    <row r="64" spans="10:10">
      <c r="J64" s="82" t="s">
        <v>201</v>
      </c>
    </row>
    <row r="65" spans="10:10">
      <c r="J65" s="82" t="s">
        <v>202</v>
      </c>
    </row>
    <row r="66" spans="10:10">
      <c r="J66" s="82" t="s">
        <v>203</v>
      </c>
    </row>
    <row r="67" spans="10:10">
      <c r="J67" s="82" t="s">
        <v>204</v>
      </c>
    </row>
    <row r="68" spans="10:10">
      <c r="J68" s="82" t="s">
        <v>205</v>
      </c>
    </row>
    <row r="69" spans="10:10">
      <c r="J69" s="82" t="s">
        <v>206</v>
      </c>
    </row>
    <row r="70" spans="10:10">
      <c r="J70" s="82" t="s">
        <v>207</v>
      </c>
    </row>
    <row r="71" spans="10:10">
      <c r="J71" s="82" t="s">
        <v>208</v>
      </c>
    </row>
    <row r="72" spans="10:10">
      <c r="J72" s="82" t="s">
        <v>209</v>
      </c>
    </row>
    <row r="73" spans="10:10">
      <c r="J73" s="82" t="s">
        <v>210</v>
      </c>
    </row>
    <row r="74" spans="10:10">
      <c r="J74" s="82" t="s">
        <v>211</v>
      </c>
    </row>
    <row r="75" spans="10:10">
      <c r="J75" s="82" t="s">
        <v>212</v>
      </c>
    </row>
    <row r="76" spans="10:10">
      <c r="J76" s="82" t="s">
        <v>213</v>
      </c>
    </row>
    <row r="77" spans="10:10">
      <c r="J77" s="82" t="s">
        <v>214</v>
      </c>
    </row>
    <row r="78" spans="10:10">
      <c r="J78" s="82" t="s">
        <v>215</v>
      </c>
    </row>
    <row r="79" spans="10:10">
      <c r="J79" s="82" t="s">
        <v>216</v>
      </c>
    </row>
    <row r="80" spans="10:10">
      <c r="J80" s="82" t="s">
        <v>217</v>
      </c>
    </row>
    <row r="81" spans="10:10">
      <c r="J81" s="82" t="s">
        <v>218</v>
      </c>
    </row>
    <row r="82" spans="10:10">
      <c r="J82" s="82" t="s">
        <v>219</v>
      </c>
    </row>
    <row r="83" spans="10:10">
      <c r="J83" s="82" t="s">
        <v>220</v>
      </c>
    </row>
    <row r="84" spans="10:10">
      <c r="J84" s="82" t="s">
        <v>221</v>
      </c>
    </row>
    <row r="85" spans="10:10">
      <c r="J85" s="82" t="s">
        <v>222</v>
      </c>
    </row>
    <row r="86" spans="10:10">
      <c r="J86" s="82" t="s">
        <v>223</v>
      </c>
    </row>
    <row r="87" spans="10:10">
      <c r="J87" s="82" t="s">
        <v>224</v>
      </c>
    </row>
    <row r="88" spans="10:10">
      <c r="J88" s="82" t="s">
        <v>225</v>
      </c>
    </row>
    <row r="89" spans="10:10">
      <c r="J89" s="82" t="s">
        <v>226</v>
      </c>
    </row>
    <row r="90" spans="10:10">
      <c r="J90" s="82" t="s">
        <v>227</v>
      </c>
    </row>
    <row r="91" spans="10:10">
      <c r="J91" s="82" t="s">
        <v>228</v>
      </c>
    </row>
    <row r="92" spans="10:10">
      <c r="J92" s="82" t="s">
        <v>229</v>
      </c>
    </row>
    <row r="93" spans="10:10">
      <c r="J93" s="82" t="s">
        <v>230</v>
      </c>
    </row>
    <row r="94" spans="10:10">
      <c r="J94" s="82" t="s">
        <v>231</v>
      </c>
    </row>
    <row r="95" spans="10:10">
      <c r="J95" s="82" t="s">
        <v>232</v>
      </c>
    </row>
    <row r="96" spans="10:10">
      <c r="J96" s="82" t="s">
        <v>233</v>
      </c>
    </row>
    <row r="97" spans="10:10">
      <c r="J97" s="82" t="s">
        <v>234</v>
      </c>
    </row>
    <row r="98" spans="10:10">
      <c r="J98" s="82" t="s">
        <v>235</v>
      </c>
    </row>
    <row r="99" spans="10:10">
      <c r="J99" s="82" t="s">
        <v>236</v>
      </c>
    </row>
    <row r="100" spans="10:10">
      <c r="J100" s="82" t="s">
        <v>237</v>
      </c>
    </row>
    <row r="101" spans="10:10">
      <c r="J101" s="82" t="s">
        <v>238</v>
      </c>
    </row>
    <row r="102" spans="10:10">
      <c r="J102" s="82" t="s">
        <v>239</v>
      </c>
    </row>
    <row r="103" spans="10:10">
      <c r="J103" s="82" t="s">
        <v>240</v>
      </c>
    </row>
    <row r="104" spans="10:10">
      <c r="J104" s="82" t="s">
        <v>241</v>
      </c>
    </row>
    <row r="105" spans="10:10">
      <c r="J105" s="82" t="s">
        <v>242</v>
      </c>
    </row>
    <row r="106" spans="10:10">
      <c r="J106" s="82" t="s">
        <v>243</v>
      </c>
    </row>
    <row r="107" spans="10:10">
      <c r="J107" s="82" t="s">
        <v>244</v>
      </c>
    </row>
    <row r="108" spans="10:10">
      <c r="J108" s="82" t="s">
        <v>245</v>
      </c>
    </row>
    <row r="109" spans="10:10">
      <c r="J109" s="82" t="s">
        <v>246</v>
      </c>
    </row>
    <row r="110" spans="10:10">
      <c r="J110" s="82" t="s">
        <v>247</v>
      </c>
    </row>
    <row r="111" spans="10:10">
      <c r="J111" s="82" t="s">
        <v>104</v>
      </c>
    </row>
    <row r="112" spans="10:10">
      <c r="J112" s="82" t="s">
        <v>248</v>
      </c>
    </row>
    <row r="113" spans="10:10">
      <c r="J113" s="82" t="s">
        <v>249</v>
      </c>
    </row>
    <row r="114" spans="10:10">
      <c r="J114" s="82" t="s">
        <v>250</v>
      </c>
    </row>
    <row r="115" spans="10:10">
      <c r="J115" s="82" t="s">
        <v>251</v>
      </c>
    </row>
    <row r="116" spans="10:10">
      <c r="J116" s="82" t="s">
        <v>252</v>
      </c>
    </row>
    <row r="117" spans="10:10">
      <c r="J117" s="82" t="s">
        <v>253</v>
      </c>
    </row>
    <row r="118" spans="10:10">
      <c r="J118" s="82" t="s">
        <v>254</v>
      </c>
    </row>
    <row r="119" spans="10:10">
      <c r="J119" s="82" t="s">
        <v>255</v>
      </c>
    </row>
    <row r="120" spans="10:10">
      <c r="J120" s="82" t="s">
        <v>256</v>
      </c>
    </row>
    <row r="121" spans="10:10">
      <c r="J121" s="82" t="s">
        <v>257</v>
      </c>
    </row>
    <row r="122" spans="10:10">
      <c r="J122" s="82" t="s">
        <v>258</v>
      </c>
    </row>
    <row r="123" spans="10:10">
      <c r="J123" s="82" t="s">
        <v>259</v>
      </c>
    </row>
    <row r="124" spans="10:10">
      <c r="J124" s="82" t="s">
        <v>260</v>
      </c>
    </row>
    <row r="125" spans="10:10">
      <c r="J125" s="82" t="s">
        <v>261</v>
      </c>
    </row>
    <row r="126" spans="10:10">
      <c r="J126" s="82" t="s">
        <v>262</v>
      </c>
    </row>
    <row r="127" spans="10:10">
      <c r="J127" s="82" t="s">
        <v>263</v>
      </c>
    </row>
    <row r="128" spans="10:10">
      <c r="J128" s="82" t="s">
        <v>264</v>
      </c>
    </row>
    <row r="129" spans="10:10">
      <c r="J129" s="82" t="s">
        <v>265</v>
      </c>
    </row>
    <row r="130" spans="10:10">
      <c r="J130" s="82" t="s">
        <v>266</v>
      </c>
    </row>
    <row r="131" spans="10:10">
      <c r="J131" s="82" t="s">
        <v>267</v>
      </c>
    </row>
    <row r="132" spans="10:10">
      <c r="J132" s="82" t="s">
        <v>268</v>
      </c>
    </row>
    <row r="133" spans="10:10">
      <c r="J133" s="82" t="s">
        <v>269</v>
      </c>
    </row>
    <row r="134" spans="10:10">
      <c r="J134" s="82" t="s">
        <v>270</v>
      </c>
    </row>
    <row r="135" spans="10:10">
      <c r="J135" s="82" t="s">
        <v>271</v>
      </c>
    </row>
    <row r="136" spans="10:10">
      <c r="J136" s="82" t="s">
        <v>272</v>
      </c>
    </row>
    <row r="137" spans="10:10">
      <c r="J137" s="82" t="s">
        <v>273</v>
      </c>
    </row>
    <row r="138" spans="10:10">
      <c r="J138" s="82" t="s">
        <v>274</v>
      </c>
    </row>
    <row r="139" spans="10:10">
      <c r="J139" s="82" t="s">
        <v>275</v>
      </c>
    </row>
    <row r="140" spans="10:10">
      <c r="J140" s="82" t="s">
        <v>276</v>
      </c>
    </row>
    <row r="141" spans="10:10">
      <c r="J141" s="82" t="s">
        <v>277</v>
      </c>
    </row>
    <row r="142" spans="10:10">
      <c r="J142" s="82" t="s">
        <v>278</v>
      </c>
    </row>
    <row r="143" spans="10:10">
      <c r="J143" s="82" t="s">
        <v>279</v>
      </c>
    </row>
    <row r="144" spans="10:10">
      <c r="J144" s="321"/>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49"/>
  <sheetViews>
    <sheetView showGridLines="0" topLeftCell="E1" zoomScale="85" zoomScaleNormal="85" workbookViewId="0">
      <pane ySplit="2" topLeftCell="A18" activePane="bottomLeft" state="frozen"/>
      <selection activeCell="E22" sqref="E22"/>
      <selection pane="bottomLeft" activeCell="E1" sqref="E1"/>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8.42578125" customWidth="1"/>
    <col min="14" max="14" width="0.140625" style="35" hidden="1" customWidth="1"/>
    <col min="15" max="15" width="0.42578125"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08" t="str">
        <f>+"Dashboard: "&amp;" "&amp;+IF('Introducerea datelor'!C4="Please Select","",'Introducerea datelor'!C4&amp;" - ")&amp;+IF('Introducerea datelor'!G6="Please Select","",'Introducerea datelor'!G6)</f>
        <v>Dashboard:  Moldova - TB</v>
      </c>
      <c r="C2" s="608"/>
      <c r="D2" s="608"/>
      <c r="E2" s="608"/>
      <c r="F2" s="608"/>
      <c r="G2" s="608"/>
      <c r="H2" s="608"/>
      <c r="I2" s="608"/>
      <c r="J2" s="608"/>
      <c r="K2" s="608"/>
      <c r="L2" s="608"/>
      <c r="M2" s="608"/>
    </row>
    <row r="3" spans="1:15" ht="15.75" customHeight="1">
      <c r="A3" s="3"/>
      <c r="B3" s="178"/>
      <c r="C3" s="178"/>
      <c r="D3" s="178"/>
      <c r="E3" s="178"/>
      <c r="F3" s="178"/>
      <c r="G3" s="178"/>
      <c r="H3" s="178"/>
      <c r="I3" s="178"/>
      <c r="J3" s="178"/>
      <c r="K3" s="179"/>
      <c r="L3" s="179"/>
      <c r="M3" s="3"/>
    </row>
    <row r="5" spans="1:15" ht="23.25">
      <c r="B5" s="604" t="s">
        <v>297</v>
      </c>
      <c r="C5" s="604"/>
      <c r="D5" s="604"/>
      <c r="E5" s="604"/>
      <c r="F5" s="604"/>
      <c r="G5" s="604"/>
      <c r="H5" s="604"/>
      <c r="I5" s="604"/>
      <c r="J5" s="604"/>
      <c r="K5" s="604"/>
      <c r="L5" s="604"/>
      <c r="M5" s="604"/>
      <c r="N5" s="604"/>
      <c r="O5" s="604"/>
    </row>
    <row r="7" spans="1:15" ht="21">
      <c r="B7" s="609" t="s">
        <v>286</v>
      </c>
      <c r="C7" s="610"/>
      <c r="D7" s="611"/>
      <c r="E7" s="609" t="s">
        <v>287</v>
      </c>
      <c r="F7" s="610"/>
      <c r="G7" s="610"/>
      <c r="H7" s="610"/>
      <c r="I7" s="611"/>
      <c r="J7" s="609" t="s">
        <v>288</v>
      </c>
      <c r="K7" s="610"/>
      <c r="L7" s="611"/>
      <c r="M7" s="609" t="s">
        <v>338</v>
      </c>
      <c r="N7" s="610"/>
      <c r="O7" s="611"/>
    </row>
    <row r="8" spans="1:15" ht="72.75" customHeight="1">
      <c r="B8" s="555" t="str">
        <f>+'Introducerea datelor'!B27</f>
        <v>F1:  Budget and disbursements by Global Fund (Bugetul și debursările de către Fondul Global)</v>
      </c>
      <c r="C8" s="579"/>
      <c r="D8" s="580"/>
      <c r="E8" s="583" t="s">
        <v>397</v>
      </c>
      <c r="F8" s="584"/>
      <c r="G8" s="584"/>
      <c r="H8" s="584"/>
      <c r="I8" s="585"/>
      <c r="J8" s="531" t="s">
        <v>339</v>
      </c>
      <c r="K8" s="532"/>
      <c r="L8" s="533"/>
      <c r="M8" s="531" t="s">
        <v>362</v>
      </c>
      <c r="N8" s="532"/>
      <c r="O8" s="533"/>
    </row>
    <row r="9" spans="1:15" ht="83.25" customHeight="1">
      <c r="B9" s="555" t="str">
        <f>+'Introducerea datelor'!B36</f>
        <v>F2:  Budget and actual expenditures by Grant Objective (Bugetul și cheltuielile actuale după Obiectivele Grantului)</v>
      </c>
      <c r="C9" s="579"/>
      <c r="D9" s="580"/>
      <c r="E9" s="558" t="s">
        <v>347</v>
      </c>
      <c r="F9" s="556"/>
      <c r="G9" s="556"/>
      <c r="H9" s="556"/>
      <c r="I9" s="557"/>
      <c r="J9" s="531" t="s">
        <v>341</v>
      </c>
      <c r="K9" s="532"/>
      <c r="L9" s="533"/>
      <c r="M9" s="531" t="s">
        <v>362</v>
      </c>
      <c r="N9" s="532"/>
      <c r="O9" s="533"/>
    </row>
    <row r="10" spans="1:15" ht="152.25" customHeight="1">
      <c r="B10" s="617" t="str">
        <f>+'Introducerea datelor'!B48</f>
        <v>F3:Disbursements and expenditures (Debursări și cheltuieli)</v>
      </c>
      <c r="C10" s="618"/>
      <c r="D10" s="619"/>
      <c r="E10" s="558" t="s">
        <v>363</v>
      </c>
      <c r="F10" s="556"/>
      <c r="G10" s="556"/>
      <c r="H10" s="556"/>
      <c r="I10" s="557"/>
      <c r="J10" s="531" t="s">
        <v>348</v>
      </c>
      <c r="K10" s="532"/>
      <c r="L10" s="533"/>
      <c r="M10" s="531" t="s">
        <v>340</v>
      </c>
      <c r="N10" s="532"/>
      <c r="O10" s="533"/>
    </row>
    <row r="11" spans="1:15" ht="202.5" customHeight="1">
      <c r="B11" s="617" t="str">
        <f>+'Introducerea datelor'!B57</f>
        <v xml:space="preserve">F4:  Latest PR reporting and disbursement cycle (Ultima perioadă de raportare și debursare a RP) </v>
      </c>
      <c r="C11" s="626"/>
      <c r="D11" s="627"/>
      <c r="E11" s="558" t="s">
        <v>367</v>
      </c>
      <c r="F11" s="556"/>
      <c r="G11" s="556"/>
      <c r="H11" s="556"/>
      <c r="I11" s="557"/>
      <c r="J11" s="531" t="s">
        <v>349</v>
      </c>
      <c r="K11" s="532"/>
      <c r="L11" s="533"/>
      <c r="M11" s="531" t="s">
        <v>291</v>
      </c>
      <c r="N11" s="532"/>
      <c r="O11" s="533"/>
    </row>
    <row r="12" spans="1:15" s="19" customFormat="1">
      <c r="B12" s="625"/>
      <c r="C12" s="625"/>
      <c r="D12" s="625"/>
      <c r="E12" s="628"/>
      <c r="F12" s="628"/>
      <c r="G12" s="628"/>
      <c r="H12" s="628"/>
      <c r="I12" s="628"/>
      <c r="J12" s="628"/>
      <c r="K12" s="628"/>
      <c r="L12" s="628"/>
      <c r="M12" s="628"/>
      <c r="N12" s="628"/>
      <c r="O12" s="628"/>
    </row>
    <row r="13" spans="1:15" s="19" customFormat="1">
      <c r="B13" s="615"/>
      <c r="C13" s="615"/>
      <c r="D13" s="615"/>
      <c r="E13" s="616"/>
      <c r="F13" s="616"/>
      <c r="G13" s="616"/>
      <c r="H13" s="616"/>
      <c r="I13" s="616"/>
      <c r="J13" s="616"/>
      <c r="K13" s="616"/>
      <c r="L13" s="616"/>
      <c r="M13" s="616"/>
      <c r="N13" s="616"/>
      <c r="O13" s="616"/>
    </row>
    <row r="14" spans="1:15" s="19" customFormat="1">
      <c r="B14" s="615"/>
      <c r="C14" s="615"/>
      <c r="D14" s="615"/>
      <c r="E14" s="616"/>
      <c r="F14" s="616"/>
      <c r="G14" s="616"/>
      <c r="H14" s="616"/>
      <c r="I14" s="616"/>
      <c r="J14" s="616"/>
      <c r="K14" s="616"/>
      <c r="L14" s="616"/>
      <c r="M14" s="616"/>
      <c r="N14" s="616"/>
      <c r="O14" s="616"/>
    </row>
    <row r="15" spans="1:15" s="19" customFormat="1">
      <c r="B15" s="615"/>
      <c r="C15" s="615"/>
      <c r="D15" s="615"/>
      <c r="E15" s="616"/>
      <c r="F15" s="616"/>
      <c r="G15" s="616"/>
      <c r="H15" s="616"/>
      <c r="I15" s="616"/>
      <c r="J15" s="616"/>
      <c r="K15" s="616"/>
      <c r="L15" s="616"/>
      <c r="M15" s="616"/>
      <c r="N15" s="616"/>
      <c r="O15" s="616"/>
    </row>
    <row r="16" spans="1:15" ht="23.25">
      <c r="B16" s="604" t="s">
        <v>298</v>
      </c>
      <c r="C16" s="604"/>
      <c r="D16" s="604"/>
      <c r="E16" s="604"/>
      <c r="F16" s="604"/>
      <c r="G16" s="604"/>
      <c r="H16" s="604"/>
      <c r="I16" s="604"/>
      <c r="J16" s="604"/>
      <c r="K16" s="604"/>
      <c r="L16" s="604"/>
      <c r="M16" s="604"/>
      <c r="N16" s="604"/>
      <c r="O16" s="604"/>
    </row>
    <row r="18" spans="1:15" ht="21">
      <c r="B18" s="612" t="s">
        <v>286</v>
      </c>
      <c r="C18" s="613"/>
      <c r="D18" s="614"/>
      <c r="E18" s="612" t="s">
        <v>287</v>
      </c>
      <c r="F18" s="613"/>
      <c r="G18" s="613"/>
      <c r="H18" s="613"/>
      <c r="I18" s="614"/>
      <c r="J18" s="612" t="s">
        <v>288</v>
      </c>
      <c r="K18" s="613"/>
      <c r="L18" s="614"/>
      <c r="M18" s="612" t="s">
        <v>289</v>
      </c>
      <c r="N18" s="613"/>
      <c r="O18" s="614"/>
    </row>
    <row r="19" spans="1:15" ht="80.25" customHeight="1">
      <c r="B19" s="555" t="str">
        <f>+'Introducerea datelor'!B68</f>
        <v xml:space="preserve">M1:  Status of Conditions Precedent (CPs) and Time Bound Actions (TBAs) (Statutul Condițiilor Precedente și a Acțiunilor Prestabilite în Timp) </v>
      </c>
      <c r="C19" s="556"/>
      <c r="D19" s="557"/>
      <c r="E19" s="558" t="s">
        <v>296</v>
      </c>
      <c r="F19" s="556"/>
      <c r="G19" s="556"/>
      <c r="H19" s="556"/>
      <c r="I19" s="557"/>
      <c r="J19" s="531" t="s">
        <v>342</v>
      </c>
      <c r="K19" s="532"/>
      <c r="L19" s="533"/>
      <c r="M19" s="531" t="s">
        <v>343</v>
      </c>
      <c r="N19" s="532"/>
      <c r="O19" s="533"/>
    </row>
    <row r="20" spans="1:15" ht="58.5" customHeight="1">
      <c r="B20" s="555" t="str">
        <f>+'Introducerea datelor'!B75</f>
        <v xml:space="preserve">M2:  Status of key PR management positions (Statutul pozițiilor cheie a RP) </v>
      </c>
      <c r="C20" s="556"/>
      <c r="D20" s="557"/>
      <c r="E20" s="558" t="s">
        <v>364</v>
      </c>
      <c r="F20" s="556"/>
      <c r="G20" s="556"/>
      <c r="H20" s="556"/>
      <c r="I20" s="557"/>
      <c r="J20" s="531" t="s">
        <v>293</v>
      </c>
      <c r="K20" s="532"/>
      <c r="L20" s="533"/>
      <c r="M20" s="531" t="s">
        <v>292</v>
      </c>
      <c r="N20" s="532"/>
      <c r="O20" s="533"/>
    </row>
    <row r="21" spans="1:15" ht="110.25" customHeight="1">
      <c r="B21" s="555" t="str">
        <f>+'Introducerea datelor'!B80</f>
        <v xml:space="preserve">M3:  Contractual arrangements (SRs)  (Aranjamente contractuale (SR)) </v>
      </c>
      <c r="C21" s="556"/>
      <c r="D21" s="557"/>
      <c r="E21" s="559" t="s">
        <v>36</v>
      </c>
      <c r="F21" s="556"/>
      <c r="G21" s="556"/>
      <c r="H21" s="556"/>
      <c r="I21" s="557"/>
      <c r="J21" s="531" t="s">
        <v>344</v>
      </c>
      <c r="K21" s="532"/>
      <c r="L21" s="533"/>
      <c r="M21" s="531" t="s">
        <v>345</v>
      </c>
      <c r="N21" s="532"/>
      <c r="O21" s="533"/>
    </row>
    <row r="22" spans="1:15" ht="55.5" customHeight="1">
      <c r="B22" s="555" t="str">
        <f>+'Introducerea datelor'!B85</f>
        <v>M4: Number of complete reports received on time (Numărul rapoartelor complete recepționate la timp)</v>
      </c>
      <c r="C22" s="556"/>
      <c r="D22" s="557"/>
      <c r="E22" s="559" t="s">
        <v>368</v>
      </c>
      <c r="F22" s="581"/>
      <c r="G22" s="581"/>
      <c r="H22" s="581"/>
      <c r="I22" s="582"/>
      <c r="J22" s="531" t="s">
        <v>350</v>
      </c>
      <c r="K22" s="532"/>
      <c r="L22" s="533"/>
      <c r="M22" s="531" t="s">
        <v>294</v>
      </c>
      <c r="N22" s="532"/>
      <c r="O22" s="533"/>
    </row>
    <row r="23" spans="1:15" ht="123.75" customHeight="1">
      <c r="B23" s="560" t="str">
        <f>+'Introducerea datelor'!B91</f>
        <v>M5: Budget and Procurement of health products, health equipment, medicines and pharmaceuticals (Bugetul și Procurarea produselor medicale, echipamentului medical, medicamentelor și produselor farmaceutice )</v>
      </c>
      <c r="C23" s="561"/>
      <c r="D23" s="562"/>
      <c r="E23" s="598" t="s">
        <v>351</v>
      </c>
      <c r="F23" s="599"/>
      <c r="G23" s="599"/>
      <c r="H23" s="599"/>
      <c r="I23" s="600"/>
      <c r="J23" s="540" t="s">
        <v>290</v>
      </c>
      <c r="K23" s="541"/>
      <c r="L23" s="542"/>
      <c r="M23" s="540" t="s">
        <v>295</v>
      </c>
      <c r="N23" s="541"/>
      <c r="O23" s="542"/>
    </row>
    <row r="24" spans="1:15" ht="53.25" customHeight="1">
      <c r="B24" s="563"/>
      <c r="C24" s="564"/>
      <c r="D24" s="565"/>
      <c r="E24" s="595" t="s">
        <v>346</v>
      </c>
      <c r="F24" s="596"/>
      <c r="G24" s="596"/>
      <c r="H24" s="596"/>
      <c r="I24" s="597"/>
      <c r="J24" s="543"/>
      <c r="K24" s="544"/>
      <c r="L24" s="545"/>
      <c r="M24" s="543"/>
      <c r="N24" s="544"/>
      <c r="O24" s="545"/>
    </row>
    <row r="25" spans="1:15" ht="136.5" customHeight="1">
      <c r="B25" s="555" t="str">
        <f>+'Introducerea datelor'!B104</f>
        <v>M6: Difference between current and safety stock (Diferență între stocul curent și stocul de siguranță)</v>
      </c>
      <c r="C25" s="556"/>
      <c r="D25" s="557"/>
      <c r="E25" s="573" t="s">
        <v>369</v>
      </c>
      <c r="F25" s="574"/>
      <c r="G25" s="574"/>
      <c r="H25" s="574"/>
      <c r="I25" s="575"/>
      <c r="J25" s="537" t="s">
        <v>352</v>
      </c>
      <c r="K25" s="538"/>
      <c r="L25" s="539"/>
      <c r="M25" s="534" t="s">
        <v>353</v>
      </c>
      <c r="N25" s="535"/>
      <c r="O25" s="536"/>
    </row>
    <row r="29" spans="1:15" ht="18.75">
      <c r="B29" s="202"/>
    </row>
    <row r="30" spans="1:15" ht="23.25">
      <c r="B30" s="604" t="s">
        <v>376</v>
      </c>
      <c r="C30" s="604"/>
      <c r="D30" s="604"/>
      <c r="E30" s="604"/>
      <c r="F30" s="604"/>
      <c r="G30" s="604"/>
      <c r="H30" s="604"/>
      <c r="I30" s="604"/>
      <c r="J30" s="604"/>
      <c r="K30" s="604"/>
      <c r="L30" s="604"/>
      <c r="M30" s="604"/>
      <c r="N30" s="604"/>
      <c r="O30" s="604"/>
    </row>
    <row r="32" spans="1:15" ht="28.5" customHeight="1">
      <c r="A32" s="199"/>
      <c r="B32" s="605" t="s">
        <v>337</v>
      </c>
      <c r="C32" s="606"/>
      <c r="D32" s="607"/>
      <c r="E32" s="546" t="s">
        <v>477</v>
      </c>
      <c r="F32" s="547"/>
      <c r="G32" s="547"/>
      <c r="H32" s="547"/>
      <c r="I32" s="548"/>
      <c r="J32" s="546" t="s">
        <v>476</v>
      </c>
      <c r="K32" s="547"/>
      <c r="L32" s="548"/>
      <c r="M32" s="546" t="s">
        <v>475</v>
      </c>
      <c r="N32" s="547"/>
      <c r="O32" s="548"/>
    </row>
    <row r="33" spans="1:15" ht="144.75" customHeight="1">
      <c r="A33" s="200"/>
      <c r="B33" s="552" t="s">
        <v>479</v>
      </c>
      <c r="C33" s="553"/>
      <c r="D33" s="554"/>
      <c r="E33" s="572" t="s">
        <v>489</v>
      </c>
      <c r="F33" s="529"/>
      <c r="G33" s="529"/>
      <c r="H33" s="529"/>
      <c r="I33" s="530"/>
      <c r="J33" s="525" t="s">
        <v>489</v>
      </c>
      <c r="K33" s="526"/>
      <c r="L33" s="527"/>
      <c r="M33" s="525" t="s">
        <v>13</v>
      </c>
      <c r="N33" s="526"/>
      <c r="O33" s="527"/>
    </row>
    <row r="34" spans="1:15" ht="60.75" customHeight="1">
      <c r="A34" s="200"/>
      <c r="B34" s="552" t="s">
        <v>480</v>
      </c>
      <c r="C34" s="553"/>
      <c r="D34" s="554"/>
      <c r="E34" s="572" t="s">
        <v>490</v>
      </c>
      <c r="F34" s="529"/>
      <c r="G34" s="529"/>
      <c r="H34" s="529"/>
      <c r="I34" s="530"/>
      <c r="J34" s="525" t="s">
        <v>3</v>
      </c>
      <c r="K34" s="526"/>
      <c r="L34" s="527"/>
      <c r="M34" s="525" t="s">
        <v>2</v>
      </c>
      <c r="N34" s="526"/>
      <c r="O34" s="527"/>
    </row>
    <row r="35" spans="1:15" ht="75" customHeight="1">
      <c r="A35" s="200"/>
      <c r="B35" s="552" t="s">
        <v>481</v>
      </c>
      <c r="C35" s="553"/>
      <c r="D35" s="554"/>
      <c r="E35" s="525" t="s">
        <v>407</v>
      </c>
      <c r="F35" s="526"/>
      <c r="G35" s="526"/>
      <c r="H35" s="526"/>
      <c r="I35" s="527"/>
      <c r="J35" s="525" t="s">
        <v>7</v>
      </c>
      <c r="K35" s="526"/>
      <c r="L35" s="527"/>
      <c r="M35" s="525" t="s">
        <v>6</v>
      </c>
      <c r="N35" s="526"/>
      <c r="O35" s="527"/>
    </row>
    <row r="36" spans="1:15" ht="75.75" customHeight="1">
      <c r="A36" s="200"/>
      <c r="B36" s="569" t="s">
        <v>482</v>
      </c>
      <c r="C36" s="570"/>
      <c r="D36" s="571"/>
      <c r="E36" s="576" t="s">
        <v>491</v>
      </c>
      <c r="F36" s="577"/>
      <c r="G36" s="577"/>
      <c r="H36" s="577"/>
      <c r="I36" s="578"/>
      <c r="J36" s="525" t="s">
        <v>12</v>
      </c>
      <c r="K36" s="526"/>
      <c r="L36" s="527"/>
      <c r="M36" s="525" t="s">
        <v>8</v>
      </c>
      <c r="N36" s="526"/>
      <c r="O36" s="527"/>
    </row>
    <row r="37" spans="1:15" ht="63" customHeight="1">
      <c r="A37" s="200"/>
      <c r="B37" s="552" t="s">
        <v>483</v>
      </c>
      <c r="C37" s="553"/>
      <c r="D37" s="554"/>
      <c r="E37" s="566" t="s">
        <v>492</v>
      </c>
      <c r="F37" s="567"/>
      <c r="G37" s="567"/>
      <c r="H37" s="567"/>
      <c r="I37" s="568"/>
      <c r="J37" s="525" t="s">
        <v>3</v>
      </c>
      <c r="K37" s="526"/>
      <c r="L37" s="527"/>
      <c r="M37" s="525" t="s">
        <v>5</v>
      </c>
      <c r="N37" s="526"/>
      <c r="O37" s="527"/>
    </row>
    <row r="38" spans="1:15" ht="45.75" customHeight="1">
      <c r="A38" s="200"/>
      <c r="B38" s="552" t="s">
        <v>484</v>
      </c>
      <c r="C38" s="553"/>
      <c r="D38" s="554"/>
      <c r="E38" s="528" t="s">
        <v>493</v>
      </c>
      <c r="F38" s="529"/>
      <c r="G38" s="529"/>
      <c r="H38" s="529"/>
      <c r="I38" s="530"/>
      <c r="J38" s="525" t="s">
        <v>3</v>
      </c>
      <c r="K38" s="526"/>
      <c r="L38" s="527"/>
      <c r="M38" s="525" t="s">
        <v>4</v>
      </c>
      <c r="N38" s="526"/>
      <c r="O38" s="527"/>
    </row>
    <row r="39" spans="1:15" ht="75.75" customHeight="1">
      <c r="A39" s="200"/>
      <c r="B39" s="552" t="s">
        <v>485</v>
      </c>
      <c r="C39" s="553"/>
      <c r="D39" s="554"/>
      <c r="E39" s="566" t="s">
        <v>494</v>
      </c>
      <c r="F39" s="526"/>
      <c r="G39" s="526"/>
      <c r="H39" s="526"/>
      <c r="I39" s="527"/>
      <c r="J39" s="525" t="s">
        <v>9</v>
      </c>
      <c r="K39" s="526"/>
      <c r="L39" s="527"/>
      <c r="M39" s="525" t="s">
        <v>6</v>
      </c>
      <c r="N39" s="526"/>
      <c r="O39" s="527"/>
    </row>
    <row r="40" spans="1:15" ht="63.75" customHeight="1">
      <c r="A40" s="200"/>
      <c r="B40" s="552" t="s">
        <v>486</v>
      </c>
      <c r="C40" s="553"/>
      <c r="D40" s="554"/>
      <c r="E40" s="522" t="s">
        <v>495</v>
      </c>
      <c r="F40" s="523"/>
      <c r="G40" s="523"/>
      <c r="H40" s="523"/>
      <c r="I40" s="524"/>
      <c r="J40" s="525" t="s">
        <v>9</v>
      </c>
      <c r="K40" s="526"/>
      <c r="L40" s="527"/>
      <c r="M40" s="525" t="s">
        <v>6</v>
      </c>
      <c r="N40" s="526"/>
      <c r="O40" s="527"/>
    </row>
    <row r="41" spans="1:15" ht="97.5" customHeight="1">
      <c r="A41" s="200"/>
      <c r="B41" s="549" t="s">
        <v>487</v>
      </c>
      <c r="C41" s="550"/>
      <c r="D41" s="551"/>
      <c r="E41" s="528" t="s">
        <v>0</v>
      </c>
      <c r="F41" s="529"/>
      <c r="G41" s="529"/>
      <c r="H41" s="529"/>
      <c r="I41" s="530"/>
      <c r="J41" s="525" t="s">
        <v>10</v>
      </c>
      <c r="K41" s="526"/>
      <c r="L41" s="527"/>
      <c r="M41" s="525" t="s">
        <v>11</v>
      </c>
      <c r="N41" s="526"/>
      <c r="O41" s="527"/>
    </row>
    <row r="42" spans="1:15" ht="72" customHeight="1">
      <c r="A42" s="200"/>
      <c r="B42" s="620" t="s">
        <v>488</v>
      </c>
      <c r="C42" s="621"/>
      <c r="D42" s="622"/>
      <c r="E42" s="566" t="s">
        <v>1</v>
      </c>
      <c r="F42" s="623"/>
      <c r="G42" s="623"/>
      <c r="H42" s="623"/>
      <c r="I42" s="624"/>
      <c r="J42" s="525" t="s">
        <v>3</v>
      </c>
      <c r="K42" s="526"/>
      <c r="L42" s="527"/>
      <c r="M42" s="525" t="s">
        <v>2</v>
      </c>
      <c r="N42" s="526"/>
      <c r="O42" s="527"/>
    </row>
    <row r="43" spans="1:15" ht="44.25" customHeight="1">
      <c r="B43" s="589" t="s">
        <v>307</v>
      </c>
      <c r="C43" s="590"/>
      <c r="D43" s="591"/>
      <c r="E43" s="592" t="s">
        <v>287</v>
      </c>
      <c r="F43" s="593"/>
      <c r="G43" s="593"/>
      <c r="H43" s="593"/>
      <c r="I43" s="594"/>
      <c r="J43" s="592" t="s">
        <v>288</v>
      </c>
      <c r="K43" s="593"/>
      <c r="L43" s="594"/>
      <c r="M43" s="592" t="s">
        <v>289</v>
      </c>
      <c r="N43" s="593"/>
      <c r="O43" s="594"/>
    </row>
    <row r="44" spans="1:15" ht="13.5" customHeight="1">
      <c r="B44" s="197"/>
      <c r="C44" s="198"/>
      <c r="D44" s="198"/>
      <c r="E44" s="192"/>
      <c r="F44" s="194"/>
      <c r="G44" s="194"/>
      <c r="H44" s="194"/>
      <c r="I44" s="194"/>
      <c r="J44" s="192"/>
      <c r="K44" s="192"/>
      <c r="L44" s="193"/>
      <c r="M44" s="191"/>
      <c r="N44" s="192"/>
      <c r="O44" s="193"/>
    </row>
    <row r="45" spans="1:15" ht="15.75" customHeight="1">
      <c r="B45" s="586" t="s">
        <v>306</v>
      </c>
      <c r="C45" s="587"/>
      <c r="D45" s="587"/>
      <c r="E45" s="587"/>
      <c r="F45" s="587"/>
      <c r="G45" s="587"/>
      <c r="H45" s="587"/>
      <c r="I45" s="587"/>
      <c r="J45" s="587"/>
      <c r="K45" s="587"/>
      <c r="L45" s="588"/>
      <c r="M45" s="601" t="s">
        <v>299</v>
      </c>
      <c r="N45" s="602"/>
      <c r="O45" s="603"/>
    </row>
    <row r="46" spans="1:15">
      <c r="D46" s="180"/>
    </row>
    <row r="48" spans="1:15">
      <c r="D48" s="180"/>
    </row>
    <row r="49" spans="4:4">
      <c r="D49" s="180"/>
    </row>
  </sheetData>
  <mergeCells count="119">
    <mergeCell ref="E42:I42"/>
    <mergeCell ref="J42:L42"/>
    <mergeCell ref="B12:D12"/>
    <mergeCell ref="J11:L11"/>
    <mergeCell ref="B11:D11"/>
    <mergeCell ref="B14:D14"/>
    <mergeCell ref="M11:O11"/>
    <mergeCell ref="J12:L12"/>
    <mergeCell ref="M12:O12"/>
    <mergeCell ref="E12:I12"/>
    <mergeCell ref="M42:O42"/>
    <mergeCell ref="M15:O15"/>
    <mergeCell ref="M13:O13"/>
    <mergeCell ref="M18:O18"/>
    <mergeCell ref="M14:O14"/>
    <mergeCell ref="M19:O19"/>
    <mergeCell ref="E14:I14"/>
    <mergeCell ref="J14:L14"/>
    <mergeCell ref="E15:I15"/>
    <mergeCell ref="E19:I19"/>
    <mergeCell ref="J19:L19"/>
    <mergeCell ref="E18:I18"/>
    <mergeCell ref="J18:L18"/>
    <mergeCell ref="M35:O35"/>
    <mergeCell ref="M43:O43"/>
    <mergeCell ref="J41:L41"/>
    <mergeCell ref="M41:O41"/>
    <mergeCell ref="B2:M2"/>
    <mergeCell ref="B5:O5"/>
    <mergeCell ref="M8:O8"/>
    <mergeCell ref="J8:L8"/>
    <mergeCell ref="E7:I7"/>
    <mergeCell ref="B7:D7"/>
    <mergeCell ref="B19:D19"/>
    <mergeCell ref="J7:L7"/>
    <mergeCell ref="M7:O7"/>
    <mergeCell ref="B18:D18"/>
    <mergeCell ref="B15:D15"/>
    <mergeCell ref="B13:D13"/>
    <mergeCell ref="B16:O16"/>
    <mergeCell ref="J15:L15"/>
    <mergeCell ref="E13:I13"/>
    <mergeCell ref="J13:L13"/>
    <mergeCell ref="B10:D10"/>
    <mergeCell ref="E11:I11"/>
    <mergeCell ref="E10:I10"/>
    <mergeCell ref="J10:L10"/>
    <mergeCell ref="B42:D42"/>
    <mergeCell ref="B8:D8"/>
    <mergeCell ref="M9:O9"/>
    <mergeCell ref="B9:D9"/>
    <mergeCell ref="E9:I9"/>
    <mergeCell ref="J9:L9"/>
    <mergeCell ref="E22:I22"/>
    <mergeCell ref="E8:I8"/>
    <mergeCell ref="B45:L45"/>
    <mergeCell ref="B43:D43"/>
    <mergeCell ref="E43:I43"/>
    <mergeCell ref="J43:L43"/>
    <mergeCell ref="E24:I24"/>
    <mergeCell ref="M10:O10"/>
    <mergeCell ref="E23:I23"/>
    <mergeCell ref="B35:D35"/>
    <mergeCell ref="J35:L35"/>
    <mergeCell ref="B38:D38"/>
    <mergeCell ref="M33:O33"/>
    <mergeCell ref="M34:O34"/>
    <mergeCell ref="J33:L33"/>
    <mergeCell ref="J34:L34"/>
    <mergeCell ref="M45:O45"/>
    <mergeCell ref="B30:O30"/>
    <mergeCell ref="B32:D32"/>
    <mergeCell ref="B41:D41"/>
    <mergeCell ref="B40:D40"/>
    <mergeCell ref="E41:I41"/>
    <mergeCell ref="J20:L20"/>
    <mergeCell ref="B20:D20"/>
    <mergeCell ref="E20:I20"/>
    <mergeCell ref="B21:D21"/>
    <mergeCell ref="E21:I21"/>
    <mergeCell ref="B22:D22"/>
    <mergeCell ref="B23:D24"/>
    <mergeCell ref="E32:I32"/>
    <mergeCell ref="B39:D39"/>
    <mergeCell ref="B37:D37"/>
    <mergeCell ref="E39:I39"/>
    <mergeCell ref="B25:D25"/>
    <mergeCell ref="B33:D33"/>
    <mergeCell ref="B34:D34"/>
    <mergeCell ref="E37:I37"/>
    <mergeCell ref="E35:I35"/>
    <mergeCell ref="B36:D36"/>
    <mergeCell ref="E33:I33"/>
    <mergeCell ref="E34:I34"/>
    <mergeCell ref="E25:I25"/>
    <mergeCell ref="E36:I36"/>
    <mergeCell ref="E40:I40"/>
    <mergeCell ref="M38:O38"/>
    <mergeCell ref="J36:L36"/>
    <mergeCell ref="J37:L37"/>
    <mergeCell ref="J39:L39"/>
    <mergeCell ref="E38:I38"/>
    <mergeCell ref="J38:L38"/>
    <mergeCell ref="M40:O40"/>
    <mergeCell ref="M20:O20"/>
    <mergeCell ref="M25:O25"/>
    <mergeCell ref="J25:L25"/>
    <mergeCell ref="J21:L21"/>
    <mergeCell ref="M21:O21"/>
    <mergeCell ref="J23:L24"/>
    <mergeCell ref="M22:O22"/>
    <mergeCell ref="M23:O24"/>
    <mergeCell ref="J22:L22"/>
    <mergeCell ref="J32:L32"/>
    <mergeCell ref="M32:O32"/>
    <mergeCell ref="M36:O36"/>
    <mergeCell ref="M37:O37"/>
    <mergeCell ref="M39:O39"/>
    <mergeCell ref="J40:L40"/>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G150"/>
  <sheetViews>
    <sheetView showGridLines="0" tabSelected="1" topLeftCell="B37" zoomScaleNormal="100" workbookViewId="0">
      <selection activeCell="D41" sqref="D41"/>
    </sheetView>
  </sheetViews>
  <sheetFormatPr defaultColWidth="11" defaultRowHeight="15"/>
  <cols>
    <col min="1" max="1" width="2.7109375" customWidth="1"/>
    <col min="2" max="2" width="44.7109375" customWidth="1"/>
    <col min="3" max="6" width="15.28515625" customWidth="1"/>
    <col min="7" max="7" width="15.28515625" style="498" customWidth="1"/>
    <col min="8" max="9" width="15.28515625" customWidth="1"/>
    <col min="10" max="11" width="14.85546875" style="425" customWidth="1"/>
    <col min="12" max="13" width="14.85546875" customWidth="1"/>
    <col min="14" max="14" width="14.85546875" style="35" customWidth="1"/>
    <col min="15" max="15" width="11.7109375" style="35" customWidth="1"/>
    <col min="16" max="16" width="10.28515625" style="35" customWidth="1"/>
    <col min="17" max="17" width="11.5703125" customWidth="1"/>
    <col min="18" max="18" width="13.42578125" customWidth="1"/>
    <col min="19" max="19" width="11.42578125" hidden="1" customWidth="1"/>
    <col min="20" max="20" width="15.5703125" customWidth="1"/>
    <col min="21" max="21" width="11.42578125" customWidth="1"/>
    <col min="22" max="22" width="2.28515625" customWidth="1"/>
    <col min="23" max="23" width="1.140625" customWidth="1"/>
    <col min="24" max="24" width="3.28515625" customWidth="1"/>
    <col min="25" max="25" width="17" customWidth="1"/>
    <col min="26" max="26" width="15" customWidth="1"/>
    <col min="27" max="27" width="11.42578125" customWidth="1"/>
    <col min="28" max="28" width="13.5703125" customWidth="1"/>
    <col min="29" max="29" width="16.85546875" customWidth="1"/>
    <col min="30" max="30" width="11.42578125" customWidth="1"/>
    <col min="31" max="31" width="2" style="35" customWidth="1"/>
    <col min="32" max="32" width="3.28515625" style="35" customWidth="1"/>
    <col min="33" max="33" width="2.28515625" style="35" customWidth="1"/>
    <col min="34" max="34" width="40.7109375" customWidth="1"/>
    <col min="35" max="35" width="15.42578125" customWidth="1"/>
  </cols>
  <sheetData>
    <row r="1" spans="1:13" ht="29.25" customHeight="1">
      <c r="A1" s="3"/>
      <c r="B1" s="3"/>
      <c r="C1" s="3"/>
      <c r="D1" s="3"/>
      <c r="E1" s="3"/>
      <c r="F1" s="3"/>
      <c r="G1" s="467"/>
      <c r="H1" s="3"/>
      <c r="I1" s="3"/>
      <c r="J1" s="388"/>
      <c r="K1" s="388"/>
      <c r="L1" s="3"/>
      <c r="M1" s="3"/>
    </row>
    <row r="2" spans="1:13" ht="15.75" customHeight="1">
      <c r="A2" s="3"/>
      <c r="B2" s="432" t="s">
        <v>402</v>
      </c>
      <c r="C2" s="432"/>
      <c r="D2" s="432"/>
      <c r="E2" s="432"/>
      <c r="F2" s="432"/>
      <c r="G2" s="468"/>
      <c r="H2" s="432"/>
      <c r="I2" s="432"/>
      <c r="J2" s="432"/>
      <c r="K2" s="389"/>
      <c r="L2" s="216"/>
      <c r="M2" s="216"/>
    </row>
    <row r="3" spans="1:13" ht="4.5" customHeight="1">
      <c r="A3" s="3"/>
      <c r="B3" s="3"/>
      <c r="C3" s="3"/>
      <c r="D3" s="3"/>
      <c r="E3" s="3"/>
      <c r="F3" s="3"/>
      <c r="G3" s="467"/>
      <c r="H3" s="3"/>
      <c r="I3" s="3"/>
      <c r="J3" s="388"/>
      <c r="K3" s="388"/>
      <c r="L3" s="3"/>
      <c r="M3" s="3"/>
    </row>
    <row r="4" spans="1:13" ht="28.5" customHeight="1">
      <c r="A4" s="3"/>
      <c r="B4" s="429" t="s">
        <v>459</v>
      </c>
      <c r="C4" s="430" t="s">
        <v>224</v>
      </c>
      <c r="D4" s="431"/>
      <c r="E4" s="429" t="s">
        <v>464</v>
      </c>
      <c r="F4" s="429"/>
      <c r="G4" s="657" t="s">
        <v>14</v>
      </c>
      <c r="H4" s="658"/>
      <c r="I4" s="658"/>
      <c r="J4" s="659"/>
      <c r="K4" s="427"/>
      <c r="L4" s="3"/>
      <c r="M4" s="3"/>
    </row>
    <row r="5" spans="1:13" ht="3" customHeight="1">
      <c r="A5" s="3"/>
      <c r="B5" s="429"/>
      <c r="C5" s="3"/>
      <c r="D5" s="3"/>
      <c r="E5" s="217"/>
      <c r="F5" s="217"/>
      <c r="G5" s="467"/>
      <c r="H5" s="3"/>
      <c r="I5" s="3"/>
      <c r="J5" s="388"/>
      <c r="K5" s="427"/>
      <c r="L5" s="3"/>
      <c r="M5" s="3"/>
    </row>
    <row r="6" spans="1:13">
      <c r="A6" s="3"/>
      <c r="B6" s="429" t="s">
        <v>460</v>
      </c>
      <c r="C6" s="430" t="s">
        <v>478</v>
      </c>
      <c r="D6" s="431"/>
      <c r="E6" s="429" t="s">
        <v>465</v>
      </c>
      <c r="F6" s="429"/>
      <c r="G6" s="469" t="s">
        <v>64</v>
      </c>
      <c r="H6" s="429" t="s">
        <v>393</v>
      </c>
      <c r="I6" s="463">
        <v>7434590.7199999997</v>
      </c>
      <c r="J6" s="464"/>
      <c r="K6" s="427"/>
      <c r="L6" s="3"/>
      <c r="M6" s="3"/>
    </row>
    <row r="7" spans="1:13" ht="3" customHeight="1">
      <c r="A7" s="3"/>
      <c r="B7" s="429"/>
      <c r="C7" s="3"/>
      <c r="D7" s="3"/>
      <c r="E7" s="217"/>
      <c r="F7" s="217"/>
      <c r="G7" s="467"/>
      <c r="H7" s="429"/>
      <c r="I7" s="3"/>
      <c r="J7" s="388"/>
      <c r="K7" s="427"/>
      <c r="L7" s="3"/>
      <c r="M7" s="3"/>
    </row>
    <row r="8" spans="1:13">
      <c r="A8" s="3"/>
      <c r="B8" s="429" t="s">
        <v>461</v>
      </c>
      <c r="C8" s="430" t="s">
        <v>395</v>
      </c>
      <c r="D8" s="431"/>
      <c r="E8" s="218"/>
      <c r="F8" s="445" t="s">
        <v>466</v>
      </c>
      <c r="G8" s="470" t="s">
        <v>44</v>
      </c>
      <c r="H8" s="445" t="s">
        <v>394</v>
      </c>
      <c r="I8" s="430" t="s">
        <v>45</v>
      </c>
      <c r="J8" s="431"/>
      <c r="K8" s="427"/>
      <c r="L8" s="3"/>
      <c r="M8" s="3"/>
    </row>
    <row r="9" spans="1:13" ht="3" customHeight="1">
      <c r="A9" s="3"/>
      <c r="B9" s="217"/>
      <c r="C9" s="3"/>
      <c r="D9" s="3"/>
      <c r="E9" s="217"/>
      <c r="F9" s="217"/>
      <c r="G9" s="467"/>
      <c r="H9" s="3"/>
      <c r="I9" s="3"/>
      <c r="J9" s="388"/>
      <c r="K9" s="388"/>
      <c r="L9" s="3"/>
      <c r="M9" s="3"/>
    </row>
    <row r="10" spans="1:13" ht="19.5" customHeight="1">
      <c r="A10" s="3"/>
      <c r="B10" s="429" t="s">
        <v>462</v>
      </c>
      <c r="C10" s="465" t="s">
        <v>398</v>
      </c>
      <c r="D10" s="466"/>
      <c r="E10" s="428" t="s">
        <v>467</v>
      </c>
      <c r="F10" s="446"/>
      <c r="G10" s="654" t="s">
        <v>86</v>
      </c>
      <c r="H10" s="655"/>
      <c r="I10" s="655"/>
      <c r="J10" s="656"/>
      <c r="K10" s="388"/>
      <c r="L10" s="3"/>
      <c r="M10" s="3"/>
    </row>
    <row r="11" spans="1:13" ht="5.25" customHeight="1">
      <c r="A11" s="3"/>
      <c r="B11" s="3"/>
      <c r="C11" s="3"/>
      <c r="D11" s="3"/>
      <c r="E11" s="3"/>
      <c r="F11" s="3"/>
      <c r="G11" s="467"/>
      <c r="H11" s="3"/>
      <c r="I11" s="3"/>
      <c r="J11" s="388"/>
      <c r="K11" s="388"/>
      <c r="L11" s="3"/>
      <c r="M11" s="3"/>
    </row>
    <row r="12" spans="1:13" ht="15" customHeight="1">
      <c r="A12" s="3"/>
      <c r="B12" s="429" t="s">
        <v>463</v>
      </c>
      <c r="C12" s="433" t="s">
        <v>73</v>
      </c>
      <c r="D12" s="433"/>
      <c r="E12" s="428" t="s">
        <v>302</v>
      </c>
      <c r="F12" s="429"/>
      <c r="G12" s="651" t="s">
        <v>510</v>
      </c>
      <c r="H12" s="652"/>
      <c r="I12" s="652"/>
      <c r="J12" s="653"/>
      <c r="K12" s="388"/>
      <c r="L12" s="3"/>
      <c r="M12" s="3"/>
    </row>
    <row r="13" spans="1:13" ht="5.25" customHeight="1">
      <c r="A13" s="3"/>
      <c r="B13" s="3"/>
      <c r="C13" s="3"/>
      <c r="D13" s="3"/>
      <c r="E13" s="3"/>
      <c r="F13" s="3"/>
      <c r="G13" s="467"/>
      <c r="H13" s="3"/>
      <c r="I13" s="3"/>
      <c r="J13" s="388"/>
      <c r="K13" s="388"/>
      <c r="L13" s="3"/>
      <c r="M13" s="3"/>
    </row>
    <row r="14" spans="1:13" ht="15.75" customHeight="1">
      <c r="A14" s="3"/>
      <c r="B14" s="432" t="s">
        <v>403</v>
      </c>
      <c r="C14" s="432"/>
      <c r="D14" s="432"/>
      <c r="E14" s="432"/>
      <c r="F14" s="432"/>
      <c r="G14" s="468"/>
      <c r="H14" s="432"/>
      <c r="I14" s="432"/>
      <c r="J14" s="432"/>
      <c r="K14" s="388"/>
      <c r="L14" s="3"/>
      <c r="M14" s="3"/>
    </row>
    <row r="15" spans="1:13" ht="3" customHeight="1">
      <c r="A15" s="3"/>
      <c r="B15" s="3"/>
      <c r="C15" s="3"/>
      <c r="D15" s="3"/>
      <c r="E15" s="3"/>
      <c r="F15" s="3"/>
      <c r="G15" s="467"/>
      <c r="H15" s="3"/>
      <c r="I15" s="3"/>
      <c r="J15" s="388"/>
      <c r="K15" s="388"/>
      <c r="L15" s="3"/>
      <c r="M15" s="3"/>
    </row>
    <row r="16" spans="1:13" ht="12.75" customHeight="1">
      <c r="A16" s="3"/>
      <c r="B16" s="429" t="s">
        <v>473</v>
      </c>
      <c r="C16" s="311" t="s">
        <v>301</v>
      </c>
      <c r="D16" s="445" t="s">
        <v>472</v>
      </c>
      <c r="E16" s="465">
        <v>42005</v>
      </c>
      <c r="F16" s="428" t="s">
        <v>471</v>
      </c>
      <c r="G16" s="471">
        <v>42185</v>
      </c>
      <c r="H16" s="361" t="s">
        <v>468</v>
      </c>
      <c r="I16" s="362"/>
      <c r="J16" s="390">
        <v>42241</v>
      </c>
      <c r="K16" s="388"/>
      <c r="L16" s="3"/>
      <c r="M16" s="3"/>
    </row>
    <row r="17" spans="1:32" ht="3" customHeight="1">
      <c r="A17" s="3"/>
      <c r="B17" s="3"/>
      <c r="C17" s="3"/>
      <c r="D17" s="3"/>
      <c r="E17" s="3"/>
      <c r="F17" s="3"/>
      <c r="G17" s="467"/>
      <c r="H17" s="3"/>
      <c r="I17" s="3"/>
      <c r="J17" s="388"/>
      <c r="K17" s="388"/>
      <c r="L17" s="3"/>
      <c r="M17" s="3"/>
    </row>
    <row r="18" spans="1:32" ht="15.75" customHeight="1">
      <c r="A18" s="3"/>
      <c r="B18" s="445" t="s">
        <v>474</v>
      </c>
      <c r="C18" s="446"/>
      <c r="D18" s="460" t="s">
        <v>395</v>
      </c>
      <c r="E18" s="461"/>
      <c r="F18" s="462"/>
      <c r="G18" s="472"/>
      <c r="H18" s="219"/>
      <c r="I18" s="219"/>
      <c r="J18" s="391"/>
      <c r="K18" s="388"/>
      <c r="L18" s="3"/>
      <c r="M18" s="3"/>
    </row>
    <row r="19" spans="1:32" ht="3" customHeight="1">
      <c r="A19" s="3"/>
      <c r="B19" s="3"/>
      <c r="C19" s="3"/>
      <c r="D19" s="3"/>
      <c r="E19" s="3"/>
      <c r="F19" s="3"/>
      <c r="G19" s="467"/>
      <c r="H19" s="3"/>
      <c r="I19" s="3"/>
      <c r="J19" s="388"/>
      <c r="K19" s="388"/>
      <c r="L19" s="3"/>
      <c r="M19" s="3"/>
    </row>
    <row r="20" spans="1:32" ht="5.25" customHeight="1">
      <c r="A20" s="3"/>
      <c r="B20" s="3"/>
      <c r="C20" s="3"/>
      <c r="D20" s="3"/>
      <c r="E20" s="3"/>
      <c r="F20" s="3"/>
      <c r="G20" s="467"/>
      <c r="H20" s="3"/>
      <c r="I20" s="3"/>
      <c r="J20" s="388"/>
      <c r="K20" s="388"/>
      <c r="L20" s="3"/>
      <c r="M20" s="3"/>
    </row>
    <row r="21" spans="1:32" ht="15.75" customHeight="1">
      <c r="A21" s="3"/>
      <c r="B21" s="432" t="s">
        <v>405</v>
      </c>
      <c r="C21" s="432"/>
      <c r="D21" s="432"/>
      <c r="E21" s="432"/>
      <c r="F21" s="432"/>
      <c r="G21" s="468"/>
      <c r="H21" s="432"/>
      <c r="I21" s="432"/>
      <c r="J21" s="432"/>
      <c r="K21" s="388"/>
      <c r="L21" s="3"/>
      <c r="M21" s="3"/>
    </row>
    <row r="22" spans="1:32">
      <c r="A22" s="3"/>
      <c r="B22" s="436" t="s">
        <v>404</v>
      </c>
      <c r="C22" s="436"/>
      <c r="D22" s="436"/>
      <c r="E22" s="436"/>
      <c r="F22" s="436"/>
      <c r="G22" s="467"/>
      <c r="H22" s="3"/>
      <c r="I22" s="220"/>
      <c r="J22" s="388"/>
      <c r="K22" s="388"/>
      <c r="L22" s="3"/>
      <c r="M22" s="3"/>
    </row>
    <row r="23" spans="1:32">
      <c r="A23" s="3"/>
      <c r="B23" s="3"/>
      <c r="C23" s="3"/>
      <c r="D23" s="3"/>
      <c r="E23" s="3"/>
      <c r="F23" s="3"/>
      <c r="G23" s="467"/>
      <c r="H23" s="3"/>
      <c r="I23" s="3"/>
      <c r="J23" s="388"/>
      <c r="K23" s="388"/>
      <c r="L23" s="3"/>
      <c r="M23" s="3"/>
    </row>
    <row r="24" spans="1:32" ht="58.5" customHeight="1" thickBot="1">
      <c r="A24" s="3"/>
      <c r="B24" s="473" t="s">
        <v>470</v>
      </c>
      <c r="C24" s="300"/>
      <c r="E24" s="473" t="s">
        <v>469</v>
      </c>
      <c r="F24" s="301"/>
      <c r="H24" s="473" t="s">
        <v>458</v>
      </c>
      <c r="I24" s="434"/>
      <c r="J24" s="435"/>
      <c r="K24" s="388"/>
      <c r="L24" s="3"/>
      <c r="M24" s="3"/>
      <c r="N24" s="20"/>
      <c r="O24" s="20"/>
    </row>
    <row r="25" spans="1:32" ht="19.5" thickBot="1">
      <c r="A25" s="3"/>
      <c r="B25" s="83" t="s">
        <v>365</v>
      </c>
      <c r="C25" s="84"/>
      <c r="D25" s="84"/>
      <c r="E25" s="84"/>
      <c r="F25" s="84"/>
      <c r="G25" s="474" t="s">
        <v>407</v>
      </c>
      <c r="H25" s="437" t="s">
        <v>408</v>
      </c>
      <c r="I25" s="437"/>
      <c r="J25" s="437"/>
      <c r="K25" s="437"/>
      <c r="L25" s="84"/>
      <c r="M25" s="84"/>
      <c r="N25" s="317"/>
      <c r="O25" s="360"/>
      <c r="P25" s="39"/>
      <c r="AF25" s="41"/>
    </row>
    <row r="26" spans="1:32">
      <c r="A26" s="3"/>
      <c r="B26" s="438" t="s">
        <v>406</v>
      </c>
      <c r="C26" s="439"/>
      <c r="D26" s="328" t="s">
        <v>43</v>
      </c>
      <c r="E26" s="86"/>
      <c r="F26" s="86"/>
      <c r="G26" s="475"/>
      <c r="H26" s="86"/>
      <c r="I26" s="86"/>
      <c r="J26" s="392"/>
      <c r="K26" s="393"/>
      <c r="L26" s="86"/>
      <c r="M26" s="86"/>
      <c r="N26" s="39"/>
      <c r="O26" s="39"/>
      <c r="P26" s="39"/>
      <c r="AF26" s="41"/>
    </row>
    <row r="27" spans="1:32" ht="18.75">
      <c r="A27" s="3"/>
      <c r="B27" s="85" t="s">
        <v>409</v>
      </c>
      <c r="C27" s="86"/>
      <c r="D27" s="86"/>
      <c r="E27" s="86"/>
      <c r="F27" s="86"/>
      <c r="G27" s="475"/>
      <c r="H27" s="86"/>
      <c r="I27" s="86"/>
      <c r="J27" s="392"/>
      <c r="K27" s="393"/>
      <c r="L27" s="86"/>
      <c r="M27" s="86"/>
      <c r="N27" s="39"/>
      <c r="O27" s="39"/>
      <c r="P27" s="39"/>
      <c r="AF27" s="41"/>
    </row>
    <row r="28" spans="1:32" ht="15.75" thickBot="1">
      <c r="A28" s="3"/>
      <c r="B28" s="3"/>
      <c r="C28" s="3"/>
      <c r="D28" s="3"/>
      <c r="E28" s="3"/>
      <c r="F28" s="3"/>
      <c r="G28" s="467"/>
      <c r="H28" s="3"/>
      <c r="I28" s="3"/>
      <c r="J28" s="388"/>
      <c r="K28" s="388"/>
      <c r="L28" s="3"/>
      <c r="M28" s="3"/>
    </row>
    <row r="29" spans="1:32" ht="15.75" thickBot="1">
      <c r="A29" s="3"/>
      <c r="B29" s="447" t="s">
        <v>89</v>
      </c>
      <c r="C29" s="448"/>
      <c r="D29" s="448"/>
      <c r="E29" s="448"/>
      <c r="F29" s="448"/>
      <c r="G29" s="476"/>
      <c r="H29" s="448"/>
      <c r="I29" s="448"/>
      <c r="J29" s="448"/>
      <c r="K29" s="448"/>
      <c r="L29" s="448"/>
      <c r="M29" s="448"/>
      <c r="N29" s="449"/>
      <c r="O29" s="99"/>
      <c r="Q29" s="168">
        <f>+C33</f>
        <v>0</v>
      </c>
      <c r="R29" s="167"/>
    </row>
    <row r="30" spans="1:32">
      <c r="A30" s="3"/>
      <c r="B30" s="87" t="s">
        <v>410</v>
      </c>
      <c r="C30" s="394"/>
      <c r="D30" s="299"/>
      <c r="E30" s="299"/>
      <c r="F30" s="299"/>
      <c r="G30" s="282"/>
      <c r="H30" s="299" t="s">
        <v>500</v>
      </c>
      <c r="I30" s="299" t="s">
        <v>140</v>
      </c>
      <c r="J30" s="299" t="s">
        <v>141</v>
      </c>
      <c r="K30" s="299" t="s">
        <v>142</v>
      </c>
      <c r="L30" s="299" t="s">
        <v>143</v>
      </c>
      <c r="M30" s="299" t="s">
        <v>144</v>
      </c>
      <c r="N30" s="299" t="s">
        <v>301</v>
      </c>
      <c r="O30" s="282"/>
      <c r="P30" s="283" t="s">
        <v>37</v>
      </c>
      <c r="Q30" s="168">
        <f>+D33</f>
        <v>0</v>
      </c>
      <c r="R30" s="167"/>
    </row>
    <row r="31" spans="1:32">
      <c r="A31" s="3"/>
      <c r="B31" s="214" t="str">
        <f>CONCATENATE("Buget (in ",'Introducerea datelor'!$D$26,")")</f>
        <v>Buget (in €)</v>
      </c>
      <c r="C31" s="395"/>
      <c r="D31" s="291"/>
      <c r="E31" s="291"/>
      <c r="F31" s="291"/>
      <c r="G31" s="477"/>
      <c r="H31" s="395">
        <v>4063058</v>
      </c>
      <c r="I31" s="291">
        <v>303817.76</v>
      </c>
      <c r="J31" s="291">
        <v>327052.76</v>
      </c>
      <c r="K31" s="291">
        <v>587460.52</v>
      </c>
      <c r="L31" s="291">
        <v>654470.92000000004</v>
      </c>
      <c r="M31" s="291">
        <v>584000.91999999993</v>
      </c>
      <c r="N31" s="291">
        <v>629164.91999999993</v>
      </c>
      <c r="O31" s="291"/>
      <c r="P31" s="648">
        <f>+SUM(C35:N35)</f>
        <v>0.99803878200596496</v>
      </c>
      <c r="Q31" s="168">
        <f>+E33</f>
        <v>0</v>
      </c>
      <c r="R31" s="167"/>
    </row>
    <row r="32" spans="1:32">
      <c r="A32" s="3"/>
      <c r="B32" s="87" t="str">
        <f>CONCATENATE("Debursări de către FG (in ", $D$26,")")</f>
        <v>Debursări de către FG (in €)</v>
      </c>
      <c r="C32" s="395"/>
      <c r="D32" s="291"/>
      <c r="E32" s="291"/>
      <c r="F32" s="291"/>
      <c r="G32" s="478"/>
      <c r="H32" s="395">
        <v>4063058</v>
      </c>
      <c r="I32" s="291">
        <v>303818</v>
      </c>
      <c r="J32" s="291">
        <v>1188387</v>
      </c>
      <c r="K32" s="291">
        <v>1222219</v>
      </c>
      <c r="L32" s="291">
        <v>0</v>
      </c>
      <c r="M32" s="291"/>
      <c r="N32" s="291">
        <v>357524</v>
      </c>
      <c r="O32" s="291"/>
      <c r="P32" s="649"/>
      <c r="Q32" s="168">
        <f>+F33</f>
        <v>0</v>
      </c>
      <c r="R32" s="167"/>
    </row>
    <row r="33" spans="1:33">
      <c r="A33" s="3"/>
      <c r="B33" s="88" t="s">
        <v>411</v>
      </c>
      <c r="C33" s="396"/>
      <c r="D33" s="292"/>
      <c r="E33" s="292"/>
      <c r="F33" s="292"/>
      <c r="G33" s="292">
        <f t="shared" ref="G33" si="0">IF(AND(G31=0,G32=0),0,+F33+G31)</f>
        <v>0</v>
      </c>
      <c r="H33" s="396">
        <v>4063058</v>
      </c>
      <c r="I33" s="292">
        <f>IF(AND(I31=0,I32=0),0,+H33+I31)</f>
        <v>4366875.76</v>
      </c>
      <c r="J33" s="292">
        <f>IF(AND(J31=0,J32=0),0,+I33+J31)</f>
        <v>4693928.5199999996</v>
      </c>
      <c r="K33" s="292">
        <v>5281390.0399999991</v>
      </c>
      <c r="L33" s="292">
        <f>IF(AND(L31=0,L32=0),0,+K33+L31)</f>
        <v>5935860.959999999</v>
      </c>
      <c r="M33" s="292">
        <f t="shared" ref="M33:N33" si="1">IF(AND(M31=0,M32=0),0,+L33+M31)</f>
        <v>6519861.879999999</v>
      </c>
      <c r="N33" s="292">
        <f t="shared" si="1"/>
        <v>7149026.7999999989</v>
      </c>
      <c r="O33" s="292">
        <f t="shared" ref="O33" si="2">IF(AND(O31=0,O32=0),0,+N33+O31)</f>
        <v>0</v>
      </c>
      <c r="P33" s="649"/>
      <c r="Q33" s="168">
        <f>+G33</f>
        <v>0</v>
      </c>
      <c r="R33" s="167"/>
    </row>
    <row r="34" spans="1:33" ht="15.75" thickBot="1">
      <c r="A34" s="3"/>
      <c r="B34" s="89" t="s">
        <v>412</v>
      </c>
      <c r="C34" s="397"/>
      <c r="D34" s="293"/>
      <c r="E34" s="293"/>
      <c r="F34" s="293"/>
      <c r="G34" s="479"/>
      <c r="H34" s="397">
        <v>4063058</v>
      </c>
      <c r="I34" s="293">
        <f>IF(AND(I31=0,I32=0),0,+H34+I32)</f>
        <v>4366876</v>
      </c>
      <c r="J34" s="293">
        <f>IF(AND(J31=0,J32=0),0,+I34+J32)</f>
        <v>5555263</v>
      </c>
      <c r="K34" s="293">
        <f>IF(AND(K31=0,K32=0),0,+J34+K32)</f>
        <v>6777482</v>
      </c>
      <c r="L34" s="293">
        <f>IF(AND(L31=0,L32=0),0,+K34+L32)</f>
        <v>6777482</v>
      </c>
      <c r="M34" s="293">
        <f t="shared" ref="M34:N34" si="3">IF(AND(M31=0,M32=0),0,+L34+M32)</f>
        <v>6777482</v>
      </c>
      <c r="N34" s="293">
        <f t="shared" si="3"/>
        <v>7135006</v>
      </c>
      <c r="O34" s="479"/>
      <c r="P34" s="650"/>
      <c r="Q34" s="168">
        <f>+H33</f>
        <v>4063058</v>
      </c>
      <c r="R34" s="167"/>
    </row>
    <row r="35" spans="1:33">
      <c r="A35" s="3"/>
      <c r="B35" s="3"/>
      <c r="C35" s="260">
        <f>+IF(AND(C30=$C$16,C33&lt;&gt;0),C34/C33,0)</f>
        <v>0</v>
      </c>
      <c r="D35" s="260">
        <f t="shared" ref="D35:N35" si="4">+IF(AND(D30=$C$16,D33&lt;&gt;0),D34/D33,0)</f>
        <v>0</v>
      </c>
      <c r="E35" s="260">
        <f t="shared" si="4"/>
        <v>0</v>
      </c>
      <c r="F35" s="260">
        <f t="shared" si="4"/>
        <v>0</v>
      </c>
      <c r="G35" s="480">
        <f t="shared" si="4"/>
        <v>0</v>
      </c>
      <c r="H35" s="260">
        <f t="shared" si="4"/>
        <v>0</v>
      </c>
      <c r="I35" s="260">
        <f t="shared" si="4"/>
        <v>0</v>
      </c>
      <c r="J35" s="398">
        <f t="shared" si="4"/>
        <v>0</v>
      </c>
      <c r="K35" s="398">
        <f t="shared" si="4"/>
        <v>0</v>
      </c>
      <c r="L35" s="260">
        <f t="shared" si="4"/>
        <v>0</v>
      </c>
      <c r="M35" s="260">
        <f t="shared" si="4"/>
        <v>0</v>
      </c>
      <c r="N35" s="260">
        <f t="shared" si="4"/>
        <v>0.99803878200596496</v>
      </c>
      <c r="O35" s="260"/>
      <c r="P35" s="221"/>
      <c r="Q35" s="168">
        <f>+I33</f>
        <v>4366875.76</v>
      </c>
      <c r="R35" s="167"/>
    </row>
    <row r="36" spans="1:33" ht="18.75">
      <c r="A36" s="3"/>
      <c r="B36" s="85" t="s">
        <v>413</v>
      </c>
      <c r="C36" s="3"/>
      <c r="D36" s="3"/>
      <c r="E36" s="273"/>
      <c r="F36" s="3"/>
      <c r="G36" s="481"/>
      <c r="H36" s="3"/>
      <c r="I36" s="3"/>
      <c r="J36" s="388"/>
      <c r="K36" s="388"/>
      <c r="L36" s="3"/>
      <c r="M36" s="3"/>
      <c r="N36" s="40"/>
      <c r="O36" s="40"/>
      <c r="P36" s="40"/>
      <c r="AF36" s="20"/>
    </row>
    <row r="37" spans="1:33" ht="9" customHeight="1" thickBot="1">
      <c r="A37" s="3"/>
      <c r="B37" s="3"/>
      <c r="C37" s="3"/>
      <c r="D37" s="3"/>
      <c r="E37" s="3"/>
      <c r="F37" s="3"/>
      <c r="G37" s="467"/>
      <c r="H37" s="3"/>
      <c r="I37" s="3"/>
      <c r="J37" s="388"/>
      <c r="K37" s="388"/>
      <c r="L37" s="3"/>
      <c r="M37" s="165"/>
      <c r="N37" s="38"/>
      <c r="O37" s="38"/>
      <c r="P37" s="38"/>
    </row>
    <row r="38" spans="1:33" ht="45">
      <c r="A38" s="3"/>
      <c r="B38" s="304" t="s">
        <v>414</v>
      </c>
      <c r="C38" s="305" t="str">
        <f>CONCATENATE("Bugetul Cumulativ (in ",'Introducerea datelor'!$D$26,")")</f>
        <v>Bugetul Cumulativ (in €)</v>
      </c>
      <c r="D38" s="306" t="str">
        <f>CONCATENATE("Cheltuielile Cumulative (in ",'Introducerea datelor'!$D$26,")")</f>
        <v>Cheltuielile Cumulative (in €)</v>
      </c>
      <c r="E38" s="212"/>
      <c r="F38" s="223"/>
      <c r="G38" s="467"/>
      <c r="H38" s="3"/>
      <c r="I38" s="3"/>
      <c r="J38" s="399"/>
      <c r="K38" s="400"/>
      <c r="N38"/>
      <c r="O38"/>
      <c r="P38"/>
      <c r="Y38" s="20"/>
      <c r="Z38" s="35"/>
      <c r="AB38" s="35"/>
      <c r="AC38" s="35"/>
      <c r="AD38" s="35"/>
      <c r="AE38"/>
      <c r="AF38"/>
      <c r="AG38"/>
    </row>
    <row r="39" spans="1:33" ht="30">
      <c r="A39" s="3"/>
      <c r="B39" s="373" t="s">
        <v>34</v>
      </c>
      <c r="C39" s="302">
        <v>2239084.5</v>
      </c>
      <c r="D39" s="307">
        <v>2282292.59</v>
      </c>
      <c r="E39" s="515"/>
      <c r="F39" s="380"/>
      <c r="G39" s="467"/>
      <c r="H39" s="399"/>
      <c r="I39" s="399"/>
      <c r="J39" s="399"/>
      <c r="K39" s="508"/>
      <c r="N39" s="516"/>
      <c r="O39"/>
      <c r="P39"/>
      <c r="Y39" s="20"/>
      <c r="Z39" s="35"/>
      <c r="AB39" s="35"/>
      <c r="AC39" s="35"/>
      <c r="AD39" s="35"/>
      <c r="AE39"/>
      <c r="AF39"/>
      <c r="AG39"/>
    </row>
    <row r="40" spans="1:33" ht="45">
      <c r="A40" s="3"/>
      <c r="B40" s="373" t="s">
        <v>35</v>
      </c>
      <c r="C40" s="302">
        <v>2442478.83</v>
      </c>
      <c r="D40" s="307">
        <f>2268465+6528</f>
        <v>2274993</v>
      </c>
      <c r="E40" s="515"/>
      <c r="F40" s="380"/>
      <c r="G40" s="467"/>
      <c r="H40" s="3"/>
      <c r="I40" s="401"/>
      <c r="J40" s="399"/>
      <c r="K40" s="508"/>
      <c r="N40"/>
      <c r="O40"/>
      <c r="P40"/>
      <c r="Y40" s="20"/>
      <c r="Z40" s="35"/>
      <c r="AB40" s="35"/>
      <c r="AC40" s="35"/>
      <c r="AD40" s="35"/>
      <c r="AE40"/>
      <c r="AF40"/>
      <c r="AG40"/>
    </row>
    <row r="41" spans="1:33" ht="30">
      <c r="A41" s="3"/>
      <c r="B41" s="373" t="s">
        <v>16</v>
      </c>
      <c r="C41" s="303">
        <v>342209</v>
      </c>
      <c r="D41" s="307">
        <v>340362.61</v>
      </c>
      <c r="E41" s="515"/>
      <c r="F41" s="380"/>
      <c r="G41" s="467"/>
      <c r="H41" s="3"/>
      <c r="I41" s="3"/>
      <c r="K41" s="508"/>
      <c r="N41"/>
      <c r="O41"/>
      <c r="P41"/>
      <c r="Y41" s="20"/>
      <c r="Z41" s="35"/>
      <c r="AB41" s="35"/>
      <c r="AC41" s="35"/>
      <c r="AD41" s="35"/>
      <c r="AE41"/>
      <c r="AF41"/>
      <c r="AG41"/>
    </row>
    <row r="42" spans="1:33" ht="30">
      <c r="A42" s="3"/>
      <c r="B42" s="373" t="s">
        <v>15</v>
      </c>
      <c r="C42" s="302">
        <v>102080</v>
      </c>
      <c r="D42" s="307">
        <v>106798.33</v>
      </c>
      <c r="E42" s="515"/>
      <c r="F42" s="380"/>
      <c r="G42" s="467"/>
      <c r="H42" s="3"/>
      <c r="I42" s="3"/>
      <c r="N42"/>
      <c r="O42"/>
      <c r="P42"/>
      <c r="Y42" s="20"/>
      <c r="Z42" s="35"/>
      <c r="AB42" s="35"/>
      <c r="AC42" s="35"/>
      <c r="AD42" s="35"/>
      <c r="AE42"/>
      <c r="AF42"/>
      <c r="AG42"/>
    </row>
    <row r="43" spans="1:33" ht="30">
      <c r="A43" s="3"/>
      <c r="B43" s="373" t="s">
        <v>17</v>
      </c>
      <c r="C43" s="303">
        <v>707986.42</v>
      </c>
      <c r="D43" s="307">
        <v>671331.6</v>
      </c>
      <c r="E43" s="515"/>
      <c r="F43" s="380"/>
      <c r="G43" s="482"/>
      <c r="H43" s="3"/>
      <c r="I43" s="3"/>
      <c r="K43" s="509"/>
      <c r="N43"/>
      <c r="O43"/>
      <c r="P43"/>
      <c r="Y43" s="20"/>
      <c r="Z43" s="35"/>
      <c r="AB43" s="35"/>
      <c r="AC43" s="35"/>
      <c r="AD43" s="35"/>
      <c r="AE43"/>
      <c r="AF43"/>
      <c r="AG43"/>
    </row>
    <row r="44" spans="1:33" ht="30">
      <c r="A44" s="3"/>
      <c r="B44" s="373" t="s">
        <v>18</v>
      </c>
      <c r="C44" s="303">
        <v>19227</v>
      </c>
      <c r="D44" s="307">
        <v>18754.98</v>
      </c>
      <c r="E44" s="515"/>
      <c r="F44" s="380"/>
      <c r="G44" s="482"/>
      <c r="H44" s="3"/>
      <c r="I44" s="3"/>
      <c r="N44"/>
      <c r="O44"/>
      <c r="P44"/>
      <c r="Y44" s="20"/>
      <c r="Z44" s="35"/>
      <c r="AB44" s="35"/>
      <c r="AC44" s="35"/>
      <c r="AD44" s="35"/>
      <c r="AE44"/>
      <c r="AF44"/>
      <c r="AG44"/>
    </row>
    <row r="45" spans="1:33" ht="15.75" thickBot="1">
      <c r="A45" s="3"/>
      <c r="B45" s="373" t="s">
        <v>19</v>
      </c>
      <c r="C45" s="303">
        <v>1295961.0899999999</v>
      </c>
      <c r="D45" s="307">
        <v>1400043.9700000002</v>
      </c>
      <c r="E45" s="515"/>
      <c r="F45" s="380"/>
      <c r="G45" s="467"/>
      <c r="H45" s="3"/>
      <c r="I45" s="3"/>
      <c r="J45" s="388"/>
      <c r="K45" s="510"/>
      <c r="N45"/>
      <c r="O45"/>
      <c r="P45"/>
      <c r="Y45" s="20"/>
      <c r="Z45" s="35"/>
      <c r="AB45" s="35"/>
      <c r="AC45" s="35"/>
      <c r="AD45" s="35"/>
      <c r="AE45"/>
      <c r="AF45"/>
      <c r="AG45"/>
    </row>
    <row r="46" spans="1:33" ht="15.75" thickBot="1">
      <c r="A46" s="3"/>
      <c r="B46" s="308" t="s">
        <v>88</v>
      </c>
      <c r="C46" s="309">
        <f>SUM(C39:C45)</f>
        <v>7149026.8399999999</v>
      </c>
      <c r="D46" s="310">
        <f>SUM(D39:D45)</f>
        <v>7094577.0800000001</v>
      </c>
      <c r="E46" s="221"/>
      <c r="F46" s="661" t="str">
        <f ca="1">+IF((ROUND(C46,0)=ROUND(OFFSET(B33,0,RIGHT('Introducerea datelor'!$C$16,LEN('Introducerea datelor'!$C$16)-1),1,1),0)),"OK: Datele coincid","Atentie: Datele nu coincid")</f>
        <v>OK: Datele coincid</v>
      </c>
      <c r="G46" s="662"/>
      <c r="H46" s="662"/>
      <c r="I46" s="663"/>
      <c r="J46" s="402"/>
      <c r="K46" s="402"/>
      <c r="L46" s="169"/>
      <c r="M46" s="168"/>
      <c r="N46"/>
      <c r="O46"/>
      <c r="P46"/>
      <c r="Y46" s="35"/>
      <c r="Z46" s="35"/>
      <c r="AB46" s="35"/>
      <c r="AC46" s="35"/>
      <c r="AD46" s="35"/>
      <c r="AE46"/>
      <c r="AF46"/>
      <c r="AG46"/>
    </row>
    <row r="47" spans="1:33">
      <c r="A47" s="3"/>
      <c r="B47" s="3"/>
      <c r="C47" s="165"/>
      <c r="D47" s="165"/>
      <c r="E47" s="210"/>
      <c r="F47" s="165"/>
      <c r="G47" s="483"/>
      <c r="H47" s="165"/>
      <c r="I47" s="165"/>
      <c r="J47" s="402"/>
      <c r="K47" s="402"/>
      <c r="L47" s="165"/>
      <c r="M47" s="165"/>
      <c r="N47" s="168"/>
      <c r="O47" s="167"/>
      <c r="P47"/>
      <c r="AB47" s="35"/>
      <c r="AC47" s="35"/>
      <c r="AD47" s="35"/>
      <c r="AE47"/>
      <c r="AF47"/>
      <c r="AG47"/>
    </row>
    <row r="48" spans="1:33" ht="18.75">
      <c r="A48" s="3"/>
      <c r="B48" s="85" t="s">
        <v>415</v>
      </c>
      <c r="C48" s="3"/>
      <c r="D48" s="3"/>
      <c r="E48" s="3"/>
      <c r="F48" s="3"/>
      <c r="G48" s="467"/>
      <c r="H48" s="3"/>
      <c r="I48" s="3"/>
      <c r="J48" s="388"/>
      <c r="K48" s="402"/>
      <c r="L48" s="35"/>
      <c r="M48" s="35"/>
      <c r="N48" s="168">
        <f>+J33</f>
        <v>4693928.5199999996</v>
      </c>
      <c r="O48" s="167"/>
      <c r="P48"/>
      <c r="AB48" s="35"/>
      <c r="AC48" s="35"/>
      <c r="AD48" s="35"/>
      <c r="AE48"/>
      <c r="AF48"/>
      <c r="AG48"/>
    </row>
    <row r="49" spans="1:32" ht="15.75" thickBot="1">
      <c r="A49" s="3"/>
      <c r="B49" s="3"/>
      <c r="C49" s="3"/>
      <c r="D49" s="3"/>
      <c r="E49" s="3"/>
      <c r="F49" s="3"/>
      <c r="G49" s="467"/>
      <c r="H49" s="3"/>
      <c r="I49" s="3"/>
      <c r="J49" s="388"/>
      <c r="K49" s="402"/>
      <c r="L49" s="3"/>
      <c r="M49" s="3"/>
      <c r="Q49" s="168">
        <f>+K33</f>
        <v>5281390.0399999991</v>
      </c>
      <c r="R49" s="167"/>
    </row>
    <row r="50" spans="1:32" ht="35.25" customHeight="1">
      <c r="A50" s="3"/>
      <c r="B50" s="224"/>
      <c r="C50" s="225" t="s">
        <v>378</v>
      </c>
      <c r="D50" s="225" t="s">
        <v>379</v>
      </c>
      <c r="E50" s="322" t="str">
        <f>CONCATENATE("Total Cheltuit și debursat (in ",D26,")")</f>
        <v>Total Cheltuit și debursat (in €)</v>
      </c>
      <c r="F50" s="3"/>
      <c r="G50" s="467"/>
      <c r="H50" s="223"/>
      <c r="I50" s="215"/>
      <c r="J50" s="403"/>
      <c r="K50" s="402"/>
      <c r="L50" s="215"/>
      <c r="M50" s="21"/>
      <c r="N50" s="21"/>
      <c r="O50" s="21"/>
      <c r="P50" s="167"/>
      <c r="Q50" s="167"/>
      <c r="AE50" s="20"/>
    </row>
    <row r="51" spans="1:32" ht="30">
      <c r="A51" s="3"/>
      <c r="B51" s="513" t="s">
        <v>416</v>
      </c>
      <c r="C51" s="294">
        <v>6777481.9000000004</v>
      </c>
      <c r="D51" s="295">
        <v>357524</v>
      </c>
      <c r="E51" s="296">
        <f>+D51+C51</f>
        <v>7135005.9000000004</v>
      </c>
      <c r="F51" s="165"/>
      <c r="G51" s="467"/>
      <c r="H51" s="90"/>
      <c r="I51" s="90"/>
      <c r="J51" s="404"/>
      <c r="K51" s="402"/>
      <c r="L51" s="91"/>
      <c r="M51" s="36"/>
      <c r="N51" s="36"/>
      <c r="O51" s="36"/>
      <c r="P51" s="167"/>
      <c r="Q51" s="167"/>
      <c r="AE51" s="20"/>
    </row>
    <row r="52" spans="1:32" ht="30">
      <c r="A52" s="3"/>
      <c r="B52" s="513" t="s">
        <v>417</v>
      </c>
      <c r="C52" s="294">
        <v>6486874.6899999995</v>
      </c>
      <c r="D52" s="294">
        <v>607702.44412236963</v>
      </c>
      <c r="E52" s="296">
        <f>+D52+C52</f>
        <v>7094577.1341223689</v>
      </c>
      <c r="F52" s="165"/>
      <c r="G52" s="467"/>
      <c r="H52" s="90"/>
      <c r="I52" s="90"/>
      <c r="J52" s="404"/>
      <c r="K52" s="402"/>
      <c r="L52" s="91"/>
      <c r="M52" s="37"/>
      <c r="N52" s="37"/>
      <c r="O52" s="37"/>
      <c r="P52" s="167"/>
      <c r="Q52" s="167"/>
      <c r="AE52" s="20"/>
    </row>
    <row r="53" spans="1:32">
      <c r="A53" s="3"/>
      <c r="B53" s="513" t="s">
        <v>418</v>
      </c>
      <c r="C53" s="294">
        <v>3394317.5</v>
      </c>
      <c r="D53" s="294">
        <v>230317.84161954935</v>
      </c>
      <c r="E53" s="296">
        <f>+D53+C53</f>
        <v>3624635.3416195493</v>
      </c>
      <c r="F53" s="165">
        <f>E53-E54</f>
        <v>6628.0821276227944</v>
      </c>
      <c r="G53" s="467"/>
      <c r="H53" s="90"/>
      <c r="I53" s="90"/>
      <c r="J53" s="404"/>
      <c r="K53" s="402"/>
      <c r="L53" s="91"/>
      <c r="M53" s="36"/>
      <c r="N53" s="36"/>
      <c r="O53" s="36"/>
      <c r="P53"/>
      <c r="AE53" s="20"/>
    </row>
    <row r="54" spans="1:32" ht="15.75" thickBot="1">
      <c r="A54" s="3"/>
      <c r="B54" s="514" t="s">
        <v>419</v>
      </c>
      <c r="C54" s="297">
        <v>3317380.78</v>
      </c>
      <c r="D54" s="297">
        <v>300626.47949192673</v>
      </c>
      <c r="E54" s="298">
        <f>+D54+C54</f>
        <v>3618007.2594919265</v>
      </c>
      <c r="F54" s="165"/>
      <c r="G54" s="467"/>
      <c r="H54" s="227"/>
      <c r="I54" s="92"/>
      <c r="J54" s="405"/>
      <c r="K54" s="405"/>
      <c r="L54" s="91"/>
      <c r="M54" s="92"/>
      <c r="N54" s="37"/>
      <c r="O54" s="37"/>
      <c r="P54"/>
      <c r="AE54" s="20"/>
    </row>
    <row r="55" spans="1:32" ht="10.5" customHeight="1">
      <c r="A55" s="3"/>
      <c r="B55" s="3"/>
      <c r="C55" s="3"/>
      <c r="D55" s="3"/>
      <c r="E55" s="3"/>
      <c r="F55" s="3"/>
      <c r="G55" s="467"/>
      <c r="H55" s="3"/>
      <c r="I55" s="3"/>
      <c r="J55" s="388"/>
      <c r="K55" s="388"/>
      <c r="L55" s="3"/>
      <c r="M55" s="3"/>
      <c r="AF55" s="20"/>
    </row>
    <row r="56" spans="1:32" ht="10.5" customHeight="1">
      <c r="A56" s="3"/>
      <c r="B56" s="3"/>
      <c r="C56" s="3"/>
      <c r="D56" s="213"/>
      <c r="E56" s="3"/>
      <c r="F56" s="3"/>
      <c r="G56" s="467"/>
      <c r="H56" s="3"/>
      <c r="I56" s="3"/>
      <c r="J56" s="388"/>
      <c r="K56" s="388"/>
      <c r="L56" s="3"/>
      <c r="M56" s="3"/>
    </row>
    <row r="57" spans="1:32" ht="18.75">
      <c r="A57" s="3"/>
      <c r="B57" s="85" t="s">
        <v>420</v>
      </c>
      <c r="C57" s="3"/>
      <c r="D57" s="3"/>
      <c r="E57" s="3"/>
      <c r="F57" s="3"/>
      <c r="G57" s="467"/>
      <c r="H57" s="3"/>
      <c r="I57" s="3"/>
      <c r="J57" s="388"/>
      <c r="K57" s="388"/>
      <c r="L57" s="3"/>
      <c r="M57" s="3"/>
    </row>
    <row r="58" spans="1:32" ht="15.75" thickBot="1">
      <c r="A58" s="3"/>
      <c r="B58" s="3"/>
      <c r="C58" s="3"/>
      <c r="D58" s="3"/>
      <c r="E58" s="3"/>
      <c r="F58" s="3"/>
      <c r="G58" s="467"/>
      <c r="H58" s="3"/>
      <c r="I58" s="3"/>
      <c r="J58" s="388"/>
      <c r="K58" s="388"/>
      <c r="L58" s="3"/>
      <c r="M58" s="3"/>
    </row>
    <row r="59" spans="1:32" ht="45">
      <c r="A59" s="3"/>
      <c r="B59" s="450" t="s">
        <v>421</v>
      </c>
      <c r="C59" s="451"/>
      <c r="D59" s="452"/>
      <c r="E59" s="3"/>
      <c r="F59" s="3"/>
      <c r="G59" s="467"/>
      <c r="H59" s="3"/>
      <c r="I59" s="3"/>
      <c r="J59" s="388"/>
      <c r="K59" s="388"/>
      <c r="L59" s="3"/>
      <c r="M59" s="35"/>
      <c r="P59"/>
    </row>
    <row r="60" spans="1:32" ht="45">
      <c r="A60" s="3"/>
      <c r="B60" s="93"/>
      <c r="C60" s="366" t="s">
        <v>425</v>
      </c>
      <c r="D60" s="378" t="s">
        <v>426</v>
      </c>
      <c r="E60" s="3"/>
      <c r="F60" s="3"/>
      <c r="G60" s="467"/>
      <c r="H60" s="3"/>
      <c r="I60" s="3"/>
      <c r="J60" s="388"/>
      <c r="K60" s="388"/>
      <c r="L60" s="3"/>
      <c r="M60" s="35"/>
      <c r="P60"/>
    </row>
    <row r="61" spans="1:32" ht="45">
      <c r="A61" s="3"/>
      <c r="B61" s="363" t="s">
        <v>422</v>
      </c>
      <c r="C61" s="280">
        <v>45</v>
      </c>
      <c r="D61" s="374">
        <v>45</v>
      </c>
      <c r="E61" s="3"/>
      <c r="F61" s="3"/>
      <c r="G61" s="467"/>
      <c r="H61" s="3"/>
      <c r="I61" s="3"/>
      <c r="J61" s="388"/>
      <c r="K61" s="388"/>
      <c r="L61" s="3"/>
      <c r="M61" s="35"/>
      <c r="P61"/>
    </row>
    <row r="62" spans="1:32" ht="30">
      <c r="A62" s="3"/>
      <c r="B62" s="364" t="s">
        <v>423</v>
      </c>
      <c r="C62" s="280">
        <v>45</v>
      </c>
      <c r="D62" s="374">
        <v>45</v>
      </c>
      <c r="E62" s="3"/>
      <c r="F62" s="3"/>
      <c r="G62" s="467"/>
      <c r="H62" s="226"/>
      <c r="I62" s="226"/>
      <c r="J62" s="388"/>
      <c r="K62" s="388"/>
      <c r="L62" s="3"/>
      <c r="M62" s="35"/>
      <c r="P62"/>
    </row>
    <row r="63" spans="1:32" ht="30.75" thickBot="1">
      <c r="A63" s="3"/>
      <c r="B63" s="365" t="s">
        <v>424</v>
      </c>
      <c r="C63" s="281">
        <v>20</v>
      </c>
      <c r="D63" s="375">
        <v>5</v>
      </c>
      <c r="E63" s="3"/>
      <c r="F63" s="3"/>
      <c r="G63" s="467"/>
      <c r="H63" s="226"/>
      <c r="I63" s="226"/>
      <c r="J63" s="388"/>
      <c r="K63" s="388"/>
      <c r="L63" s="3"/>
      <c r="M63" s="35"/>
      <c r="P63"/>
    </row>
    <row r="64" spans="1:32">
      <c r="A64" s="3"/>
      <c r="B64" s="3"/>
      <c r="C64" s="3"/>
      <c r="D64" s="3"/>
      <c r="E64" s="3"/>
      <c r="F64" s="3"/>
      <c r="G64" s="467"/>
      <c r="H64" s="3"/>
      <c r="I64" s="3"/>
      <c r="J64" s="388"/>
      <c r="K64" s="388"/>
      <c r="L64" s="3"/>
      <c r="M64" s="3"/>
    </row>
    <row r="65" spans="1:27" ht="10.5" customHeight="1" thickBot="1">
      <c r="A65" s="3"/>
      <c r="B65" s="3"/>
      <c r="C65" s="3"/>
      <c r="D65" s="3"/>
      <c r="E65" s="3"/>
      <c r="F65" s="3"/>
      <c r="G65" s="467"/>
      <c r="H65" s="3"/>
      <c r="I65" s="3"/>
      <c r="J65" s="388"/>
      <c r="K65" s="388"/>
      <c r="L65" s="318"/>
      <c r="M65" s="3"/>
      <c r="Z65" s="19"/>
      <c r="AA65" s="19"/>
    </row>
    <row r="66" spans="1:27" ht="19.5" thickBot="1">
      <c r="A66" s="3"/>
      <c r="B66" s="94" t="s">
        <v>427</v>
      </c>
      <c r="C66" s="95"/>
      <c r="D66" s="95"/>
      <c r="E66" s="95" t="s">
        <v>377</v>
      </c>
      <c r="F66" s="95" t="s">
        <v>428</v>
      </c>
      <c r="G66" s="484"/>
      <c r="H66" s="367" t="s">
        <v>429</v>
      </c>
      <c r="I66" s="95"/>
      <c r="J66" s="406"/>
      <c r="K66" s="406"/>
      <c r="L66" s="319"/>
      <c r="M66" s="320"/>
      <c r="N66" s="80"/>
      <c r="O66" s="80"/>
      <c r="P66" s="80"/>
      <c r="R66" s="41"/>
      <c r="Z66" s="19"/>
      <c r="AA66" s="19"/>
    </row>
    <row r="67" spans="1:27" ht="18.75">
      <c r="A67" s="3"/>
      <c r="B67" s="97"/>
      <c r="C67" s="96"/>
      <c r="D67" s="96"/>
      <c r="E67" s="96"/>
      <c r="F67" s="96"/>
      <c r="G67" s="485"/>
      <c r="H67" s="96"/>
      <c r="I67" s="96"/>
      <c r="J67" s="407"/>
      <c r="K67" s="408"/>
      <c r="L67" s="98"/>
      <c r="M67" s="96"/>
      <c r="N67" s="80"/>
      <c r="O67" s="80"/>
      <c r="P67" s="80"/>
      <c r="R67" s="41"/>
      <c r="Z67" s="19"/>
      <c r="AA67" s="19"/>
    </row>
    <row r="68" spans="1:27" ht="18.75">
      <c r="A68" s="3"/>
      <c r="B68" s="97" t="s">
        <v>430</v>
      </c>
      <c r="C68" s="96"/>
      <c r="D68" s="96"/>
      <c r="E68" s="96"/>
      <c r="F68" s="96"/>
      <c r="G68" s="485"/>
      <c r="H68" s="96"/>
      <c r="I68" s="96"/>
      <c r="J68" s="407"/>
      <c r="K68" s="408"/>
      <c r="L68" s="98"/>
      <c r="M68" s="96"/>
      <c r="N68" s="80"/>
      <c r="O68" s="80"/>
      <c r="P68" s="80"/>
      <c r="R68" s="41"/>
      <c r="Z68" s="19"/>
      <c r="AA68" s="19"/>
    </row>
    <row r="69" spans="1:27" ht="15.75" thickBot="1">
      <c r="A69" s="3"/>
      <c r="B69" s="2"/>
      <c r="C69" s="99"/>
      <c r="D69" s="99"/>
      <c r="E69" s="99"/>
      <c r="F69" s="99"/>
      <c r="G69" s="486"/>
      <c r="H69" s="2"/>
      <c r="I69" s="99"/>
      <c r="J69" s="391"/>
      <c r="K69" s="391"/>
      <c r="L69" s="2"/>
      <c r="M69" s="2"/>
      <c r="N69" s="20"/>
      <c r="O69" s="20"/>
      <c r="P69" s="19"/>
      <c r="Q69" s="19"/>
      <c r="R69" s="19"/>
      <c r="AA69" s="19"/>
    </row>
    <row r="70" spans="1:27" ht="105">
      <c r="A70" s="3"/>
      <c r="B70" s="458"/>
      <c r="C70" s="459"/>
      <c r="D70" s="383" t="s">
        <v>433</v>
      </c>
      <c r="E70" s="383" t="s">
        <v>434</v>
      </c>
      <c r="F70" s="383" t="s">
        <v>435</v>
      </c>
      <c r="G70" s="384" t="s">
        <v>88</v>
      </c>
      <c r="H70" s="235"/>
      <c r="I70" s="236"/>
      <c r="J70" s="401"/>
      <c r="K70" s="391"/>
      <c r="L70" s="2"/>
      <c r="M70" s="2"/>
      <c r="N70" s="20"/>
      <c r="O70" s="20"/>
      <c r="P70" s="19"/>
      <c r="Q70" s="19"/>
      <c r="R70" s="19"/>
    </row>
    <row r="71" spans="1:27">
      <c r="A71" s="3"/>
      <c r="B71" s="443" t="s">
        <v>431</v>
      </c>
      <c r="C71" s="444"/>
      <c r="D71" s="204">
        <v>3</v>
      </c>
      <c r="E71" s="204">
        <v>0</v>
      </c>
      <c r="F71" s="204"/>
      <c r="G71" s="487">
        <f>SUM(D71:F71)</f>
        <v>3</v>
      </c>
      <c r="H71" s="222"/>
      <c r="I71" s="234"/>
      <c r="J71" s="409"/>
      <c r="K71" s="391"/>
      <c r="L71" s="2"/>
      <c r="M71" s="2"/>
      <c r="N71" s="20"/>
      <c r="O71" s="20"/>
      <c r="P71" s="19"/>
      <c r="Q71" s="19"/>
      <c r="R71" s="19"/>
    </row>
    <row r="72" spans="1:27" ht="15.75" thickBot="1">
      <c r="A72" s="3"/>
      <c r="B72" s="453" t="s">
        <v>432</v>
      </c>
      <c r="C72" s="454"/>
      <c r="D72" s="205"/>
      <c r="E72" s="205"/>
      <c r="F72" s="205"/>
      <c r="G72" s="488">
        <f>SUM(D72:F72)</f>
        <v>0</v>
      </c>
      <c r="H72" s="222"/>
      <c r="I72" s="15"/>
      <c r="J72" s="401"/>
      <c r="K72" s="391"/>
      <c r="L72" s="2"/>
      <c r="M72" s="2"/>
      <c r="N72" s="19"/>
      <c r="O72" s="19"/>
      <c r="P72" s="19"/>
      <c r="Q72" s="19"/>
      <c r="R72" s="19"/>
    </row>
    <row r="73" spans="1:27">
      <c r="A73" s="3"/>
      <c r="B73" s="2"/>
      <c r="C73" s="2"/>
      <c r="D73" s="2"/>
      <c r="E73" s="2"/>
      <c r="F73" s="2"/>
      <c r="G73" s="472"/>
      <c r="H73" s="2"/>
      <c r="I73" s="2"/>
      <c r="J73" s="391"/>
      <c r="K73" s="391"/>
      <c r="L73" s="2"/>
      <c r="M73" s="2"/>
      <c r="N73" s="19"/>
      <c r="O73" s="19"/>
      <c r="P73" s="19"/>
      <c r="Q73" s="19"/>
      <c r="R73" s="19"/>
    </row>
    <row r="74" spans="1:27" ht="4.5" customHeight="1">
      <c r="A74" s="3"/>
      <c r="B74" s="2"/>
      <c r="C74" s="2"/>
      <c r="D74" s="2"/>
      <c r="E74" s="2"/>
      <c r="F74" s="2"/>
      <c r="G74" s="472"/>
      <c r="H74" s="2"/>
      <c r="I74" s="2"/>
      <c r="J74" s="391"/>
      <c r="K74" s="391"/>
      <c r="L74" s="2"/>
      <c r="M74" s="2"/>
      <c r="N74" s="19"/>
      <c r="O74" s="19"/>
      <c r="P74" s="19"/>
      <c r="R74" s="19"/>
    </row>
    <row r="75" spans="1:27" ht="18.75">
      <c r="A75" s="3"/>
      <c r="B75" s="97" t="s">
        <v>436</v>
      </c>
      <c r="C75" s="2"/>
      <c r="D75" s="2"/>
      <c r="E75" s="2"/>
      <c r="F75" s="2"/>
      <c r="G75" s="472"/>
      <c r="H75" s="2"/>
      <c r="I75" s="2"/>
      <c r="J75" s="391"/>
      <c r="K75" s="391"/>
      <c r="L75" s="2"/>
      <c r="M75" s="2"/>
      <c r="N75" s="19"/>
      <c r="O75" s="19"/>
      <c r="P75" s="19"/>
      <c r="R75" s="19"/>
    </row>
    <row r="76" spans="1:27" ht="15.75" thickBot="1">
      <c r="A76" s="3"/>
      <c r="B76" s="2"/>
      <c r="C76" s="2"/>
      <c r="D76" s="2"/>
      <c r="E76" s="2"/>
      <c r="F76" s="2"/>
      <c r="G76" s="472"/>
      <c r="H76" s="2"/>
      <c r="I76" s="2"/>
      <c r="J76" s="391"/>
      <c r="K76" s="391"/>
      <c r="L76" s="2"/>
      <c r="M76" s="2"/>
      <c r="N76" s="19"/>
      <c r="O76" s="19"/>
      <c r="P76" s="19"/>
      <c r="R76" s="19"/>
    </row>
    <row r="77" spans="1:27" ht="30">
      <c r="A77" s="3"/>
      <c r="B77" s="102"/>
      <c r="C77" s="381" t="s">
        <v>437</v>
      </c>
      <c r="D77" s="381" t="s">
        <v>438</v>
      </c>
      <c r="E77" s="382" t="s">
        <v>439</v>
      </c>
      <c r="F77" s="15"/>
      <c r="G77" s="489"/>
      <c r="H77" s="15"/>
      <c r="I77" s="236"/>
      <c r="J77" s="391"/>
      <c r="K77" s="391"/>
      <c r="L77" s="2"/>
      <c r="M77" s="2"/>
      <c r="N77" s="19"/>
      <c r="O77" s="19"/>
      <c r="P77" s="19"/>
      <c r="R77" s="19"/>
    </row>
    <row r="78" spans="1:27" ht="15.75" thickBot="1">
      <c r="A78" s="3"/>
      <c r="B78" s="103" t="s">
        <v>399</v>
      </c>
      <c r="C78" s="274">
        <v>14</v>
      </c>
      <c r="D78" s="274">
        <v>14</v>
      </c>
      <c r="E78" s="275">
        <v>0</v>
      </c>
      <c r="F78" s="207"/>
      <c r="G78" s="490"/>
      <c r="H78" s="15"/>
      <c r="I78" s="234"/>
      <c r="J78" s="391"/>
      <c r="K78" s="391"/>
      <c r="L78" s="2"/>
      <c r="M78" s="2"/>
      <c r="N78" s="19"/>
      <c r="O78" s="19"/>
      <c r="P78" s="19"/>
      <c r="R78" s="19"/>
    </row>
    <row r="79" spans="1:27">
      <c r="A79" s="3"/>
      <c r="B79" s="2"/>
      <c r="C79" s="2"/>
      <c r="D79" s="2"/>
      <c r="E79" s="2"/>
      <c r="F79" s="2"/>
      <c r="G79" s="472"/>
      <c r="H79" s="2"/>
      <c r="I79" s="2"/>
      <c r="J79" s="391"/>
      <c r="K79" s="391"/>
      <c r="L79" s="2"/>
      <c r="M79" s="2"/>
      <c r="N79" s="19"/>
      <c r="O79" s="19"/>
      <c r="P79" s="19"/>
      <c r="R79" s="19"/>
    </row>
    <row r="80" spans="1:27" ht="18.75">
      <c r="A80" s="3"/>
      <c r="B80" s="97" t="s">
        <v>440</v>
      </c>
      <c r="C80" s="2"/>
      <c r="D80" s="2"/>
      <c r="E80" s="2"/>
      <c r="F80" s="2"/>
      <c r="G80" s="472"/>
      <c r="H80" s="2"/>
      <c r="I80" s="2"/>
      <c r="J80" s="391"/>
      <c r="K80" s="391"/>
      <c r="L80" s="2"/>
      <c r="M80" s="2"/>
      <c r="N80" s="19"/>
      <c r="O80" s="19"/>
      <c r="P80" s="19"/>
      <c r="R80" s="19"/>
    </row>
    <row r="81" spans="1:33" ht="15.75" thickBot="1">
      <c r="A81" s="3"/>
      <c r="B81" s="2"/>
      <c r="C81" s="2"/>
      <c r="D81" s="2"/>
      <c r="E81" s="2"/>
      <c r="F81" s="2"/>
      <c r="G81" s="472"/>
      <c r="H81" s="2"/>
      <c r="I81" s="2"/>
      <c r="J81" s="391"/>
      <c r="K81" s="391"/>
      <c r="L81" s="2"/>
      <c r="M81" s="2"/>
      <c r="N81" s="19"/>
      <c r="O81" s="19"/>
      <c r="P81" s="19"/>
      <c r="R81" s="19"/>
    </row>
    <row r="82" spans="1:33" ht="60">
      <c r="A82" s="3"/>
      <c r="B82" s="102"/>
      <c r="C82" s="381" t="s">
        <v>441</v>
      </c>
      <c r="D82" s="381" t="s">
        <v>30</v>
      </c>
      <c r="E82" s="381" t="s">
        <v>442</v>
      </c>
      <c r="F82" s="381" t="s">
        <v>443</v>
      </c>
      <c r="G82" s="382" t="s">
        <v>31</v>
      </c>
      <c r="H82" s="211"/>
      <c r="I82" s="236"/>
      <c r="J82" s="391"/>
      <c r="K82" s="391"/>
      <c r="L82" s="2"/>
      <c r="M82" s="2"/>
      <c r="N82" s="19"/>
      <c r="O82" s="19"/>
      <c r="P82" s="19"/>
      <c r="R82" s="19"/>
    </row>
    <row r="83" spans="1:33" ht="15.75" thickBot="1">
      <c r="A83" s="3"/>
      <c r="B83" s="103" t="s">
        <v>145</v>
      </c>
      <c r="C83" s="274">
        <v>3</v>
      </c>
      <c r="D83" s="274">
        <v>2</v>
      </c>
      <c r="E83" s="274">
        <v>3</v>
      </c>
      <c r="F83" s="274">
        <v>3</v>
      </c>
      <c r="G83" s="491">
        <v>3</v>
      </c>
      <c r="H83" s="237"/>
      <c r="I83" s="222"/>
      <c r="J83" s="391"/>
      <c r="K83" s="391"/>
      <c r="L83" s="2"/>
      <c r="M83" s="2"/>
      <c r="N83" s="19"/>
      <c r="O83" s="19"/>
      <c r="P83" s="19"/>
      <c r="R83" s="19"/>
    </row>
    <row r="84" spans="1:33">
      <c r="A84" s="3"/>
      <c r="B84" s="2"/>
      <c r="C84" s="2"/>
      <c r="D84" s="2"/>
      <c r="E84" s="2"/>
      <c r="F84" s="2"/>
      <c r="G84" s="472"/>
      <c r="H84" s="2"/>
      <c r="J84" s="391"/>
      <c r="K84" s="391"/>
      <c r="L84" s="2"/>
      <c r="M84" s="2"/>
      <c r="N84" s="19"/>
      <c r="O84" s="19"/>
      <c r="P84" s="19"/>
      <c r="R84" s="19"/>
    </row>
    <row r="85" spans="1:33" ht="18.75">
      <c r="A85" s="3"/>
      <c r="B85" s="97" t="s">
        <v>444</v>
      </c>
      <c r="C85" s="2"/>
      <c r="D85" s="2"/>
      <c r="E85" s="2"/>
      <c r="F85" s="2"/>
      <c r="G85" s="472"/>
      <c r="H85" s="2"/>
      <c r="I85" s="2"/>
      <c r="J85" s="391"/>
      <c r="K85" s="391"/>
      <c r="L85" s="2"/>
      <c r="M85" s="2"/>
      <c r="N85" s="19"/>
      <c r="O85" s="19"/>
      <c r="P85" s="19"/>
      <c r="R85" s="19"/>
    </row>
    <row r="86" spans="1:33" ht="15.75" thickBot="1">
      <c r="A86" s="3"/>
      <c r="B86" s="2"/>
      <c r="C86" s="2"/>
      <c r="D86" s="2"/>
      <c r="E86" s="2"/>
      <c r="F86" s="2"/>
      <c r="G86" s="472"/>
      <c r="H86" s="2"/>
      <c r="I86" s="2"/>
      <c r="J86" s="391"/>
      <c r="K86" s="391"/>
      <c r="L86" s="2"/>
      <c r="M86" s="2"/>
      <c r="N86" s="19"/>
      <c r="O86" s="19"/>
      <c r="P86" s="19"/>
      <c r="R86" s="19"/>
    </row>
    <row r="87" spans="1:33" ht="25.5">
      <c r="A87" s="3"/>
      <c r="B87" s="102"/>
      <c r="C87" s="385" t="s">
        <v>445</v>
      </c>
      <c r="D87" s="385" t="s">
        <v>446</v>
      </c>
      <c r="E87" s="386" t="s">
        <v>447</v>
      </c>
      <c r="F87" s="2"/>
      <c r="G87" s="472"/>
      <c r="H87" s="2"/>
      <c r="I87" s="2"/>
      <c r="J87" s="410"/>
      <c r="K87" s="410"/>
      <c r="L87" s="19"/>
      <c r="N87"/>
      <c r="O87"/>
      <c r="P87" s="19"/>
      <c r="AD87" s="35"/>
      <c r="AG87"/>
    </row>
    <row r="88" spans="1:33">
      <c r="A88" s="3"/>
      <c r="B88" s="100" t="s">
        <v>359</v>
      </c>
      <c r="C88" s="204">
        <v>7</v>
      </c>
      <c r="D88" s="387">
        <v>7</v>
      </c>
      <c r="E88" s="238">
        <f>C88-D88</f>
        <v>0</v>
      </c>
      <c r="F88" s="2"/>
      <c r="G88" s="472"/>
      <c r="H88" s="2"/>
      <c r="I88" s="2"/>
      <c r="J88" s="410"/>
      <c r="K88" s="410"/>
      <c r="L88" s="19"/>
      <c r="N88"/>
      <c r="O88"/>
      <c r="P88" s="19"/>
      <c r="AD88" s="35"/>
      <c r="AG88"/>
    </row>
    <row r="89" spans="1:33" ht="15.75" thickBot="1">
      <c r="A89" s="3"/>
      <c r="B89" s="101" t="s">
        <v>360</v>
      </c>
      <c r="C89" s="205">
        <v>3</v>
      </c>
      <c r="D89" s="239">
        <v>3</v>
      </c>
      <c r="E89" s="352">
        <f>C89-D89</f>
        <v>0</v>
      </c>
      <c r="F89" s="2"/>
      <c r="G89" s="472"/>
      <c r="H89" s="2"/>
      <c r="I89" s="2"/>
      <c r="J89" s="410"/>
      <c r="K89" s="410"/>
      <c r="L89" s="19"/>
      <c r="N89"/>
      <c r="O89"/>
      <c r="P89" s="19"/>
      <c r="AD89" s="35"/>
      <c r="AG89"/>
    </row>
    <row r="90" spans="1:33">
      <c r="A90" s="3"/>
      <c r="B90" s="2"/>
      <c r="C90" s="2"/>
      <c r="D90" s="2"/>
      <c r="E90" s="2"/>
      <c r="F90" s="2"/>
      <c r="G90" s="472"/>
      <c r="H90" s="2"/>
      <c r="I90" s="2"/>
      <c r="J90" s="391"/>
      <c r="K90" s="391"/>
      <c r="L90" s="2"/>
      <c r="M90" s="2"/>
      <c r="N90" s="19"/>
      <c r="O90" s="19"/>
      <c r="P90" s="19"/>
      <c r="R90" s="19"/>
    </row>
    <row r="91" spans="1:33" ht="18.75" hidden="1">
      <c r="A91" s="3"/>
      <c r="B91" s="97" t="s">
        <v>448</v>
      </c>
      <c r="C91" s="2"/>
      <c r="D91" s="2"/>
      <c r="E91" s="2"/>
      <c r="F91" s="2"/>
      <c r="G91" s="472"/>
      <c r="H91" s="2"/>
      <c r="I91" s="2"/>
      <c r="J91" s="391"/>
      <c r="K91" s="391"/>
      <c r="L91" s="2"/>
      <c r="M91" s="2"/>
      <c r="N91" s="19"/>
      <c r="O91" s="19"/>
      <c r="P91" s="19"/>
      <c r="R91" s="19"/>
    </row>
    <row r="92" spans="1:33" ht="15.75" hidden="1" thickBot="1">
      <c r="A92" s="3"/>
      <c r="B92" s="2"/>
      <c r="C92" s="2"/>
      <c r="D92" s="2"/>
      <c r="E92" s="2"/>
      <c r="F92" s="2"/>
      <c r="G92" s="472"/>
      <c r="H92" s="2"/>
      <c r="I92" s="15"/>
      <c r="J92" s="401"/>
      <c r="K92" s="401"/>
      <c r="L92" s="15"/>
      <c r="M92" s="15"/>
      <c r="N92" s="20"/>
      <c r="O92" s="20"/>
      <c r="P92" s="20"/>
      <c r="R92" s="19"/>
    </row>
    <row r="93" spans="1:33" hidden="1">
      <c r="A93" s="3"/>
      <c r="B93" s="177"/>
      <c r="C93" s="284" t="s">
        <v>127</v>
      </c>
      <c r="D93" s="284" t="s">
        <v>128</v>
      </c>
      <c r="E93" s="284" t="s">
        <v>129</v>
      </c>
      <c r="F93" s="284" t="s">
        <v>130</v>
      </c>
      <c r="G93" s="492" t="s">
        <v>138</v>
      </c>
      <c r="H93" s="284" t="s">
        <v>139</v>
      </c>
      <c r="I93" s="284" t="s">
        <v>140</v>
      </c>
      <c r="J93" s="411" t="s">
        <v>141</v>
      </c>
      <c r="K93" s="411" t="s">
        <v>142</v>
      </c>
      <c r="L93" s="284" t="s">
        <v>143</v>
      </c>
      <c r="M93" s="284" t="s">
        <v>144</v>
      </c>
      <c r="N93" s="285" t="s">
        <v>301</v>
      </c>
      <c r="O93" s="285" t="s">
        <v>396</v>
      </c>
      <c r="P93" s="20"/>
      <c r="R93" s="19"/>
    </row>
    <row r="94" spans="1:33" ht="15" hidden="1" customHeight="1">
      <c r="A94" s="3"/>
      <c r="B94" s="286" t="s">
        <v>449</v>
      </c>
      <c r="C94" s="276"/>
      <c r="D94" s="276"/>
      <c r="E94" s="276"/>
      <c r="F94" s="276"/>
      <c r="G94" s="276"/>
      <c r="H94" s="276"/>
      <c r="I94" s="276"/>
      <c r="J94" s="276"/>
      <c r="K94" s="276"/>
      <c r="L94" s="276"/>
      <c r="M94" s="276"/>
      <c r="N94" s="353"/>
      <c r="O94" s="353"/>
      <c r="P94" s="20"/>
      <c r="R94" s="19"/>
    </row>
    <row r="95" spans="1:33" ht="15" hidden="1" customHeight="1">
      <c r="A95" s="3"/>
      <c r="B95" s="286" t="s">
        <v>450</v>
      </c>
      <c r="C95" s="276"/>
      <c r="D95" s="276"/>
      <c r="E95" s="276"/>
      <c r="F95" s="276"/>
      <c r="G95" s="276"/>
      <c r="H95" s="276"/>
      <c r="I95" s="276"/>
      <c r="J95" s="276"/>
      <c r="K95" s="276"/>
      <c r="L95" s="276"/>
      <c r="M95" s="276"/>
      <c r="N95" s="353"/>
      <c r="O95" s="353"/>
      <c r="P95" s="20"/>
      <c r="R95" s="19"/>
    </row>
    <row r="96" spans="1:33" ht="15" hidden="1" customHeight="1">
      <c r="A96" s="3"/>
      <c r="B96" s="286" t="s">
        <v>451</v>
      </c>
      <c r="C96" s="276"/>
      <c r="D96" s="276"/>
      <c r="E96" s="276"/>
      <c r="F96" s="276"/>
      <c r="G96" s="276"/>
      <c r="H96" s="276"/>
      <c r="I96" s="276"/>
      <c r="J96" s="276"/>
      <c r="K96" s="276"/>
      <c r="L96" s="276"/>
      <c r="M96" s="276"/>
      <c r="N96" s="353"/>
      <c r="O96" s="353"/>
      <c r="P96" s="20"/>
      <c r="R96" s="19"/>
    </row>
    <row r="97" spans="1:18" ht="15" hidden="1" customHeight="1">
      <c r="A97" s="3"/>
      <c r="B97" s="240" t="s">
        <v>452</v>
      </c>
      <c r="C97" s="277"/>
      <c r="D97" s="277"/>
      <c r="E97" s="277"/>
      <c r="F97" s="277"/>
      <c r="G97" s="277"/>
      <c r="H97" s="277"/>
      <c r="I97" s="277"/>
      <c r="J97" s="277"/>
      <c r="K97" s="277"/>
      <c r="L97" s="277"/>
      <c r="M97" s="277"/>
      <c r="N97" s="354"/>
      <c r="O97" s="354"/>
      <c r="P97" s="20"/>
      <c r="R97" s="19"/>
    </row>
    <row r="98" spans="1:18" ht="15" hidden="1" customHeight="1">
      <c r="A98" s="3"/>
      <c r="B98" s="240" t="s">
        <v>453</v>
      </c>
      <c r="C98" s="277"/>
      <c r="D98" s="277"/>
      <c r="E98" s="277"/>
      <c r="F98" s="277"/>
      <c r="G98" s="277"/>
      <c r="H98" s="277"/>
      <c r="I98" s="277"/>
      <c r="J98" s="277"/>
      <c r="K98" s="277"/>
      <c r="L98" s="277"/>
      <c r="M98" s="277"/>
      <c r="N98" s="354"/>
      <c r="O98" s="354"/>
      <c r="P98" s="20"/>
      <c r="R98" s="19"/>
    </row>
    <row r="99" spans="1:18" ht="30.75" hidden="1" thickBot="1">
      <c r="A99" s="3"/>
      <c r="B99" s="349" t="s">
        <v>454</v>
      </c>
      <c r="C99" s="350"/>
      <c r="D99" s="351"/>
      <c r="E99" s="351"/>
      <c r="F99" s="351"/>
      <c r="G99" s="351"/>
      <c r="H99" s="351"/>
      <c r="I99" s="351"/>
      <c r="J99" s="351"/>
      <c r="K99" s="351"/>
      <c r="L99" s="351"/>
      <c r="M99" s="351"/>
      <c r="N99" s="355"/>
      <c r="O99" s="355"/>
      <c r="P99" s="20"/>
      <c r="R99" s="19"/>
    </row>
    <row r="100" spans="1:18" hidden="1">
      <c r="A100" s="3"/>
      <c r="B100" s="3"/>
      <c r="C100" s="2"/>
      <c r="D100" s="2"/>
      <c r="E100" s="2"/>
      <c r="F100" s="2"/>
      <c r="G100" s="472"/>
      <c r="H100" s="2"/>
      <c r="I100" s="15"/>
      <c r="J100" s="412"/>
      <c r="K100" s="413"/>
      <c r="L100" s="15"/>
      <c r="M100" s="104"/>
      <c r="N100" s="20"/>
      <c r="O100" s="20"/>
      <c r="P100" s="20"/>
      <c r="R100" s="19"/>
    </row>
    <row r="101" spans="1:18" hidden="1">
      <c r="A101" s="3"/>
      <c r="B101" s="2" t="s">
        <v>455</v>
      </c>
      <c r="C101" s="2"/>
      <c r="D101" s="2"/>
      <c r="E101" s="2"/>
      <c r="F101" s="2"/>
      <c r="G101" s="472"/>
      <c r="H101" s="2"/>
      <c r="I101" s="15"/>
      <c r="J101" s="412"/>
      <c r="K101" s="413"/>
      <c r="L101" s="15"/>
      <c r="M101" s="104"/>
      <c r="N101" s="20"/>
      <c r="O101" s="20"/>
      <c r="P101" s="20"/>
      <c r="R101" s="19"/>
    </row>
    <row r="102" spans="1:18" ht="11.25" hidden="1" customHeight="1">
      <c r="A102" s="3"/>
      <c r="C102" s="2"/>
      <c r="D102" s="2"/>
      <c r="E102" s="2"/>
      <c r="F102" s="2"/>
      <c r="G102" s="472"/>
      <c r="H102" s="2"/>
      <c r="I102" s="15"/>
      <c r="J102" s="412"/>
      <c r="K102" s="414"/>
      <c r="L102" s="15"/>
      <c r="M102" s="104"/>
      <c r="N102" s="20"/>
      <c r="O102" s="20"/>
      <c r="P102" s="20"/>
      <c r="R102" s="19"/>
    </row>
    <row r="103" spans="1:18" ht="3" hidden="1" customHeight="1">
      <c r="A103" s="3"/>
      <c r="B103" s="3"/>
      <c r="C103" s="3"/>
      <c r="D103" s="3"/>
      <c r="E103" s="3"/>
      <c r="F103" s="3"/>
      <c r="G103" s="467"/>
      <c r="H103" s="3"/>
      <c r="I103" s="15"/>
      <c r="J103" s="401"/>
      <c r="K103" s="401"/>
      <c r="L103" s="15"/>
      <c r="M103" s="15"/>
      <c r="N103" s="20"/>
      <c r="O103" s="20"/>
      <c r="P103" s="20"/>
    </row>
    <row r="104" spans="1:18" ht="18.75" hidden="1">
      <c r="A104" s="3"/>
      <c r="B104" s="97" t="s">
        <v>456</v>
      </c>
      <c r="C104" s="3"/>
      <c r="D104" s="3"/>
      <c r="E104" s="3"/>
      <c r="F104" s="3"/>
      <c r="G104" s="467"/>
      <c r="H104" s="3"/>
      <c r="I104" s="15"/>
      <c r="J104" s="401"/>
      <c r="K104" s="401"/>
      <c r="L104" s="15"/>
      <c r="M104" s="15"/>
      <c r="N104" s="20"/>
      <c r="O104" s="20"/>
      <c r="P104" s="20"/>
    </row>
    <row r="105" spans="1:18" ht="15.75" hidden="1" thickBot="1">
      <c r="A105" s="3"/>
      <c r="B105" s="3"/>
      <c r="C105" s="15"/>
      <c r="D105" s="15"/>
      <c r="E105" s="15"/>
      <c r="F105" s="15"/>
      <c r="G105" s="472"/>
      <c r="H105" s="2"/>
      <c r="I105" s="2"/>
      <c r="J105" s="401"/>
      <c r="K105" s="391"/>
      <c r="L105" s="15"/>
      <c r="M105" s="15"/>
      <c r="N105" s="20"/>
      <c r="O105" s="20"/>
      <c r="P105" s="20"/>
      <c r="R105" s="20"/>
    </row>
    <row r="106" spans="1:18" ht="90.75" hidden="1" customHeight="1">
      <c r="A106" s="3"/>
      <c r="B106" s="241" t="s">
        <v>457</v>
      </c>
      <c r="C106" s="242" t="s">
        <v>380</v>
      </c>
      <c r="D106" s="244" t="s">
        <v>381</v>
      </c>
      <c r="E106" s="244" t="s">
        <v>382</v>
      </c>
      <c r="F106" s="243" t="s">
        <v>383</v>
      </c>
      <c r="G106" s="243" t="s">
        <v>384</v>
      </c>
      <c r="H106" s="244" t="s">
        <v>385</v>
      </c>
      <c r="I106" s="244" t="s">
        <v>386</v>
      </c>
      <c r="J106" s="415" t="s">
        <v>387</v>
      </c>
      <c r="K106" s="416" t="s">
        <v>388</v>
      </c>
      <c r="L106" s="2"/>
      <c r="M106" s="20"/>
      <c r="N106" s="20"/>
      <c r="O106" s="20"/>
      <c r="P106" s="20"/>
      <c r="Q106" s="20"/>
    </row>
    <row r="107" spans="1:18" hidden="1">
      <c r="A107" s="3"/>
      <c r="B107" s="440" t="s">
        <v>64</v>
      </c>
      <c r="C107" s="312" t="s">
        <v>357</v>
      </c>
      <c r="D107" s="313"/>
      <c r="E107" s="314" t="str">
        <f>IF(ISBLANK(D107),"",D107*30)</f>
        <v/>
      </c>
      <c r="F107" s="278"/>
      <c r="G107" s="493" t="str">
        <f>IF(AND(E107&gt;0,F107&gt;0),(F107*E107),"")</f>
        <v/>
      </c>
      <c r="H107" s="278"/>
      <c r="I107" s="325" t="str">
        <f>IF(AND(G107&gt;0,H107&gt;0),H107/G107,"")</f>
        <v/>
      </c>
      <c r="J107" s="417"/>
      <c r="K107" s="418" t="str">
        <f>IF(AND(I107&gt;0,J107&gt;0),I107-J107,"")</f>
        <v/>
      </c>
      <c r="L107" s="2"/>
      <c r="M107" s="20"/>
      <c r="N107" s="20"/>
      <c r="O107" s="20"/>
      <c r="P107" s="20"/>
      <c r="Q107" s="20"/>
    </row>
    <row r="108" spans="1:18" hidden="1">
      <c r="A108" s="3"/>
      <c r="B108" s="441"/>
      <c r="C108" s="312" t="s">
        <v>357</v>
      </c>
      <c r="D108" s="313"/>
      <c r="E108" s="314" t="str">
        <f>IF(ISBLANK(D108),"",D108*30)</f>
        <v/>
      </c>
      <c r="F108" s="278"/>
      <c r="G108" s="493" t="str">
        <f>IF(AND(E108&gt;0,F108&gt;0),(F108*E108),"")</f>
        <v/>
      </c>
      <c r="H108" s="278"/>
      <c r="I108" s="325" t="str">
        <f>IF(AND(G108&gt;0,H108&gt;0),H108/G108,"")</f>
        <v/>
      </c>
      <c r="J108" s="417"/>
      <c r="K108" s="418" t="str">
        <f>IF(AND(I108&gt;0,J108&gt;0),I108-J108,"")</f>
        <v/>
      </c>
      <c r="L108" s="2"/>
      <c r="M108" s="20"/>
      <c r="N108" s="20"/>
      <c r="O108" s="20"/>
      <c r="P108" s="20"/>
    </row>
    <row r="109" spans="1:18" hidden="1">
      <c r="A109" s="3"/>
      <c r="B109" s="441"/>
      <c r="C109" s="312" t="s">
        <v>357</v>
      </c>
      <c r="D109" s="313"/>
      <c r="E109" s="314" t="str">
        <f>IF(ISBLANK(D109),"",D109*30)</f>
        <v/>
      </c>
      <c r="F109" s="278"/>
      <c r="G109" s="493" t="str">
        <f>IF(AND(E109&gt;0,F109&gt;0),(F109*E109),"")</f>
        <v/>
      </c>
      <c r="H109" s="278"/>
      <c r="I109" s="325" t="str">
        <f>IF(AND(G109&gt;0,H109&gt;0),H109/G109,"")</f>
        <v/>
      </c>
      <c r="J109" s="417"/>
      <c r="K109" s="418" t="str">
        <f>IF(AND(I109&gt;0,J109&gt;0),I109-J109,"")</f>
        <v/>
      </c>
      <c r="L109" s="2"/>
      <c r="M109" s="20"/>
      <c r="N109" s="20"/>
      <c r="O109" s="20"/>
      <c r="P109" s="20"/>
      <c r="Q109" s="20"/>
    </row>
    <row r="110" spans="1:18" ht="15.75" hidden="1" thickBot="1">
      <c r="A110" s="3"/>
      <c r="B110" s="442"/>
      <c r="C110" s="315" t="s">
        <v>357</v>
      </c>
      <c r="D110" s="316"/>
      <c r="E110" s="347" t="str">
        <f>IF(ISBLANK(D110),"",D110*30)</f>
        <v/>
      </c>
      <c r="F110" s="279"/>
      <c r="G110" s="494" t="str">
        <f>IF(AND(E110&gt;0,F110&gt;0),(F110*E110),"")</f>
        <v/>
      </c>
      <c r="H110" s="279"/>
      <c r="I110" s="348" t="str">
        <f>IF(AND(G110&gt;0,H110&gt;0),H110/G110,"")</f>
        <v/>
      </c>
      <c r="J110" s="419"/>
      <c r="K110" s="420" t="str">
        <f>IF(AND(I110&gt;0,J110&gt;0),I110-J110,"")</f>
        <v/>
      </c>
      <c r="L110" s="2"/>
      <c r="M110" s="20"/>
      <c r="N110" s="20"/>
      <c r="O110" s="20"/>
      <c r="P110" s="20"/>
      <c r="Q110" s="20"/>
    </row>
    <row r="111" spans="1:18" hidden="1">
      <c r="A111" s="3"/>
      <c r="B111" s="3"/>
      <c r="C111" s="3"/>
      <c r="D111" s="3"/>
      <c r="E111" s="3"/>
      <c r="F111" s="3"/>
      <c r="G111" s="472"/>
      <c r="H111" s="2"/>
      <c r="I111" s="2"/>
      <c r="J111" s="388"/>
      <c r="K111" s="388"/>
      <c r="L111" s="2"/>
      <c r="M111" s="2"/>
      <c r="N111" s="20"/>
      <c r="O111" s="20"/>
      <c r="P111" s="20"/>
      <c r="R111" s="20"/>
    </row>
    <row r="112" spans="1:18" ht="2.25" customHeight="1">
      <c r="A112" s="3"/>
      <c r="B112" s="3"/>
      <c r="C112" s="3"/>
      <c r="D112" s="3"/>
      <c r="E112" s="3"/>
      <c r="F112" s="3"/>
      <c r="G112" s="467"/>
      <c r="H112" s="3"/>
      <c r="I112" s="2"/>
      <c r="J112" s="407"/>
      <c r="K112" s="407"/>
      <c r="L112" s="3"/>
      <c r="M112" s="3"/>
    </row>
    <row r="113" spans="1:19" ht="19.5" thickBot="1">
      <c r="A113" s="3"/>
      <c r="B113" s="195" t="s">
        <v>458</v>
      </c>
      <c r="C113" s="105"/>
      <c r="D113" s="105"/>
      <c r="E113" s="106"/>
      <c r="F113" s="106"/>
      <c r="G113" s="495"/>
      <c r="H113" s="201"/>
      <c r="I113" s="196"/>
      <c r="J113" s="421"/>
      <c r="K113" s="422" t="s">
        <v>355</v>
      </c>
      <c r="L113" s="106"/>
      <c r="M113" s="258"/>
      <c r="N113" s="259"/>
      <c r="O113" s="259"/>
      <c r="P113" s="259"/>
    </row>
    <row r="114" spans="1:19" ht="15.75" thickBot="1">
      <c r="A114" s="3"/>
      <c r="B114" s="3"/>
      <c r="C114" s="3"/>
      <c r="D114" s="3"/>
      <c r="E114" s="3"/>
      <c r="F114" s="3"/>
      <c r="G114" s="467"/>
      <c r="H114" s="3"/>
      <c r="I114" s="3"/>
      <c r="J114" s="388"/>
      <c r="K114" s="388"/>
      <c r="L114" s="3"/>
      <c r="M114" s="3"/>
      <c r="N114"/>
      <c r="O114"/>
      <c r="P114"/>
    </row>
    <row r="115" spans="1:19" ht="38.25">
      <c r="A115" s="3"/>
      <c r="B115" s="455" t="s">
        <v>389</v>
      </c>
      <c r="C115" s="456"/>
      <c r="D115" s="457"/>
      <c r="E115" s="245" t="s">
        <v>375</v>
      </c>
      <c r="F115" s="359" t="s">
        <v>390</v>
      </c>
      <c r="G115" s="496"/>
      <c r="H115" s="299" t="s">
        <v>138</v>
      </c>
      <c r="I115" s="299" t="s">
        <v>139</v>
      </c>
      <c r="J115" s="299" t="s">
        <v>140</v>
      </c>
      <c r="K115" s="299" t="s">
        <v>141</v>
      </c>
      <c r="L115" s="299" t="s">
        <v>142</v>
      </c>
      <c r="M115" s="299" t="s">
        <v>143</v>
      </c>
      <c r="N115" s="299" t="s">
        <v>144</v>
      </c>
      <c r="O115" s="299" t="s">
        <v>301</v>
      </c>
      <c r="P115" s="299" t="s">
        <v>396</v>
      </c>
      <c r="Q115" s="299" t="s">
        <v>501</v>
      </c>
      <c r="S115" s="299" t="s">
        <v>400</v>
      </c>
    </row>
    <row r="116" spans="1:19" ht="26.25" customHeight="1">
      <c r="A116" s="647" t="s">
        <v>358</v>
      </c>
      <c r="B116" s="660" t="s">
        <v>20</v>
      </c>
      <c r="C116" s="660"/>
      <c r="D116" s="660"/>
      <c r="E116" s="640">
        <v>3.3</v>
      </c>
      <c r="F116" s="640" t="s">
        <v>136</v>
      </c>
      <c r="G116" s="506" t="s">
        <v>107</v>
      </c>
      <c r="H116" s="371">
        <v>562</v>
      </c>
      <c r="I116" s="371">
        <v>1125</v>
      </c>
      <c r="J116" s="371">
        <v>562</v>
      </c>
      <c r="K116" s="371">
        <v>1125</v>
      </c>
      <c r="L116" s="371">
        <v>552</v>
      </c>
      <c r="M116" s="371">
        <v>1105</v>
      </c>
      <c r="N116" s="371">
        <v>552</v>
      </c>
      <c r="O116" s="371">
        <v>1105</v>
      </c>
      <c r="P116" s="371">
        <v>535</v>
      </c>
      <c r="Q116" s="371">
        <f>P116+535</f>
        <v>1070</v>
      </c>
    </row>
    <row r="117" spans="1:19" ht="25.5" customHeight="1">
      <c r="A117" s="647"/>
      <c r="B117" s="660"/>
      <c r="C117" s="660"/>
      <c r="D117" s="660"/>
      <c r="E117" s="640"/>
      <c r="F117" s="640"/>
      <c r="G117" s="506" t="s">
        <v>108</v>
      </c>
      <c r="H117" s="371">
        <v>341</v>
      </c>
      <c r="I117" s="371">
        <f>H117+896</f>
        <v>1237</v>
      </c>
      <c r="J117" s="371">
        <v>555</v>
      </c>
      <c r="K117" s="371">
        <v>1003</v>
      </c>
      <c r="L117" s="372">
        <v>441</v>
      </c>
      <c r="M117" s="372">
        <f>L117+550</f>
        <v>991</v>
      </c>
      <c r="N117" s="372">
        <v>436</v>
      </c>
      <c r="O117" s="372">
        <v>1253</v>
      </c>
      <c r="P117" s="372">
        <v>391</v>
      </c>
      <c r="Q117" s="371">
        <f>P117+467</f>
        <v>858</v>
      </c>
    </row>
    <row r="118" spans="1:19" ht="25.5" customHeight="1">
      <c r="A118" s="647"/>
      <c r="B118" s="646" t="s">
        <v>24</v>
      </c>
      <c r="C118" s="646"/>
      <c r="D118" s="646"/>
      <c r="E118" s="643">
        <v>3.2</v>
      </c>
      <c r="F118" s="644" t="s">
        <v>136</v>
      </c>
      <c r="G118" s="511" t="s">
        <v>373</v>
      </c>
      <c r="H118" s="501">
        <v>142</v>
      </c>
      <c r="I118" s="370">
        <v>285</v>
      </c>
      <c r="J118" s="423">
        <v>142</v>
      </c>
      <c r="K118" s="423">
        <v>285</v>
      </c>
      <c r="L118" s="423">
        <v>140</v>
      </c>
      <c r="M118" s="423">
        <v>280</v>
      </c>
      <c r="N118" s="423">
        <v>140</v>
      </c>
      <c r="O118" s="423">
        <v>280</v>
      </c>
      <c r="P118" s="423">
        <v>140</v>
      </c>
      <c r="Q118" s="423">
        <v>280</v>
      </c>
    </row>
    <row r="119" spans="1:19" ht="25.5" customHeight="1">
      <c r="A119" s="647"/>
      <c r="B119" s="646"/>
      <c r="C119" s="646"/>
      <c r="D119" s="646"/>
      <c r="E119" s="643"/>
      <c r="F119" s="644"/>
      <c r="G119" s="511" t="s">
        <v>374</v>
      </c>
      <c r="H119" s="501">
        <v>63</v>
      </c>
      <c r="I119" s="370">
        <f>H119+225</f>
        <v>288</v>
      </c>
      <c r="J119" s="423">
        <v>152</v>
      </c>
      <c r="K119" s="423">
        <v>290</v>
      </c>
      <c r="L119" s="423">
        <v>137</v>
      </c>
      <c r="M119" s="423">
        <f>L119+146</f>
        <v>283</v>
      </c>
      <c r="N119" s="423">
        <v>95</v>
      </c>
      <c r="O119" s="423">
        <v>326</v>
      </c>
      <c r="P119" s="423">
        <v>130</v>
      </c>
      <c r="Q119" s="423">
        <v>316</v>
      </c>
    </row>
    <row r="120" spans="1:19" ht="25.5" customHeight="1">
      <c r="A120" s="647"/>
      <c r="B120" s="645" t="s">
        <v>21</v>
      </c>
      <c r="C120" s="645"/>
      <c r="D120" s="645"/>
      <c r="E120" s="640">
        <v>2.2000000000000002</v>
      </c>
      <c r="F120" s="640" t="s">
        <v>136</v>
      </c>
      <c r="G120" s="511" t="s">
        <v>373</v>
      </c>
      <c r="H120" s="371">
        <v>40</v>
      </c>
      <c r="I120" s="371">
        <v>80</v>
      </c>
      <c r="J120" s="371">
        <v>15</v>
      </c>
      <c r="K120" s="371">
        <v>55</v>
      </c>
      <c r="L120" s="371">
        <v>40</v>
      </c>
      <c r="M120" s="371">
        <v>80</v>
      </c>
      <c r="N120" s="371">
        <v>15</v>
      </c>
      <c r="O120" s="371">
        <v>55</v>
      </c>
      <c r="P120" s="371">
        <v>40</v>
      </c>
      <c r="Q120" s="371">
        <v>80</v>
      </c>
    </row>
    <row r="121" spans="1:19" ht="25.5" customHeight="1">
      <c r="A121" s="647"/>
      <c r="B121" s="645"/>
      <c r="C121" s="645"/>
      <c r="D121" s="645"/>
      <c r="E121" s="640"/>
      <c r="F121" s="640"/>
      <c r="G121" s="511" t="s">
        <v>374</v>
      </c>
      <c r="H121" s="371">
        <v>23</v>
      </c>
      <c r="I121" s="371">
        <f>H121+62</f>
        <v>85</v>
      </c>
      <c r="J121" s="371">
        <v>15</v>
      </c>
      <c r="K121" s="371">
        <v>69</v>
      </c>
      <c r="L121" s="371">
        <v>40</v>
      </c>
      <c r="M121" s="371">
        <f>L121+45</f>
        <v>85</v>
      </c>
      <c r="N121" s="371">
        <v>14</v>
      </c>
      <c r="O121" s="371">
        <v>97</v>
      </c>
      <c r="P121" s="371">
        <v>41</v>
      </c>
      <c r="Q121" s="371">
        <v>83</v>
      </c>
    </row>
    <row r="122" spans="1:19" ht="21.75" customHeight="1">
      <c r="A122" s="379"/>
      <c r="B122" s="646" t="s">
        <v>29</v>
      </c>
      <c r="C122" s="646"/>
      <c r="D122" s="646"/>
      <c r="E122" s="643">
        <v>2.1</v>
      </c>
      <c r="F122" s="643" t="s">
        <v>136</v>
      </c>
      <c r="G122" s="511" t="s">
        <v>373</v>
      </c>
      <c r="H122" s="423" t="s">
        <v>401</v>
      </c>
      <c r="I122" s="423" t="s">
        <v>401</v>
      </c>
      <c r="J122" s="423" t="s">
        <v>401</v>
      </c>
      <c r="K122" s="499">
        <v>0.1</v>
      </c>
      <c r="L122" s="423" t="s">
        <v>401</v>
      </c>
      <c r="M122" s="423" t="s">
        <v>401</v>
      </c>
      <c r="N122" s="423" t="s">
        <v>401</v>
      </c>
      <c r="O122" s="423">
        <v>6</v>
      </c>
      <c r="P122" s="423" t="s">
        <v>401</v>
      </c>
      <c r="Q122" s="423" t="s">
        <v>401</v>
      </c>
    </row>
    <row r="123" spans="1:19" ht="25.5">
      <c r="A123" s="379"/>
      <c r="B123" s="646"/>
      <c r="C123" s="646"/>
      <c r="D123" s="646"/>
      <c r="E123" s="643"/>
      <c r="F123" s="643"/>
      <c r="G123" s="511" t="s">
        <v>374</v>
      </c>
      <c r="H123" s="423" t="s">
        <v>401</v>
      </c>
      <c r="I123" s="423" t="s">
        <v>401</v>
      </c>
      <c r="J123" s="423" t="s">
        <v>401</v>
      </c>
      <c r="K123" s="499">
        <v>4.82E-2</v>
      </c>
      <c r="L123" s="423" t="s">
        <v>401</v>
      </c>
      <c r="M123" s="423" t="s">
        <v>401</v>
      </c>
      <c r="N123" s="423" t="s">
        <v>401</v>
      </c>
      <c r="O123" s="423">
        <v>2</v>
      </c>
      <c r="P123" s="423" t="s">
        <v>401</v>
      </c>
      <c r="Q123" s="423" t="s">
        <v>401</v>
      </c>
    </row>
    <row r="124" spans="1:19" ht="18.75" customHeight="1">
      <c r="A124" s="379"/>
      <c r="B124" s="645" t="s">
        <v>27</v>
      </c>
      <c r="C124" s="645"/>
      <c r="D124" s="645"/>
      <c r="E124" s="640">
        <v>2.2999999999999998</v>
      </c>
      <c r="F124" s="641" t="s">
        <v>136</v>
      </c>
      <c r="G124" s="511" t="s">
        <v>373</v>
      </c>
      <c r="H124" s="504">
        <v>168</v>
      </c>
      <c r="I124" s="372">
        <v>337</v>
      </c>
      <c r="J124" s="371">
        <v>168</v>
      </c>
      <c r="K124" s="371">
        <v>337</v>
      </c>
      <c r="L124" s="500">
        <v>165</v>
      </c>
      <c r="M124" s="371">
        <v>331</v>
      </c>
      <c r="N124" s="371">
        <v>165</v>
      </c>
      <c r="O124" s="371">
        <v>331</v>
      </c>
      <c r="P124" s="371">
        <v>161</v>
      </c>
      <c r="Q124" s="371">
        <v>323</v>
      </c>
    </row>
    <row r="125" spans="1:19" ht="30.75" customHeight="1">
      <c r="A125" s="379"/>
      <c r="B125" s="645"/>
      <c r="C125" s="645"/>
      <c r="D125" s="645"/>
      <c r="E125" s="640"/>
      <c r="F125" s="641"/>
      <c r="G125" s="511" t="s">
        <v>374</v>
      </c>
      <c r="H125" s="504">
        <v>151</v>
      </c>
      <c r="I125" s="372">
        <f>H125+162</f>
        <v>313</v>
      </c>
      <c r="J125" s="371">
        <v>190</v>
      </c>
      <c r="K125" s="371">
        <v>351</v>
      </c>
      <c r="L125" s="500">
        <v>210</v>
      </c>
      <c r="M125" s="371">
        <f>L125+247</f>
        <v>457</v>
      </c>
      <c r="N125" s="371">
        <v>191</v>
      </c>
      <c r="O125" s="371">
        <v>385</v>
      </c>
      <c r="P125" s="371">
        <v>193</v>
      </c>
      <c r="Q125" s="371">
        <v>380</v>
      </c>
    </row>
    <row r="126" spans="1:19" ht="26.25" customHeight="1">
      <c r="A126" s="379"/>
      <c r="B126" s="642" t="s">
        <v>22</v>
      </c>
      <c r="C126" s="642"/>
      <c r="D126" s="642"/>
      <c r="E126" s="643">
        <v>2.4</v>
      </c>
      <c r="F126" s="644" t="s">
        <v>136</v>
      </c>
      <c r="G126" s="511" t="s">
        <v>373</v>
      </c>
      <c r="H126" s="501">
        <v>100</v>
      </c>
      <c r="I126" s="369">
        <v>200</v>
      </c>
      <c r="J126" s="501">
        <v>100</v>
      </c>
      <c r="K126" s="501">
        <v>200</v>
      </c>
      <c r="L126" s="501">
        <v>100</v>
      </c>
      <c r="M126" s="501">
        <v>200</v>
      </c>
      <c r="N126" s="501">
        <v>100</v>
      </c>
      <c r="O126" s="501">
        <v>200</v>
      </c>
      <c r="P126" s="501">
        <v>100</v>
      </c>
      <c r="Q126" s="501">
        <v>200</v>
      </c>
    </row>
    <row r="127" spans="1:19" ht="21.75" customHeight="1">
      <c r="A127" s="379"/>
      <c r="B127" s="642"/>
      <c r="C127" s="642"/>
      <c r="D127" s="642"/>
      <c r="E127" s="643"/>
      <c r="F127" s="644"/>
      <c r="G127" s="511" t="s">
        <v>374</v>
      </c>
      <c r="H127" s="501">
        <v>40</v>
      </c>
      <c r="I127" s="369">
        <f>H127+160</f>
        <v>200</v>
      </c>
      <c r="J127" s="501">
        <v>102</v>
      </c>
      <c r="K127" s="501">
        <v>202</v>
      </c>
      <c r="L127" s="501">
        <v>100</v>
      </c>
      <c r="M127" s="501">
        <v>199</v>
      </c>
      <c r="N127" s="501">
        <v>100</v>
      </c>
      <c r="O127" s="501">
        <v>200</v>
      </c>
      <c r="P127" s="501">
        <v>100</v>
      </c>
      <c r="Q127" s="501">
        <v>200</v>
      </c>
    </row>
    <row r="128" spans="1:19" ht="15" customHeight="1">
      <c r="A128" s="3"/>
      <c r="B128" s="645" t="s">
        <v>23</v>
      </c>
      <c r="C128" s="645"/>
      <c r="D128" s="645"/>
      <c r="E128" s="640">
        <v>2.5</v>
      </c>
      <c r="F128" s="640" t="s">
        <v>136</v>
      </c>
      <c r="G128" s="511" t="s">
        <v>373</v>
      </c>
      <c r="H128" s="371">
        <v>60</v>
      </c>
      <c r="I128" s="371">
        <v>135</v>
      </c>
      <c r="J128" s="371">
        <v>50</v>
      </c>
      <c r="K128" s="371">
        <v>150</v>
      </c>
      <c r="L128" s="371">
        <v>60</v>
      </c>
      <c r="M128" s="371">
        <v>135</v>
      </c>
      <c r="N128" s="371">
        <v>50</v>
      </c>
      <c r="O128" s="371">
        <v>150</v>
      </c>
      <c r="P128" s="371">
        <v>25</v>
      </c>
      <c r="Q128" s="371">
        <v>75</v>
      </c>
    </row>
    <row r="129" spans="1:18" ht="29.25" customHeight="1">
      <c r="A129" s="3"/>
      <c r="B129" s="645"/>
      <c r="C129" s="645"/>
      <c r="D129" s="645"/>
      <c r="E129" s="640"/>
      <c r="F129" s="640"/>
      <c r="G129" s="511" t="s">
        <v>374</v>
      </c>
      <c r="H129" s="371">
        <v>509</v>
      </c>
      <c r="I129" s="371">
        <f>H129+249</f>
        <v>758</v>
      </c>
      <c r="J129" s="371">
        <v>80</v>
      </c>
      <c r="K129" s="371">
        <v>176</v>
      </c>
      <c r="L129" s="371">
        <v>125</v>
      </c>
      <c r="M129" s="371">
        <f>L129+25</f>
        <v>150</v>
      </c>
      <c r="N129" s="371">
        <v>50</v>
      </c>
      <c r="O129" s="371">
        <v>162</v>
      </c>
      <c r="P129" s="371">
        <v>153</v>
      </c>
      <c r="Q129" s="371">
        <v>153</v>
      </c>
    </row>
    <row r="130" spans="1:18" ht="14.25" customHeight="1">
      <c r="A130" s="3"/>
      <c r="B130" s="638" t="s">
        <v>25</v>
      </c>
      <c r="C130" s="638"/>
      <c r="D130" s="638"/>
      <c r="E130" s="635">
        <v>3.1</v>
      </c>
      <c r="F130" s="635" t="s">
        <v>136</v>
      </c>
      <c r="G130" s="511" t="s">
        <v>373</v>
      </c>
      <c r="H130" s="505">
        <v>0</v>
      </c>
      <c r="I130" s="370">
        <v>25</v>
      </c>
      <c r="J130" s="423">
        <v>0</v>
      </c>
      <c r="K130" s="424">
        <v>25</v>
      </c>
      <c r="L130" s="502">
        <v>0</v>
      </c>
      <c r="M130" s="502">
        <v>25</v>
      </c>
      <c r="N130" s="502" t="s">
        <v>401</v>
      </c>
      <c r="O130" s="502">
        <v>25</v>
      </c>
      <c r="P130" s="502" t="s">
        <v>401</v>
      </c>
      <c r="Q130" s="502">
        <v>25</v>
      </c>
    </row>
    <row r="131" spans="1:18" ht="25.5">
      <c r="A131" s="3"/>
      <c r="B131" s="638"/>
      <c r="C131" s="638"/>
      <c r="D131" s="638"/>
      <c r="E131" s="635"/>
      <c r="F131" s="635"/>
      <c r="G131" s="511" t="s">
        <v>374</v>
      </c>
      <c r="H131" s="505">
        <v>0</v>
      </c>
      <c r="I131" s="370">
        <v>115</v>
      </c>
      <c r="J131" s="423">
        <v>0</v>
      </c>
      <c r="K131" s="423">
        <v>52</v>
      </c>
      <c r="L131" s="423">
        <v>0</v>
      </c>
      <c r="M131" s="423">
        <v>24</v>
      </c>
      <c r="N131" s="423" t="s">
        <v>401</v>
      </c>
      <c r="O131" s="423">
        <v>21</v>
      </c>
      <c r="P131" s="423" t="s">
        <v>401</v>
      </c>
      <c r="Q131" s="423">
        <v>25</v>
      </c>
    </row>
    <row r="132" spans="1:18" ht="14.25" customHeight="1">
      <c r="A132" s="3"/>
      <c r="B132" s="639" t="s">
        <v>26</v>
      </c>
      <c r="C132" s="639"/>
      <c r="D132" s="639"/>
      <c r="E132" s="640">
        <v>3.4</v>
      </c>
      <c r="F132" s="641" t="s">
        <v>136</v>
      </c>
      <c r="G132" s="511" t="s">
        <v>373</v>
      </c>
      <c r="H132" s="503" t="s">
        <v>401</v>
      </c>
      <c r="I132" s="368">
        <v>0.95</v>
      </c>
      <c r="J132" s="503" t="s">
        <v>401</v>
      </c>
      <c r="K132" s="368">
        <v>0.95</v>
      </c>
      <c r="L132" s="503" t="s">
        <v>401</v>
      </c>
      <c r="M132" s="368">
        <v>0.95</v>
      </c>
      <c r="N132" s="368" t="s">
        <v>401</v>
      </c>
      <c r="O132" s="368">
        <v>0.95</v>
      </c>
      <c r="P132" s="368" t="s">
        <v>401</v>
      </c>
      <c r="Q132" s="368">
        <v>0.95</v>
      </c>
    </row>
    <row r="133" spans="1:18" ht="30.75" customHeight="1">
      <c r="A133" s="3"/>
      <c r="B133" s="639"/>
      <c r="C133" s="639"/>
      <c r="D133" s="639"/>
      <c r="E133" s="640"/>
      <c r="F133" s="641"/>
      <c r="G133" s="511" t="s">
        <v>374</v>
      </c>
      <c r="H133" s="503" t="s">
        <v>401</v>
      </c>
      <c r="I133" s="368">
        <v>1</v>
      </c>
      <c r="J133" s="503" t="s">
        <v>401</v>
      </c>
      <c r="K133" s="368">
        <v>1</v>
      </c>
      <c r="L133" s="503" t="s">
        <v>401</v>
      </c>
      <c r="M133" s="368">
        <v>1</v>
      </c>
      <c r="N133" s="368" t="s">
        <v>401</v>
      </c>
      <c r="O133" s="368">
        <v>1</v>
      </c>
      <c r="P133" s="368" t="s">
        <v>401</v>
      </c>
      <c r="Q133" s="368">
        <v>1</v>
      </c>
    </row>
    <row r="134" spans="1:18" ht="30" customHeight="1">
      <c r="A134" s="3"/>
      <c r="B134" s="634" t="s">
        <v>28</v>
      </c>
      <c r="C134" s="634"/>
      <c r="D134" s="634"/>
      <c r="E134" s="635">
        <v>3.5</v>
      </c>
      <c r="F134" s="635" t="s">
        <v>136</v>
      </c>
      <c r="G134" s="511" t="s">
        <v>373</v>
      </c>
      <c r="H134" s="505">
        <v>25</v>
      </c>
      <c r="I134" s="370">
        <v>50</v>
      </c>
      <c r="J134" s="423">
        <v>25</v>
      </c>
      <c r="K134" s="424">
        <v>75</v>
      </c>
      <c r="L134" s="502">
        <v>25</v>
      </c>
      <c r="M134" s="502">
        <v>25</v>
      </c>
      <c r="N134" s="502">
        <v>25</v>
      </c>
      <c r="O134" s="502">
        <v>75</v>
      </c>
      <c r="P134" s="502">
        <v>25</v>
      </c>
      <c r="Q134" s="502">
        <v>50</v>
      </c>
    </row>
    <row r="135" spans="1:18" ht="25.5" customHeight="1">
      <c r="A135" s="3"/>
      <c r="B135" s="634"/>
      <c r="C135" s="634"/>
      <c r="D135" s="634"/>
      <c r="E135" s="635"/>
      <c r="F135" s="635"/>
      <c r="G135" s="511" t="s">
        <v>374</v>
      </c>
      <c r="H135" s="505">
        <v>0</v>
      </c>
      <c r="I135" s="370">
        <v>24</v>
      </c>
      <c r="J135" s="423">
        <v>0</v>
      </c>
      <c r="K135" s="423">
        <v>104</v>
      </c>
      <c r="L135" s="423">
        <v>26</v>
      </c>
      <c r="M135" s="423">
        <f>26+26</f>
        <v>52</v>
      </c>
      <c r="N135" s="423">
        <v>0</v>
      </c>
      <c r="O135" s="423">
        <v>80</v>
      </c>
      <c r="P135" s="423">
        <v>25</v>
      </c>
      <c r="Q135" s="423">
        <v>54</v>
      </c>
    </row>
    <row r="136" spans="1:18" ht="11.25" customHeight="1">
      <c r="A136" s="3"/>
      <c r="F136" s="3"/>
      <c r="G136" s="472"/>
      <c r="H136" s="3"/>
      <c r="I136" s="3"/>
      <c r="J136" s="388"/>
      <c r="K136" s="388"/>
      <c r="L136" s="3"/>
      <c r="M136" s="3"/>
      <c r="N136" s="20"/>
      <c r="O136" s="20"/>
      <c r="P136" s="20"/>
      <c r="Q136" s="35"/>
      <c r="R136" s="35"/>
    </row>
    <row r="137" spans="1:18" ht="10.5" customHeight="1">
      <c r="A137" s="3"/>
      <c r="F137" s="3"/>
      <c r="G137" s="472"/>
      <c r="H137" s="3"/>
      <c r="I137" s="3"/>
      <c r="J137" s="388"/>
      <c r="K137" s="388"/>
      <c r="L137" s="3"/>
      <c r="M137" s="3"/>
      <c r="N137" s="20"/>
      <c r="O137" s="20"/>
      <c r="P137" s="20"/>
      <c r="Q137" s="35"/>
      <c r="R137" s="35"/>
    </row>
    <row r="138" spans="1:18" ht="10.5" customHeight="1">
      <c r="A138" s="3"/>
      <c r="B138" s="3"/>
      <c r="C138" s="3"/>
      <c r="D138" s="3"/>
      <c r="E138" s="3"/>
      <c r="F138" s="3"/>
      <c r="G138" s="472"/>
      <c r="H138" s="3"/>
      <c r="I138" s="3"/>
      <c r="J138" s="388"/>
      <c r="K138" s="388"/>
      <c r="L138" s="3"/>
      <c r="M138" s="3"/>
      <c r="N138" s="20"/>
      <c r="O138" s="20"/>
      <c r="P138" s="20"/>
      <c r="Q138" s="35"/>
      <c r="R138" s="35"/>
    </row>
    <row r="139" spans="1:18" ht="7.5" customHeight="1" thickBot="1">
      <c r="A139" s="3"/>
      <c r="B139" s="246"/>
      <c r="C139" s="3"/>
      <c r="D139" s="3"/>
      <c r="E139" s="3"/>
      <c r="F139" s="3"/>
      <c r="G139" s="472"/>
      <c r="H139" s="3"/>
      <c r="I139" s="3"/>
      <c r="J139" s="388"/>
      <c r="K139" s="388"/>
      <c r="L139" s="3"/>
      <c r="M139" s="3"/>
      <c r="N139" s="20"/>
      <c r="O139" s="20"/>
      <c r="P139" s="20"/>
      <c r="Q139" s="35"/>
      <c r="R139" s="35"/>
    </row>
    <row r="140" spans="1:18" ht="38.25">
      <c r="A140" s="3"/>
      <c r="B140" s="3" t="s">
        <v>391</v>
      </c>
      <c r="C140" s="3"/>
      <c r="D140" s="3"/>
      <c r="E140" s="376" t="s">
        <v>327</v>
      </c>
      <c r="F140" s="377" t="s">
        <v>392</v>
      </c>
      <c r="G140" s="497"/>
      <c r="H140" s="299" t="s">
        <v>138</v>
      </c>
      <c r="I140" s="299" t="s">
        <v>139</v>
      </c>
      <c r="J140" s="299" t="s">
        <v>140</v>
      </c>
      <c r="K140" s="299" t="s">
        <v>141</v>
      </c>
      <c r="L140" s="299" t="s">
        <v>142</v>
      </c>
      <c r="M140" s="299" t="s">
        <v>143</v>
      </c>
      <c r="N140" s="512" t="s">
        <v>144</v>
      </c>
      <c r="O140" s="512" t="s">
        <v>301</v>
      </c>
      <c r="P140" s="512" t="s">
        <v>396</v>
      </c>
      <c r="Q140" s="512" t="s">
        <v>501</v>
      </c>
    </row>
    <row r="141" spans="1:18" ht="22.5" customHeight="1">
      <c r="A141" s="3"/>
      <c r="B141" s="636" t="s">
        <v>20</v>
      </c>
      <c r="C141" s="636"/>
      <c r="D141" s="636"/>
      <c r="E141" s="637">
        <v>3.3</v>
      </c>
      <c r="F141" s="633" t="str">
        <f>IF(ISBLANK(F120),"",(F120))</f>
        <v>Yes</v>
      </c>
      <c r="G141" s="506" t="s">
        <v>107</v>
      </c>
      <c r="H141" s="324">
        <f t="shared" ref="H141:O146" si="5">H116</f>
        <v>562</v>
      </c>
      <c r="I141" s="324">
        <f t="shared" si="5"/>
        <v>1125</v>
      </c>
      <c r="J141" s="324">
        <f t="shared" si="5"/>
        <v>562</v>
      </c>
      <c r="K141" s="324">
        <f t="shared" si="5"/>
        <v>1125</v>
      </c>
      <c r="L141" s="324">
        <f t="shared" si="5"/>
        <v>552</v>
      </c>
      <c r="M141" s="324">
        <f t="shared" si="5"/>
        <v>1105</v>
      </c>
      <c r="N141" s="324">
        <f t="shared" si="5"/>
        <v>552</v>
      </c>
      <c r="O141" s="324">
        <f t="shared" si="5"/>
        <v>1105</v>
      </c>
      <c r="P141" s="324">
        <f t="shared" ref="P141:Q141" si="6">P116</f>
        <v>535</v>
      </c>
      <c r="Q141" s="324">
        <f t="shared" si="6"/>
        <v>1070</v>
      </c>
    </row>
    <row r="142" spans="1:18" ht="23.25" customHeight="1">
      <c r="A142" s="3"/>
      <c r="B142" s="636"/>
      <c r="C142" s="636"/>
      <c r="D142" s="636"/>
      <c r="E142" s="633"/>
      <c r="F142" s="633"/>
      <c r="G142" s="506" t="s">
        <v>108</v>
      </c>
      <c r="H142" s="324">
        <f t="shared" si="5"/>
        <v>341</v>
      </c>
      <c r="I142" s="324">
        <f t="shared" si="5"/>
        <v>1237</v>
      </c>
      <c r="J142" s="324">
        <f t="shared" si="5"/>
        <v>555</v>
      </c>
      <c r="K142" s="324">
        <f t="shared" si="5"/>
        <v>1003</v>
      </c>
      <c r="L142" s="324">
        <f t="shared" si="5"/>
        <v>441</v>
      </c>
      <c r="M142" s="324">
        <f t="shared" si="5"/>
        <v>991</v>
      </c>
      <c r="N142" s="324">
        <f t="shared" si="5"/>
        <v>436</v>
      </c>
      <c r="O142" s="324">
        <f t="shared" si="5"/>
        <v>1253</v>
      </c>
      <c r="P142" s="324">
        <f t="shared" ref="P142:Q142" si="7">P117</f>
        <v>391</v>
      </c>
      <c r="Q142" s="324">
        <f t="shared" si="7"/>
        <v>858</v>
      </c>
    </row>
    <row r="143" spans="1:18" ht="21.75" customHeight="1">
      <c r="A143" s="3"/>
      <c r="B143" s="629" t="s">
        <v>24</v>
      </c>
      <c r="C143" s="629"/>
      <c r="D143" s="629"/>
      <c r="E143" s="630">
        <v>3.2</v>
      </c>
      <c r="F143" s="631" t="str">
        <f>IF(ISBLANK(F124),"",(F124))</f>
        <v>Yes</v>
      </c>
      <c r="G143" s="507" t="s">
        <v>107</v>
      </c>
      <c r="H143" s="345">
        <f t="shared" si="5"/>
        <v>142</v>
      </c>
      <c r="I143" s="345">
        <f t="shared" si="5"/>
        <v>285</v>
      </c>
      <c r="J143" s="345">
        <f t="shared" si="5"/>
        <v>142</v>
      </c>
      <c r="K143" s="345">
        <f t="shared" si="5"/>
        <v>285</v>
      </c>
      <c r="L143" s="345">
        <f t="shared" si="5"/>
        <v>140</v>
      </c>
      <c r="M143" s="345">
        <f t="shared" si="5"/>
        <v>280</v>
      </c>
      <c r="N143" s="345">
        <f t="shared" si="5"/>
        <v>140</v>
      </c>
      <c r="O143" s="345">
        <f t="shared" si="5"/>
        <v>280</v>
      </c>
      <c r="P143" s="345">
        <f t="shared" ref="P143:Q143" si="8">P118</f>
        <v>140</v>
      </c>
      <c r="Q143" s="345">
        <f t="shared" si="8"/>
        <v>280</v>
      </c>
    </row>
    <row r="144" spans="1:18" ht="34.5" customHeight="1">
      <c r="A144" s="3"/>
      <c r="B144" s="629"/>
      <c r="C144" s="629"/>
      <c r="D144" s="629"/>
      <c r="E144" s="631"/>
      <c r="F144" s="631"/>
      <c r="G144" s="507" t="s">
        <v>108</v>
      </c>
      <c r="H144" s="345">
        <f t="shared" si="5"/>
        <v>63</v>
      </c>
      <c r="I144" s="345">
        <f t="shared" si="5"/>
        <v>288</v>
      </c>
      <c r="J144" s="345">
        <f t="shared" si="5"/>
        <v>152</v>
      </c>
      <c r="K144" s="345">
        <f t="shared" si="5"/>
        <v>290</v>
      </c>
      <c r="L144" s="345">
        <f t="shared" si="5"/>
        <v>137</v>
      </c>
      <c r="M144" s="345">
        <f t="shared" si="5"/>
        <v>283</v>
      </c>
      <c r="N144" s="345">
        <f t="shared" si="5"/>
        <v>95</v>
      </c>
      <c r="O144" s="345">
        <f t="shared" si="5"/>
        <v>326</v>
      </c>
      <c r="P144" s="345">
        <f t="shared" ref="P144:Q144" si="9">P119</f>
        <v>130</v>
      </c>
      <c r="Q144" s="345">
        <f t="shared" si="9"/>
        <v>316</v>
      </c>
    </row>
    <row r="145" spans="1:18" ht="23.25" customHeight="1">
      <c r="A145" s="3"/>
      <c r="B145" s="632" t="s">
        <v>21</v>
      </c>
      <c r="C145" s="632"/>
      <c r="D145" s="632"/>
      <c r="E145" s="633">
        <v>2.2000000000000002</v>
      </c>
      <c r="F145" s="633" t="str">
        <f>IF(ISBLANK(F116),"",(F116))</f>
        <v>Yes</v>
      </c>
      <c r="G145" s="506" t="s">
        <v>107</v>
      </c>
      <c r="H145" s="324">
        <f t="shared" si="5"/>
        <v>40</v>
      </c>
      <c r="I145" s="324">
        <f t="shared" si="5"/>
        <v>80</v>
      </c>
      <c r="J145" s="324">
        <f t="shared" si="5"/>
        <v>15</v>
      </c>
      <c r="K145" s="324">
        <f t="shared" si="5"/>
        <v>55</v>
      </c>
      <c r="L145" s="324">
        <f t="shared" si="5"/>
        <v>40</v>
      </c>
      <c r="M145" s="324">
        <f t="shared" si="5"/>
        <v>80</v>
      </c>
      <c r="N145" s="324">
        <f t="shared" si="5"/>
        <v>15</v>
      </c>
      <c r="O145" s="324">
        <f t="shared" si="5"/>
        <v>55</v>
      </c>
      <c r="P145" s="324">
        <f t="shared" ref="P145:Q145" si="10">P120</f>
        <v>40</v>
      </c>
      <c r="Q145" s="324">
        <f t="shared" si="10"/>
        <v>80</v>
      </c>
    </row>
    <row r="146" spans="1:18" ht="23.25" customHeight="1" thickBot="1">
      <c r="A146" s="3"/>
      <c r="B146" s="632"/>
      <c r="C146" s="632"/>
      <c r="D146" s="632"/>
      <c r="E146" s="633"/>
      <c r="F146" s="633"/>
      <c r="G146" s="506" t="s">
        <v>108</v>
      </c>
      <c r="H146" s="324">
        <f t="shared" si="5"/>
        <v>23</v>
      </c>
      <c r="I146" s="324">
        <f t="shared" si="5"/>
        <v>85</v>
      </c>
      <c r="J146" s="324">
        <f t="shared" si="5"/>
        <v>15</v>
      </c>
      <c r="K146" s="324">
        <f t="shared" si="5"/>
        <v>69</v>
      </c>
      <c r="L146" s="324">
        <f t="shared" si="5"/>
        <v>40</v>
      </c>
      <c r="M146" s="324">
        <f t="shared" si="5"/>
        <v>85</v>
      </c>
      <c r="N146" s="324">
        <f t="shared" si="5"/>
        <v>14</v>
      </c>
      <c r="O146" s="324">
        <f t="shared" si="5"/>
        <v>97</v>
      </c>
      <c r="P146" s="324">
        <f t="shared" ref="P146:Q146" si="11">P121</f>
        <v>41</v>
      </c>
      <c r="Q146" s="324">
        <f t="shared" si="11"/>
        <v>83</v>
      </c>
    </row>
    <row r="147" spans="1:18">
      <c r="A147" s="3"/>
      <c r="B147" s="3"/>
      <c r="C147" s="3"/>
      <c r="D147" s="3"/>
      <c r="E147" s="3"/>
      <c r="F147" s="3"/>
      <c r="G147" s="467"/>
      <c r="H147" s="3"/>
      <c r="I147" s="3"/>
      <c r="J147" s="388"/>
      <c r="K147" s="388"/>
      <c r="L147" s="3"/>
      <c r="M147" s="3"/>
      <c r="N147" s="20"/>
      <c r="O147" s="20"/>
      <c r="P147" s="20"/>
      <c r="R147" s="346"/>
    </row>
    <row r="148" spans="1:18">
      <c r="N148" s="20"/>
      <c r="O148" s="20"/>
      <c r="P148" s="20"/>
    </row>
    <row r="149" spans="1:18">
      <c r="N149" s="20"/>
      <c r="O149" s="20"/>
      <c r="P149" s="20"/>
    </row>
    <row r="150" spans="1:18">
      <c r="N150" s="20"/>
      <c r="O150" s="20"/>
      <c r="P150" s="20"/>
    </row>
  </sheetData>
  <mergeCells count="45">
    <mergeCell ref="A116:A121"/>
    <mergeCell ref="P31:P34"/>
    <mergeCell ref="G12:J12"/>
    <mergeCell ref="G10:J10"/>
    <mergeCell ref="G4:J4"/>
    <mergeCell ref="B116:D117"/>
    <mergeCell ref="E116:E117"/>
    <mergeCell ref="F116:F117"/>
    <mergeCell ref="B118:D119"/>
    <mergeCell ref="E118:E119"/>
    <mergeCell ref="F118:F119"/>
    <mergeCell ref="B120:D121"/>
    <mergeCell ref="E120:E121"/>
    <mergeCell ref="F120:F121"/>
    <mergeCell ref="F46:I46"/>
    <mergeCell ref="B122:D123"/>
    <mergeCell ref="E122:E123"/>
    <mergeCell ref="F122:F123"/>
    <mergeCell ref="B124:D125"/>
    <mergeCell ref="E124:E125"/>
    <mergeCell ref="F124:F125"/>
    <mergeCell ref="B126:D127"/>
    <mergeCell ref="E126:E127"/>
    <mergeCell ref="F126:F127"/>
    <mergeCell ref="B128:D129"/>
    <mergeCell ref="E128:E129"/>
    <mergeCell ref="F128:F129"/>
    <mergeCell ref="B130:D131"/>
    <mergeCell ref="E130:E131"/>
    <mergeCell ref="F130:F131"/>
    <mergeCell ref="B132:D133"/>
    <mergeCell ref="E132:E133"/>
    <mergeCell ref="F132:F133"/>
    <mergeCell ref="B134:D135"/>
    <mergeCell ref="E134:E135"/>
    <mergeCell ref="F134:F135"/>
    <mergeCell ref="B141:D142"/>
    <mergeCell ref="E141:E142"/>
    <mergeCell ref="F141:F142"/>
    <mergeCell ref="B143:D144"/>
    <mergeCell ref="E143:E144"/>
    <mergeCell ref="F143:F144"/>
    <mergeCell ref="B145:D146"/>
    <mergeCell ref="E145:E146"/>
    <mergeCell ref="F145:F146"/>
  </mergeCells>
  <phoneticPr fontId="30" type="noConversion"/>
  <conditionalFormatting sqref="B34 B32 G32:H32 G33:I33 O33">
    <cfRule type="expression" dxfId="63" priority="28" stopIfTrue="1">
      <formula>+AND(B31&gt;=#REF!,B31&lt;=#REF!)</formula>
    </cfRule>
  </conditionalFormatting>
  <conditionalFormatting sqref="G34:I34 O34">
    <cfRule type="expression" dxfId="62" priority="29" stopIfTrue="1">
      <formula>+AND(G32&gt;=#REF!,G32&lt;=#REF!)</formula>
    </cfRule>
  </conditionalFormatting>
  <conditionalFormatting sqref="C93:O93 C30:O30">
    <cfRule type="cellIs" dxfId="61" priority="32" stopIfTrue="1" operator="equal">
      <formula>$C$16</formula>
    </cfRule>
  </conditionalFormatting>
  <conditionalFormatting sqref="C12:D12">
    <cfRule type="cellIs" dxfId="60" priority="34" stopIfTrue="1" operator="equal">
      <formula>"C"</formula>
    </cfRule>
    <cfRule type="cellIs" dxfId="59" priority="35" stopIfTrue="1" operator="equal">
      <formula>"B2"</formula>
    </cfRule>
    <cfRule type="cellIs" dxfId="58" priority="36" stopIfTrue="1" operator="equal">
      <formula>"B1"</formula>
    </cfRule>
  </conditionalFormatting>
  <conditionalFormatting sqref="S115 C93:H93 C30:N30 H115:M115 H140:M140">
    <cfRule type="cellIs" dxfId="57" priority="43" stopIfTrue="1" operator="equal">
      <formula>$C$16</formula>
    </cfRule>
  </conditionalFormatting>
  <conditionalFormatting sqref="F46">
    <cfRule type="expression" dxfId="56" priority="44" stopIfTrue="1">
      <formula>LEFT($F$46,2)="OK"</formula>
    </cfRule>
  </conditionalFormatting>
  <conditionalFormatting sqref="B34">
    <cfRule type="expression" dxfId="55" priority="23" stopIfTrue="1">
      <formula>+AND(B33&gt;=#REF!,B33&lt;=#REF!)</formula>
    </cfRule>
  </conditionalFormatting>
  <conditionalFormatting sqref="K35 G32:I33 O33">
    <cfRule type="expression" dxfId="54" priority="20" stopIfTrue="1">
      <formula>+AND(G31&gt;=#REF!,G31&lt;=#REF!)</formula>
    </cfRule>
  </conditionalFormatting>
  <conditionalFormatting sqref="G34:I34 O34">
    <cfRule type="expression" dxfId="53" priority="19" stopIfTrue="1">
      <formula>+AND(G32&gt;=#REF!,G32&lt;=#REF!)</formula>
    </cfRule>
  </conditionalFormatting>
  <conditionalFormatting sqref="H34:L34">
    <cfRule type="expression" dxfId="52" priority="7" stopIfTrue="1">
      <formula>+AND(H32&gt;=#REF!,H32&lt;=#REF!)</formula>
    </cfRule>
  </conditionalFormatting>
  <conditionalFormatting sqref="C33:F33">
    <cfRule type="expression" dxfId="51" priority="15" stopIfTrue="1">
      <formula>+AND(C32&gt;=#REF!,C32&lt;=#REF!)</formula>
    </cfRule>
  </conditionalFormatting>
  <conditionalFormatting sqref="C34:F34">
    <cfRule type="expression" dxfId="50" priority="16" stopIfTrue="1">
      <formula>+AND(C32&gt;=#REF!,C32&lt;=#REF!)</formula>
    </cfRule>
  </conditionalFormatting>
  <conditionalFormatting sqref="C33:E33">
    <cfRule type="expression" dxfId="49" priority="14" stopIfTrue="1">
      <formula>+AND(C32&gt;=#REF!,C32&lt;=#REF!)</formula>
    </cfRule>
  </conditionalFormatting>
  <conditionalFormatting sqref="C34:E34">
    <cfRule type="expression" dxfId="48" priority="13" stopIfTrue="1">
      <formula>+AND(C32&gt;=#REF!,C32&lt;=#REF!)</formula>
    </cfRule>
  </conditionalFormatting>
  <conditionalFormatting sqref="H33:L33">
    <cfRule type="expression" dxfId="47" priority="9" stopIfTrue="1">
      <formula>+AND(H32&gt;=#REF!,H32&lt;=#REF!)</formula>
    </cfRule>
  </conditionalFormatting>
  <conditionalFormatting sqref="H34:L34">
    <cfRule type="expression" dxfId="46" priority="10" stopIfTrue="1">
      <formula>+AND(H32&gt;=#REF!,H32&lt;=#REF!)</formula>
    </cfRule>
  </conditionalFormatting>
  <conditionalFormatting sqref="H33:L33">
    <cfRule type="expression" dxfId="45" priority="8" stopIfTrue="1">
      <formula>+AND(H32&gt;=#REF!,H32&lt;=#REF!)</formula>
    </cfRule>
  </conditionalFormatting>
  <conditionalFormatting sqref="M34:N34">
    <cfRule type="expression" dxfId="44" priority="3" stopIfTrue="1">
      <formula>+AND(M32&gt;=#REF!,M32&lt;=#REF!)</formula>
    </cfRule>
  </conditionalFormatting>
  <conditionalFormatting sqref="M33:N33">
    <cfRule type="expression" dxfId="43" priority="5" stopIfTrue="1">
      <formula>+AND(M32&gt;=#REF!,M32&lt;=#REF!)</formula>
    </cfRule>
  </conditionalFormatting>
  <conditionalFormatting sqref="M34:N34">
    <cfRule type="expression" dxfId="42" priority="6" stopIfTrue="1">
      <formula>+AND(M32&gt;=#REF!,M32&lt;=#REF!)</formula>
    </cfRule>
  </conditionalFormatting>
  <conditionalFormatting sqref="M33:N33">
    <cfRule type="expression" dxfId="41" priority="4" stopIfTrue="1">
      <formula>+AND(M32&gt;=#REF!,M32&lt;=#REF!)</formula>
    </cfRule>
  </conditionalFormatting>
  <conditionalFormatting sqref="N115:O115 N140:Q140">
    <cfRule type="cellIs" dxfId="40" priority="2" stopIfTrue="1" operator="equal">
      <formula>$C$16</formula>
    </cfRule>
  </conditionalFormatting>
  <conditionalFormatting sqref="P115:Q115">
    <cfRule type="cellIs" dxfId="39" priority="1" stopIfTrue="1" operator="equal">
      <formula>$C$16</formula>
    </cfRule>
  </conditionalFormatting>
  <dataValidations count="9">
    <dataValidation type="list" allowBlank="1" showInputMessage="1" showErrorMessage="1" sqref="B107 G6">
      <formula1>Component</formula1>
    </dataValidation>
    <dataValidation type="list" allowBlank="1" showInputMessage="1" showErrorMessage="1" sqref="C107:C110">
      <formula1>Medicaments</formula1>
    </dataValidation>
    <dataValidation type="list" allowBlank="1" showInputMessage="1" showErrorMessage="1" sqref="C16">
      <formula1>PERIOD</formula1>
    </dataValidation>
    <dataValidation type="list" allowBlank="1" showInputMessage="1" showErrorMessage="1" sqref="G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s>
  <pageMargins left="0.70866141732283472" right="0.70866141732283472" top="0.74803149606299213" bottom="0.74803149606299213" header="0.31496062992125984" footer="0.31496062992125984"/>
  <pageSetup paperSize="8" scale="90" orientation="landscape" r:id="rId1"/>
  <headerFooter>
    <oddFooter>&amp;L&amp;F&amp;C&amp;A&amp;RV1.0          &amp;D</oddFooter>
  </headerFooter>
  <rowBreaks count="1" manualBreakCount="1">
    <brk id="47"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I11" sqref="I11:J11"/>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9.5703125" style="3" customWidth="1"/>
    <col min="8" max="8" width="16.85546875" style="3" customWidth="1"/>
    <col min="9" max="9" width="7.285156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09"/>
      <c r="H1" s="2"/>
      <c r="I1" s="2"/>
      <c r="J1" s="2"/>
    </row>
    <row r="2" spans="1:24" ht="25.5" customHeight="1"/>
    <row r="3" spans="1:24" ht="36">
      <c r="B3" s="664" t="str">
        <f>+"Dashboard: "&amp;" "&amp;+IF('Introducerea datelor'!C4="Please Select","",'Introducerea datelor'!C4&amp;" - ")&amp;+IF('Introducerea datelor'!G6="Please Select","",'Introducerea datelor'!G6)</f>
        <v>Dashboard:  Moldova - TB</v>
      </c>
      <c r="C3" s="664"/>
      <c r="D3" s="664"/>
      <c r="E3" s="664"/>
      <c r="F3" s="664"/>
      <c r="G3" s="664"/>
      <c r="H3" s="664"/>
      <c r="I3" s="664"/>
      <c r="J3" s="66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06" t="s">
        <v>55</v>
      </c>
      <c r="B6" s="666" t="str">
        <f>+IF('Introducerea datelor'!C4="Please Select","",'Introducerea datelor'!C4)</f>
        <v>Moldova</v>
      </c>
      <c r="C6" s="666"/>
      <c r="D6" s="670" t="s">
        <v>41</v>
      </c>
      <c r="E6" s="670"/>
      <c r="F6" s="671" t="str">
        <f>+'Introducerea datelor'!G4</f>
        <v>Empowerment of people with TB and Communities in Moldova</v>
      </c>
      <c r="G6" s="671"/>
      <c r="H6" s="671"/>
      <c r="I6" s="671"/>
      <c r="J6" s="671"/>
      <c r="K6" s="47"/>
      <c r="L6" s="78"/>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25.5" customHeight="1">
      <c r="A9" s="289" t="s">
        <v>56</v>
      </c>
      <c r="B9" s="261" t="str">
        <f>+IF('Introducerea datelor'!G6="Please Select","",'Introducerea datelor'!G6)</f>
        <v>TB</v>
      </c>
      <c r="C9" s="182" t="s">
        <v>328</v>
      </c>
      <c r="D9" s="262" t="str">
        <f>+'Introducerea datelor'!C6</f>
        <v>MOL-T-PAS</v>
      </c>
      <c r="E9" s="668" t="s">
        <v>42</v>
      </c>
      <c r="F9" s="668"/>
      <c r="G9" s="263" t="str">
        <f>+IF(ISBLANK('Introducerea datelor'!C10),"",'Introducerea datelor'!C10)</f>
        <v>January 01, 2010</v>
      </c>
      <c r="H9" s="289" t="s">
        <v>329</v>
      </c>
      <c r="I9" s="667">
        <f>+IF(ISBLANK('Introducerea datelor'!I6),"",'Introducerea datelor'!I6)</f>
        <v>7434590.7199999997</v>
      </c>
      <c r="J9" s="667"/>
      <c r="K9" s="47"/>
      <c r="L9" s="47"/>
      <c r="M9" s="47"/>
      <c r="N9" s="47"/>
      <c r="O9" s="49"/>
      <c r="P9" s="48"/>
      <c r="Q9" s="49"/>
      <c r="R9" s="50"/>
      <c r="S9" s="17"/>
      <c r="T9" s="11"/>
      <c r="U9" s="11"/>
      <c r="V9" s="10"/>
      <c r="W9" s="10"/>
      <c r="X9" s="10"/>
    </row>
    <row r="10" spans="1:24" ht="25.5" customHeight="1">
      <c r="A10" s="289" t="s">
        <v>326</v>
      </c>
      <c r="B10" s="264" t="str">
        <f>+IF('Introducerea datelor'!G8="Please Select","",'Introducerea datelor'!G8)</f>
        <v>Round 9</v>
      </c>
      <c r="C10" s="182" t="s">
        <v>325</v>
      </c>
      <c r="D10" s="265" t="str">
        <f>+IF('Introducerea datelor'!I8="Please Select","",'Introducerea datelor'!I8)</f>
        <v>Phase 2</v>
      </c>
      <c r="E10" s="669" t="s">
        <v>284</v>
      </c>
      <c r="F10" s="669"/>
      <c r="G10" s="665" t="str">
        <f>+'Introducerea datelor'!C8</f>
        <v>PAS Center</v>
      </c>
      <c r="H10" s="665"/>
      <c r="I10" s="665"/>
      <c r="J10" s="665"/>
      <c r="K10" s="51"/>
      <c r="L10" s="51"/>
      <c r="M10" s="47"/>
      <c r="N10" s="51"/>
      <c r="O10" s="49"/>
      <c r="P10" s="48"/>
      <c r="Q10" s="11"/>
      <c r="R10" s="50"/>
      <c r="S10" s="17"/>
      <c r="T10" s="11"/>
      <c r="U10" s="11"/>
    </row>
    <row r="11" spans="1:24" ht="25.5" customHeight="1">
      <c r="A11" s="289" t="s">
        <v>50</v>
      </c>
      <c r="B11" s="266" t="str">
        <f>+'Introducerea datelor'!C16</f>
        <v>P12</v>
      </c>
      <c r="C11" s="249" t="s">
        <v>283</v>
      </c>
      <c r="D11" s="267">
        <f>+IF(ISBLANK('Introducerea datelor'!E16),"",'Introducerea datelor'!E16)</f>
        <v>42005</v>
      </c>
      <c r="E11" s="668" t="s">
        <v>51</v>
      </c>
      <c r="F11" s="668"/>
      <c r="G11" s="267">
        <f>+IF(ISBLANK('Introducerea datelor'!G16),"",'Introducerea datelor'!G16)</f>
        <v>42185</v>
      </c>
      <c r="H11" s="289" t="s">
        <v>58</v>
      </c>
      <c r="I11" s="672" t="str">
        <f>+IF('Introducerea datelor'!C12="Please Select","",'Introducerea datelor'!C12)</f>
        <v>A1</v>
      </c>
      <c r="J11" s="672"/>
      <c r="K11" s="208"/>
      <c r="L11" s="51"/>
      <c r="M11" s="47"/>
      <c r="N11" s="51"/>
      <c r="O11" s="51"/>
      <c r="P11" s="48"/>
      <c r="Q11" s="11"/>
      <c r="R11" s="50"/>
      <c r="S11" s="17"/>
      <c r="T11" s="12"/>
      <c r="U11" s="11"/>
    </row>
    <row r="12" spans="1:24" ht="25.5" customHeight="1">
      <c r="A12" s="289" t="s">
        <v>60</v>
      </c>
      <c r="B12" s="665" t="str">
        <f>+IF('Introducerea datelor'!G10="Please Select","",'Introducerea datelor'!G10)</f>
        <v>PwC (PricewaterhouseCoopers)</v>
      </c>
      <c r="C12" s="665"/>
      <c r="D12" s="665"/>
      <c r="E12" s="669" t="s">
        <v>302</v>
      </c>
      <c r="F12" s="669"/>
      <c r="G12" s="665" t="str">
        <f>+'Introducerea datelor'!G12</f>
        <v>Tsovinar Sakanyan</v>
      </c>
      <c r="H12" s="665"/>
      <c r="I12" s="665"/>
      <c r="J12" s="665"/>
      <c r="K12" s="51"/>
      <c r="L12" s="51"/>
      <c r="M12" s="47"/>
      <c r="N12" s="51"/>
      <c r="O12" s="17"/>
      <c r="P12" s="48"/>
      <c r="Q12" s="11"/>
      <c r="R12" s="50"/>
      <c r="S12" s="17"/>
      <c r="T12" s="11"/>
      <c r="U12" s="52"/>
      <c r="V12" s="11"/>
      <c r="W12" s="12"/>
      <c r="X12" s="11"/>
    </row>
    <row r="13" spans="1:24" ht="25.5" customHeight="1">
      <c r="A13" s="289" t="s">
        <v>61</v>
      </c>
      <c r="B13" s="665" t="str">
        <f>+'Introducerea datelor'!D18</f>
        <v>PAS Center</v>
      </c>
      <c r="C13" s="665"/>
      <c r="D13" s="665"/>
      <c r="E13" s="669" t="s">
        <v>59</v>
      </c>
      <c r="F13" s="669"/>
      <c r="G13" s="673">
        <f>+IF(ISBLANK('Introducerea datelor'!J16),"",'Introducerea datelor'!J16)</f>
        <v>42241</v>
      </c>
      <c r="H13" s="674"/>
      <c r="I13" s="674"/>
      <c r="J13" s="674"/>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89"/>
      <c r="D16" s="16"/>
      <c r="E16" s="290"/>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2" zoomScale="148" zoomScaleNormal="148" workbookViewId="0">
      <selection activeCell="I35" sqref="I35"/>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18.75" customHeight="1">
      <c r="B2" s="675" t="str">
        <f>+"Dashboard:  "&amp;"  "&amp;IF(+'Introducerea datelor'!C4="Please Select","",'Introducerea datelor'!C4&amp;" - ")&amp;IF('Introducerea datelor'!G6="Please Select","",'Introducerea datelor'!G6)</f>
        <v>Dashboard:    Moldova - TB</v>
      </c>
      <c r="C2" s="675"/>
      <c r="D2" s="675"/>
      <c r="E2" s="675"/>
      <c r="F2" s="675"/>
      <c r="G2" s="675"/>
      <c r="H2" s="675"/>
      <c r="I2" s="675"/>
      <c r="J2" s="675"/>
      <c r="K2" s="675"/>
      <c r="L2" s="1"/>
      <c r="M2" s="1"/>
      <c r="N2" s="1"/>
      <c r="O2" s="1"/>
    </row>
    <row r="3" spans="2:15" ht="11.25" customHeight="1">
      <c r="B3" s="107" t="str">
        <f>+IF('Introducerea datelor'!G8="Please Select","",'Introducerea datelor'!G8)</f>
        <v>Round 9</v>
      </c>
      <c r="C3" s="680" t="str">
        <f>+IF('Introducerea datelor'!I8="Please Select","",'Introducerea datelor'!I8)</f>
        <v>Phase 2</v>
      </c>
      <c r="D3" s="680"/>
      <c r="E3" s="679"/>
      <c r="F3" s="679"/>
      <c r="G3" s="679"/>
      <c r="H3" s="679"/>
      <c r="I3" s="677" t="str">
        <f>+'Introducerea datelor'!B16</f>
        <v>Report Period(Perioada de Raportare):</v>
      </c>
      <c r="J3" s="677"/>
      <c r="K3" s="161" t="str">
        <f>+'Introducerea datelor'!C16</f>
        <v>P12</v>
      </c>
      <c r="L3" s="79"/>
    </row>
    <row r="4" spans="2:15">
      <c r="B4" s="107" t="str">
        <f>+'Introducerea datelor'!B12</f>
        <v>Latest Rating (Ultimul Rating):</v>
      </c>
      <c r="C4" s="681" t="str">
        <f>+IF('Introducerea datelor'!C12="Please Select","",'Introducerea datelor'!C12)</f>
        <v>A1</v>
      </c>
      <c r="D4" s="681"/>
      <c r="E4" s="679" t="str">
        <f>+'Introducerea datelor'!C8</f>
        <v>PAS Center</v>
      </c>
      <c r="F4" s="679"/>
      <c r="G4" s="679"/>
      <c r="H4" s="679"/>
      <c r="I4" s="677" t="str">
        <f>+'Introducerea datelor'!D16</f>
        <v>From(De la):</v>
      </c>
      <c r="J4" s="678"/>
      <c r="K4" s="163">
        <f>+IF(ISBLANK('Introducerea datelor'!E16),"",'Introducerea datelor'!E16)</f>
        <v>42005</v>
      </c>
    </row>
    <row r="5" spans="2:15" ht="18.75" customHeight="1">
      <c r="B5" s="107"/>
      <c r="C5" s="107"/>
      <c r="D5" s="676" t="str">
        <f>+'Introducerea datelor'!G4</f>
        <v>Empowerment of people with TB and Communities in Moldova</v>
      </c>
      <c r="E5" s="676"/>
      <c r="F5" s="676"/>
      <c r="G5" s="676"/>
      <c r="H5" s="676"/>
      <c r="I5" s="676"/>
      <c r="J5" s="107" t="str">
        <f>+'Introducerea datelor'!F16</f>
        <v>To(Pînă la):</v>
      </c>
      <c r="K5" s="163">
        <f>+IF(ISBLANK('Introducerea datelor'!G16),"",'Introducerea datelor'!G16)</f>
        <v>42185</v>
      </c>
    </row>
    <row r="6" spans="2:15" ht="18.75">
      <c r="B6" s="111"/>
      <c r="C6" s="107"/>
      <c r="D6" s="108"/>
      <c r="E6" s="682" t="s">
        <v>92</v>
      </c>
      <c r="F6" s="682"/>
      <c r="G6" s="682"/>
      <c r="H6" s="682"/>
      <c r="I6" s="3"/>
      <c r="J6" s="3"/>
      <c r="K6" s="3"/>
    </row>
    <row r="7" spans="2:15" ht="10.5" customHeight="1">
      <c r="B7" s="112"/>
      <c r="C7" s="113"/>
      <c r="D7" s="114"/>
      <c r="E7" s="115"/>
      <c r="F7" s="115"/>
      <c r="G7" s="116"/>
      <c r="H7" s="116"/>
      <c r="I7" s="110"/>
      <c r="J7" s="110"/>
      <c r="K7" s="109"/>
    </row>
    <row r="8" spans="2:15" ht="27" customHeight="1">
      <c r="B8" s="685" t="str">
        <f>+'Introducerea datelor'!B27&amp; " - in ("&amp;'Introducerea datelor'!D26&amp;")         "&amp;+I3&amp;" "&amp;+K3</f>
        <v>F1:  Budget and disbursements by Global Fund (Bugetul și debursările de către Fondul Global) - in (€)         Report Period(Perioada de Raportare): P12</v>
      </c>
      <c r="C8" s="685"/>
      <c r="D8" s="685"/>
      <c r="E8" s="685"/>
      <c r="F8" s="685"/>
      <c r="H8" s="685" t="str">
        <f>+'Introducerea datelor'!B48&amp; " - in ("&amp;'Introducerea datelor'!D26&amp;")         "&amp;+I3&amp;" "&amp;+K3</f>
        <v>F3:Disbursements and expenditures (Debursări și cheltuieli) - in (€)         Report Period(Perioada de Raportare): P12</v>
      </c>
      <c r="I8" s="685"/>
      <c r="J8" s="685"/>
      <c r="K8" s="685"/>
    </row>
    <row r="9" spans="2:15" ht="29.25" customHeight="1">
      <c r="B9" s="270" t="s">
        <v>39</v>
      </c>
      <c r="C9" s="689" t="s">
        <v>513</v>
      </c>
      <c r="D9" s="690"/>
      <c r="E9" s="690"/>
      <c r="F9" s="691"/>
      <c r="H9" s="271" t="s">
        <v>39</v>
      </c>
      <c r="I9" s="695" t="s">
        <v>514</v>
      </c>
      <c r="J9" s="690"/>
      <c r="K9" s="69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ht="27" customHeight="1">
      <c r="A21" s="19"/>
      <c r="B21" s="19"/>
      <c r="C21" s="19"/>
      <c r="D21" s="19"/>
      <c r="E21" s="19"/>
      <c r="F21" s="19"/>
      <c r="G21" s="19"/>
      <c r="H21" s="19"/>
      <c r="I21" s="19"/>
      <c r="J21" s="19"/>
      <c r="K21" s="19"/>
    </row>
    <row r="22" spans="1:11" ht="39" customHeight="1">
      <c r="B22" s="688" t="str">
        <f>+'Introducerea datelor'!B36&amp; " - in ("&amp;'Introducerea datelor'!D26&amp;")  "&amp;+I3&amp;" "&amp;+K3</f>
        <v>F2:  Budget and actual expenditures by Grant Objective (Bugetul și cheltuielile actuale după Obiectivele Grantului) - in (€)  Report Period(Perioada de Raportare): P12</v>
      </c>
      <c r="C22" s="688"/>
      <c r="D22" s="688"/>
      <c r="E22" s="688"/>
      <c r="F22" s="688"/>
      <c r="H22" s="688" t="str">
        <f>+'Introducerea datelor'!B57&amp;"      "&amp;+I3&amp;" "&amp;+K3</f>
        <v>F4:  Latest PR reporting and disbursement cycle (Ultima perioadă de raportare și debursare a RP)       Report Period(Perioada de Raportare): P12</v>
      </c>
      <c r="I22" s="688"/>
      <c r="J22" s="688"/>
      <c r="K22" s="688"/>
    </row>
    <row r="23" spans="1:11" ht="21" customHeight="1">
      <c r="B23" s="271" t="s">
        <v>40</v>
      </c>
      <c r="C23" s="695" t="s">
        <v>515</v>
      </c>
      <c r="D23" s="696"/>
      <c r="E23" s="696"/>
      <c r="F23" s="697"/>
      <c r="G23" s="287"/>
      <c r="H23" s="271" t="s">
        <v>39</v>
      </c>
      <c r="I23" s="692" t="s">
        <v>496</v>
      </c>
      <c r="J23" s="693"/>
      <c r="K23" s="694"/>
    </row>
    <row r="24" spans="1:11" ht="10.5" customHeight="1" thickBot="1">
      <c r="B24" s="170"/>
      <c r="C24" s="170"/>
      <c r="D24" s="170"/>
      <c r="E24" s="170"/>
      <c r="F24" s="170"/>
      <c r="G24" s="170"/>
      <c r="H24" s="171"/>
      <c r="I24" s="171"/>
      <c r="J24" s="170"/>
      <c r="K24" s="170"/>
    </row>
    <row r="25" spans="1:11" ht="25.5" customHeight="1" thickBot="1">
      <c r="B25" s="3"/>
      <c r="C25" s="3"/>
      <c r="D25" s="3"/>
      <c r="E25" s="3"/>
      <c r="F25" s="3"/>
      <c r="G25" s="247"/>
      <c r="H25" s="698" t="s">
        <v>315</v>
      </c>
      <c r="I25" s="699"/>
      <c r="J25" s="699"/>
      <c r="K25" s="700"/>
    </row>
    <row r="26" spans="1:11" ht="18.75" customHeight="1">
      <c r="B26" s="3"/>
      <c r="C26" s="3"/>
      <c r="D26" s="3"/>
      <c r="E26" s="3"/>
      <c r="F26" s="3"/>
      <c r="G26" s="219"/>
      <c r="H26" s="701"/>
      <c r="I26" s="702"/>
      <c r="J26" s="229" t="s">
        <v>90</v>
      </c>
      <c r="K26" s="230" t="s">
        <v>91</v>
      </c>
    </row>
    <row r="27" spans="1:11" ht="23.25" customHeight="1">
      <c r="B27" s="3"/>
      <c r="C27" s="3"/>
      <c r="D27" s="3"/>
      <c r="E27" s="3"/>
      <c r="F27" s="3"/>
      <c r="G27" s="248"/>
      <c r="H27" s="683" t="str">
        <f>'Introducerea datelor'!B61</f>
        <v>Days taken to submit final PU/DR to LFA (Zile necesare pentru remiterea PU/DR final către ALF)</v>
      </c>
      <c r="I27" s="684"/>
      <c r="J27" s="231">
        <f>+'Introducerea datelor'!C61</f>
        <v>45</v>
      </c>
      <c r="K27" s="228">
        <f>+'Introducerea datelor'!D61</f>
        <v>45</v>
      </c>
    </row>
    <row r="28" spans="1:11" ht="21" customHeight="1">
      <c r="B28" s="3"/>
      <c r="C28" s="3"/>
      <c r="D28" s="3"/>
      <c r="E28" s="3"/>
      <c r="F28" s="3"/>
      <c r="G28" s="248"/>
      <c r="H28" s="683" t="str">
        <f>'Introducerea datelor'!B62</f>
        <v>Days taken for disbursement to reach PR (Zile necesare pentru debursare către RP)</v>
      </c>
      <c r="I28" s="684"/>
      <c r="J28" s="231">
        <f>+'Introducerea datelor'!C62</f>
        <v>45</v>
      </c>
      <c r="K28" s="228">
        <f>+'Introducerea datelor'!D62</f>
        <v>45</v>
      </c>
    </row>
    <row r="29" spans="1:11" ht="21" customHeight="1" thickBot="1">
      <c r="B29" s="3"/>
      <c r="C29" s="3"/>
      <c r="D29" s="3"/>
      <c r="E29" s="3"/>
      <c r="F29" s="3"/>
      <c r="G29" s="248"/>
      <c r="H29" s="686" t="str">
        <f>'Introducerea datelor'!B63</f>
        <v>Days taken for disbursement to reach SRs  (Zile necesare pentru debursare către SR)</v>
      </c>
      <c r="I29" s="687"/>
      <c r="J29" s="232">
        <f>+'Introducerea datelor'!C63</f>
        <v>20</v>
      </c>
      <c r="K29" s="233">
        <f>+'Introducerea datelor'!D63</f>
        <v>5</v>
      </c>
    </row>
    <row r="30" spans="1:11">
      <c r="B30" s="3"/>
      <c r="C30" s="3"/>
      <c r="D30" s="3"/>
      <c r="E30" s="3"/>
      <c r="F30" s="3"/>
      <c r="G30" s="3"/>
      <c r="H30" s="3"/>
      <c r="I30" s="3"/>
      <c r="J30" s="3"/>
      <c r="K30" s="3"/>
    </row>
    <row r="31" spans="1:11">
      <c r="B31" s="3"/>
      <c r="C31" s="15"/>
      <c r="D31" s="190"/>
      <c r="E31" s="3"/>
      <c r="F31" s="3"/>
      <c r="G31" s="3"/>
      <c r="H31" s="3"/>
      <c r="I31" s="3"/>
      <c r="J31" s="3"/>
      <c r="K31" s="3"/>
    </row>
    <row r="32" spans="1:11">
      <c r="B32" s="3"/>
      <c r="C32" s="15"/>
      <c r="D32" s="190"/>
      <c r="E32" s="3"/>
      <c r="F32" s="3"/>
      <c r="G32" s="3"/>
      <c r="H32" s="3"/>
      <c r="I32" s="3"/>
      <c r="J32" s="3"/>
      <c r="K32" s="3"/>
    </row>
    <row r="34" spans="5:5">
      <c r="E34" s="19"/>
    </row>
  </sheetData>
  <mergeCells count="22">
    <mergeCell ref="E6:H6"/>
    <mergeCell ref="H27:I27"/>
    <mergeCell ref="H8:K8"/>
    <mergeCell ref="H29:I29"/>
    <mergeCell ref="H28:I28"/>
    <mergeCell ref="B22:F22"/>
    <mergeCell ref="H22:K22"/>
    <mergeCell ref="B8:F8"/>
    <mergeCell ref="C9:F9"/>
    <mergeCell ref="I23:K23"/>
    <mergeCell ref="C23:F23"/>
    <mergeCell ref="I9:K9"/>
    <mergeCell ref="H25:K25"/>
    <mergeCell ref="H26:I26"/>
    <mergeCell ref="B2:K2"/>
    <mergeCell ref="D5:I5"/>
    <mergeCell ref="I4:J4"/>
    <mergeCell ref="I3:J3"/>
    <mergeCell ref="E3:H3"/>
    <mergeCell ref="C3:D3"/>
    <mergeCell ref="C4:D4"/>
    <mergeCell ref="E4:H4"/>
  </mergeCells>
  <phoneticPr fontId="30" type="noConversion"/>
  <conditionalFormatting sqref="K27:K29">
    <cfRule type="cellIs" dxfId="35" priority="4" stopIfTrue="1" operator="greaterThan">
      <formula>J27</formula>
    </cfRule>
    <cfRule type="cellIs" dxfId="34" priority="5" stopIfTrue="1" operator="between">
      <formula>J27</formula>
      <formula>1</formula>
    </cfRule>
    <cfRule type="cellIs" dxfId="33" priority="6" stopIfTrue="1" operator="equal">
      <formula>0</formula>
    </cfRule>
  </conditionalFormatting>
  <conditionalFormatting sqref="C4:D4">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Normal="100" workbookViewId="0">
      <selection activeCell="Q11" sqref="Q11"/>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86"/>
      <c r="E1" s="187"/>
    </row>
    <row r="2" spans="1:16" ht="27.75" customHeight="1">
      <c r="B2" s="704" t="str">
        <f>+"Dashboard:  "&amp;"  "&amp;IF(+'Introducerea datelor'!C4="Please Select","",'Introducerea datelor'!C4&amp;" - ")&amp;IF('Introducerea datelor'!G6="Please Select","",'Introducerea datelor'!G6)</f>
        <v>Dashboard:    Moldova - TB</v>
      </c>
      <c r="C2" s="704"/>
      <c r="D2" s="704"/>
      <c r="E2" s="704"/>
      <c r="F2" s="704"/>
      <c r="G2" s="704"/>
      <c r="H2" s="704"/>
      <c r="I2" s="704"/>
      <c r="J2" s="704"/>
      <c r="K2" s="704"/>
      <c r="L2" s="704"/>
      <c r="M2" s="25"/>
      <c r="N2" s="25"/>
      <c r="O2" s="25"/>
      <c r="P2" s="25"/>
    </row>
    <row r="3" spans="1:16">
      <c r="B3" s="23" t="str">
        <f>+IF('Introducerea datelor'!G8="Please Select","",'Introducerea datelor'!G8)</f>
        <v>Round 9</v>
      </c>
      <c r="C3" s="712" t="str">
        <f>+IF('Introducerea datelor'!I8="Please Select","",'Introducerea datelor'!I8)</f>
        <v>Phase 2</v>
      </c>
      <c r="D3" s="712"/>
      <c r="E3" s="706"/>
      <c r="F3" s="706"/>
      <c r="G3" s="706"/>
      <c r="H3" s="706"/>
      <c r="I3" s="706"/>
      <c r="J3" s="707" t="str">
        <f>+'Introducerea datelor'!B16</f>
        <v>Report Period(Perioada de Raportare):</v>
      </c>
      <c r="K3" s="707"/>
      <c r="L3" s="161" t="str">
        <f>+'Introducerea datelor'!C16</f>
        <v>P12</v>
      </c>
    </row>
    <row r="4" spans="1:16">
      <c r="B4" s="23" t="str">
        <f>+'Introducerea datelor'!B12</f>
        <v>Latest Rating (Ultimul Rating):</v>
      </c>
      <c r="C4" s="681" t="str">
        <f>+IF('Introducerea datelor'!C12="Please Select","",'Introducerea datelor'!C12)</f>
        <v>A1</v>
      </c>
      <c r="D4" s="681"/>
      <c r="E4" s="706" t="str">
        <f>+'Introducerea datelor'!C8</f>
        <v>PAS Center</v>
      </c>
      <c r="F4" s="706"/>
      <c r="G4" s="706"/>
      <c r="H4" s="706"/>
      <c r="I4" s="706"/>
      <c r="J4" s="707" t="str">
        <f>+'Introducerea datelor'!D16</f>
        <v>From(De la):</v>
      </c>
      <c r="K4" s="708"/>
      <c r="L4" s="163">
        <f>+IF(ISBLANK('Introducerea datelor'!E16),"",'Introducerea datelor'!E16)</f>
        <v>42005</v>
      </c>
    </row>
    <row r="5" spans="1:16" ht="18.75" customHeight="1">
      <c r="B5" s="23"/>
      <c r="C5" s="23"/>
      <c r="D5" s="706" t="str">
        <f>+'Introducerea datelor'!G4</f>
        <v>Empowerment of people with TB and Communities in Moldova</v>
      </c>
      <c r="E5" s="706"/>
      <c r="F5" s="706"/>
      <c r="G5" s="706"/>
      <c r="H5" s="706"/>
      <c r="I5" s="706"/>
      <c r="J5" s="706"/>
      <c r="K5" s="23" t="str">
        <f>+'Introducerea datelor'!F16</f>
        <v>To(Pînă la):</v>
      </c>
      <c r="L5" s="163">
        <f>+IF(ISBLANK('Introducerea datelor'!G16),"",'Introducerea datelor'!G16)</f>
        <v>42185</v>
      </c>
    </row>
    <row r="6" spans="1:16" ht="18.75">
      <c r="B6" s="22"/>
      <c r="C6" s="23"/>
      <c r="D6" s="24"/>
      <c r="E6" s="705" t="s">
        <v>93</v>
      </c>
      <c r="F6" s="705"/>
      <c r="G6" s="705"/>
      <c r="H6" s="705"/>
      <c r="I6" s="705"/>
    </row>
    <row r="7" spans="1:16" ht="42.75" customHeight="1">
      <c r="B7" s="703" t="str">
        <f>+'Introducerea datelor'!B68&amp;"                "&amp;+J3&amp;" "&amp;+L3</f>
        <v>M1:  Status of Conditions Precedent (CPs) and Time Bound Actions (TBAs) (Statutul Condițiilor Precedente și a Acțiunilor Prestabilite în Timp)                 Report Period(Perioada de Raportare): P12</v>
      </c>
      <c r="C7" s="703"/>
      <c r="D7" s="703"/>
      <c r="E7" s="703"/>
      <c r="F7" s="703"/>
      <c r="H7" s="703" t="str">
        <f>+'Introducerea datelor'!B75&amp;"                                                                             "&amp;+J3&amp;"  "&amp;+L3</f>
        <v>M2:  Status of key PR management positions (Statutul pozițiilor cheie a RP)                                                                              Report Period(Perioada de Raportare):  P12</v>
      </c>
      <c r="I7" s="703"/>
      <c r="J7" s="703"/>
      <c r="K7" s="703"/>
      <c r="L7" s="703"/>
    </row>
    <row r="8" spans="1:16">
      <c r="B8" s="272" t="s">
        <v>39</v>
      </c>
      <c r="C8" s="692" t="s">
        <v>497</v>
      </c>
      <c r="D8" s="693"/>
      <c r="E8" s="693"/>
      <c r="F8" s="694"/>
      <c r="G8" s="288"/>
      <c r="H8" s="271" t="s">
        <v>39</v>
      </c>
      <c r="I8" s="695" t="s">
        <v>498</v>
      </c>
      <c r="J8" s="710"/>
      <c r="K8" s="710"/>
      <c r="L8" s="711"/>
    </row>
    <row r="9" spans="1:16">
      <c r="B9" s="19"/>
      <c r="C9" s="19"/>
      <c r="D9" s="19"/>
      <c r="E9" s="19"/>
      <c r="F9" s="19"/>
      <c r="G9" s="19"/>
      <c r="H9" s="19"/>
    </row>
    <row r="10" spans="1:16">
      <c r="A10" s="44"/>
      <c r="B10" s="19"/>
      <c r="C10" s="19"/>
      <c r="D10" s="716"/>
      <c r="E10" s="615"/>
      <c r="F10" s="615"/>
      <c r="G10" s="166"/>
      <c r="H10" s="19"/>
      <c r="N10" s="46"/>
      <c r="O10" s="46"/>
      <c r="P10" s="45"/>
    </row>
    <row r="11" spans="1:16">
      <c r="B11" s="19"/>
      <c r="C11" s="27"/>
      <c r="D11" s="716"/>
      <c r="E11" s="27"/>
      <c r="F11" s="27"/>
      <c r="G11" s="27"/>
      <c r="H11" s="27"/>
      <c r="N11" s="19"/>
      <c r="O11" s="19"/>
    </row>
    <row r="12" spans="1:16">
      <c r="B12" s="27"/>
      <c r="C12" s="75"/>
      <c r="D12" s="76"/>
      <c r="E12" s="76"/>
      <c r="F12" s="76"/>
      <c r="G12" s="76"/>
      <c r="H12" s="77"/>
    </row>
    <row r="13" spans="1:16">
      <c r="B13" s="27"/>
      <c r="C13" s="75"/>
      <c r="D13" s="76"/>
      <c r="E13" s="76"/>
      <c r="F13" s="76"/>
      <c r="G13" s="76"/>
      <c r="H13" s="77"/>
    </row>
    <row r="15" spans="1:16" ht="27.75" customHeight="1">
      <c r="B15" s="703" t="str">
        <f>+'Introducerea datelor'!B80&amp;"                                                                                                  "&amp;+J3&amp;" "&amp;+L3</f>
        <v>M3:  Contractual arrangements (SRs)  (Aranjamente contractuale (SR))                                                                                                   Report Period(Perioada de Raportare): P12</v>
      </c>
      <c r="C15" s="703"/>
      <c r="D15" s="703"/>
      <c r="E15" s="703"/>
      <c r="F15" s="703"/>
      <c r="H15" s="703" t="str">
        <f>+'Introducerea datelor'!B85&amp;"                                                             "&amp;+J3&amp;" "&amp;+L3</f>
        <v>M4: Number of complete reports received on time (Numărul rapoartelor complete recepționate la timp)                                                             Report Period(Perioada de Raportare): P12</v>
      </c>
      <c r="I15" s="703"/>
      <c r="J15" s="703"/>
      <c r="K15" s="703"/>
      <c r="L15" s="703"/>
      <c r="M15" s="703"/>
    </row>
    <row r="16" spans="1:16" ht="26.25" customHeight="1">
      <c r="B16" s="272" t="s">
        <v>39</v>
      </c>
      <c r="C16" s="692" t="s">
        <v>499</v>
      </c>
      <c r="D16" s="717"/>
      <c r="E16" s="717"/>
      <c r="F16" s="718"/>
      <c r="G16" s="288"/>
      <c r="H16" s="271" t="s">
        <v>39</v>
      </c>
      <c r="I16" s="692" t="s">
        <v>516</v>
      </c>
      <c r="J16" s="693"/>
      <c r="K16" s="693"/>
      <c r="L16" s="694"/>
    </row>
    <row r="17" spans="2:13">
      <c r="B17" s="28"/>
      <c r="H17" s="29"/>
    </row>
    <row r="18" spans="2:13">
      <c r="M18" s="79"/>
    </row>
    <row r="26" spans="2:13" ht="53.25" customHeight="1">
      <c r="B26" s="703" t="str">
        <f>+'Introducerea datelor'!B91</f>
        <v>M5: Budget and Procurement of health products, health equipment, medicines and pharmaceuticals (Bugetul și Procurarea produselor medicale, echipamentului medical, medicamentelor și produselor farmaceutice )</v>
      </c>
      <c r="C26" s="703"/>
      <c r="D26" s="703"/>
      <c r="E26" s="703"/>
      <c r="F26" s="703"/>
      <c r="H26" s="703" t="str">
        <f>+'Introducerea datelor'!B104&amp;"                                                                "&amp;+J3&amp;"  "&amp;+L3</f>
        <v>M6: Difference between current and safety stock (Diferență între stocul curent și stocul de siguranță)                                                                Report Period(Perioada de Raportare):  P12</v>
      </c>
      <c r="I26" s="703"/>
      <c r="J26" s="703"/>
      <c r="K26" s="703"/>
      <c r="L26" s="703"/>
      <c r="M26" s="703"/>
    </row>
    <row r="27" spans="2:13" ht="33.75" customHeight="1">
      <c r="B27" s="270" t="s">
        <v>39</v>
      </c>
      <c r="C27" s="689"/>
      <c r="D27" s="710"/>
      <c r="E27" s="710"/>
      <c r="F27" s="711"/>
      <c r="G27" s="288"/>
      <c r="H27" s="271" t="s">
        <v>39</v>
      </c>
      <c r="I27" s="692"/>
      <c r="J27" s="693"/>
      <c r="K27" s="693"/>
      <c r="L27" s="694"/>
    </row>
    <row r="28" spans="2:13" ht="15.75" thickBot="1"/>
    <row r="29" spans="2:13" ht="44.25" customHeight="1">
      <c r="F29" s="254"/>
      <c r="G29" s="254"/>
      <c r="H29" s="176" t="s">
        <v>62</v>
      </c>
      <c r="I29" s="250" t="s">
        <v>103</v>
      </c>
      <c r="J29" s="269" t="s">
        <v>336</v>
      </c>
      <c r="K29" s="175" t="s">
        <v>331</v>
      </c>
      <c r="L29" s="251" t="s">
        <v>330</v>
      </c>
    </row>
    <row r="30" spans="2:13" ht="15" customHeight="1">
      <c r="F30" s="254"/>
      <c r="G30" s="254"/>
      <c r="H30" s="713" t="str">
        <f>+'Introducerea datelor'!B107</f>
        <v>TB</v>
      </c>
      <c r="I30" s="252" t="str">
        <f>+'Introducerea datelor'!C107</f>
        <v>Please Select</v>
      </c>
      <c r="J30" s="341" t="str">
        <f>+'Introducerea datelor'!I107</f>
        <v/>
      </c>
      <c r="K30" s="342">
        <f>+'Introducerea datelor'!J107</f>
        <v>0</v>
      </c>
      <c r="L30" s="326" t="str">
        <f>+'Introducerea datelor'!K107</f>
        <v/>
      </c>
    </row>
    <row r="31" spans="2:13">
      <c r="F31" s="254"/>
      <c r="G31" s="254"/>
      <c r="H31" s="714"/>
      <c r="I31" s="252" t="str">
        <f>+'Introducerea datelor'!C108</f>
        <v>Please Select</v>
      </c>
      <c r="J31" s="341" t="str">
        <f>+'Introducerea datelor'!I108</f>
        <v/>
      </c>
      <c r="K31" s="342">
        <f>+'Introducerea datelor'!J108</f>
        <v>0</v>
      </c>
      <c r="L31" s="327" t="str">
        <f>+'Introducerea datelor'!K108</f>
        <v/>
      </c>
    </row>
    <row r="32" spans="2:13">
      <c r="F32" s="254"/>
      <c r="G32" s="254"/>
      <c r="H32" s="714"/>
      <c r="I32" s="252" t="str">
        <f>+'Introducerea datelor'!C109</f>
        <v>Please Select</v>
      </c>
      <c r="J32" s="341" t="str">
        <f>+'Introducerea datelor'!I109</f>
        <v/>
      </c>
      <c r="K32" s="342">
        <f>+'Introducerea datelor'!J109</f>
        <v>0</v>
      </c>
      <c r="L32" s="326" t="str">
        <f>+'Introducerea datelor'!K109</f>
        <v/>
      </c>
    </row>
    <row r="33" spans="2:12" ht="15.75" thickBot="1">
      <c r="F33" s="254"/>
      <c r="G33" s="254"/>
      <c r="H33" s="715"/>
      <c r="I33" s="253" t="str">
        <f>+'Introducerea datelor'!C110</f>
        <v>Please Select</v>
      </c>
      <c r="J33" s="343" t="str">
        <f>+'Introducerea datelor'!I110</f>
        <v/>
      </c>
      <c r="K33" s="344">
        <f>+'Introducerea datelor'!J110</f>
        <v>0</v>
      </c>
      <c r="L33" s="326" t="str">
        <f>+'Introducerea datelor'!K110</f>
        <v/>
      </c>
    </row>
    <row r="34" spans="2:12" ht="24.75" customHeight="1">
      <c r="B34" s="709" t="str">
        <f>+'Introducerea datelor'!B101</f>
        <v>* Includes only EFR category 4 and 5  (Health products and health equipment &amp; Medicines and Pharmaceuticals) (* Include numai EFR categoriile 4 și 5  (Produse medicale și Echipamente medicale &amp; Medicamente și Produse farmaceutice))</v>
      </c>
      <c r="C34" s="709"/>
      <c r="D34" s="709"/>
      <c r="E34" s="709"/>
      <c r="F34" s="19"/>
      <c r="G34" s="19"/>
      <c r="H34" s="172"/>
      <c r="I34" s="173"/>
      <c r="J34" s="174"/>
      <c r="K34" s="166"/>
      <c r="L34" s="20"/>
    </row>
    <row r="35" spans="2:12">
      <c r="F35" s="19"/>
      <c r="G35" s="19"/>
      <c r="H35" s="19"/>
      <c r="I35" s="19"/>
      <c r="J35" s="19"/>
      <c r="K35" s="19"/>
      <c r="L35" s="19"/>
    </row>
  </sheetData>
  <sheetProtection sheet="1" objects="1" scenarios="1"/>
  <mergeCells count="25">
    <mergeCell ref="B15:F15"/>
    <mergeCell ref="H15:M15"/>
    <mergeCell ref="B34:E34"/>
    <mergeCell ref="C27:F27"/>
    <mergeCell ref="C3:D3"/>
    <mergeCell ref="E4:I4"/>
    <mergeCell ref="H30:H33"/>
    <mergeCell ref="I8:L8"/>
    <mergeCell ref="I16:L16"/>
    <mergeCell ref="I27:L27"/>
    <mergeCell ref="D10:D11"/>
    <mergeCell ref="B26:F26"/>
    <mergeCell ref="H26:M26"/>
    <mergeCell ref="C16:F16"/>
    <mergeCell ref="E10:F10"/>
    <mergeCell ref="C8:F8"/>
    <mergeCell ref="B7:F7"/>
    <mergeCell ref="H7:L7"/>
    <mergeCell ref="B2:L2"/>
    <mergeCell ref="C4:D4"/>
    <mergeCell ref="E6:I6"/>
    <mergeCell ref="E3:I3"/>
    <mergeCell ref="J3:K3"/>
    <mergeCell ref="J4:K4"/>
    <mergeCell ref="D5:J5"/>
  </mergeCells>
  <phoneticPr fontId="30"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29"/>
  <sheetViews>
    <sheetView showGridLines="0" topLeftCell="A40" zoomScale="86" zoomScaleNormal="86" workbookViewId="0">
      <selection activeCell="L20" sqref="L20:Q20"/>
    </sheetView>
  </sheetViews>
  <sheetFormatPr defaultColWidth="11" defaultRowHeight="15"/>
  <cols>
    <col min="1" max="1" width="4.140625" customWidth="1"/>
    <col min="2" max="2" width="11.28515625" customWidth="1"/>
    <col min="3" max="3" width="17.5703125" customWidth="1"/>
    <col min="4" max="4" width="11.7109375" customWidth="1"/>
    <col min="5" max="5" width="12.28515625" customWidth="1"/>
    <col min="6" max="6" width="8.85546875" customWidth="1"/>
    <col min="7" max="7" width="8" customWidth="1"/>
    <col min="8" max="8" width="10.42578125" customWidth="1"/>
    <col min="9" max="9" width="4.7109375" customWidth="1"/>
    <col min="10" max="10" width="6.5703125" customWidth="1"/>
    <col min="11" max="11" width="11.140625" customWidth="1"/>
    <col min="12" max="12" width="11.5703125" customWidth="1"/>
    <col min="13" max="13" width="6.140625" customWidth="1"/>
    <col min="14" max="14" width="13" customWidth="1"/>
    <col min="15" max="15" width="10.85546875" customWidth="1"/>
    <col min="16" max="16" width="12.85546875" customWidth="1"/>
    <col min="17" max="17" width="15.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744" t="str">
        <f>+"Dashboard:  "&amp;"  "&amp;IF(+'Introducerea datelor'!C4="Please Select","",'Introducerea datelor'!C4&amp;" - ")&amp;IF('Introducerea datelor'!G6="Please Select","",'Introducerea datelor'!G6)</f>
        <v>Dashboard:    Moldova - TB</v>
      </c>
      <c r="C2" s="744"/>
      <c r="D2" s="744"/>
      <c r="E2" s="744"/>
      <c r="F2" s="744"/>
      <c r="G2" s="744"/>
      <c r="H2" s="744"/>
      <c r="I2" s="744"/>
      <c r="J2" s="744"/>
      <c r="K2" s="744"/>
      <c r="L2" s="744"/>
      <c r="M2" s="744"/>
      <c r="N2" s="744"/>
      <c r="O2" s="744"/>
      <c r="P2" s="744"/>
      <c r="Q2" s="744"/>
    </row>
    <row r="3" spans="1:35" ht="18.75">
      <c r="A3" s="3"/>
      <c r="B3" s="107" t="str">
        <f>+IF('Introducerea datelor'!G8="Please Select","",'Introducerea datelor'!G8)</f>
        <v>Round 9</v>
      </c>
      <c r="C3" s="680" t="str">
        <f>+IF('Introducerea datelor'!I8="Please Select","",'Introducerea datelor'!I8)</f>
        <v>Phase 2</v>
      </c>
      <c r="D3" s="680"/>
      <c r="E3" s="679"/>
      <c r="F3" s="679"/>
      <c r="G3" s="679"/>
      <c r="H3" s="679"/>
      <c r="I3" s="748"/>
      <c r="J3" s="748"/>
      <c r="K3" s="748"/>
      <c r="L3" s="3"/>
      <c r="M3" s="3"/>
      <c r="O3" s="677" t="str">
        <f>+'Introducerea datelor'!B16</f>
        <v>Report Period(Perioada de Raportare):</v>
      </c>
      <c r="P3" s="677"/>
      <c r="Q3" s="162" t="str">
        <f>+'Introducerea datelor'!C16</f>
        <v>P12</v>
      </c>
    </row>
    <row r="4" spans="1:35" ht="12" customHeight="1">
      <c r="A4" s="3"/>
      <c r="B4" s="107" t="str">
        <f>+'Introducerea datelor'!B12</f>
        <v>Latest Rating (Ultimul Rating):</v>
      </c>
      <c r="C4" s="749" t="str">
        <f>+IF('Introducerea datelor'!C12="Please Select","",'Introducerea datelor'!C12)</f>
        <v>A1</v>
      </c>
      <c r="D4" s="749"/>
      <c r="E4" s="679" t="str">
        <f>+'Introducerea datelor'!C8</f>
        <v>PAS Center</v>
      </c>
      <c r="F4" s="679"/>
      <c r="G4" s="679"/>
      <c r="H4" s="679"/>
      <c r="I4" s="679"/>
      <c r="J4" s="679"/>
      <c r="K4" s="679"/>
      <c r="L4" s="679"/>
      <c r="M4" s="3"/>
      <c r="O4" s="256"/>
      <c r="P4" s="107" t="str">
        <f>+'Introducerea datelor'!D16</f>
        <v>From(De la):</v>
      </c>
      <c r="Q4" s="257">
        <f>+IF(ISBLANK('Introducerea datelor'!E16),"",'Introducerea datelor'!E16)</f>
        <v>42005</v>
      </c>
      <c r="Y4" s="67"/>
      <c r="Z4" s="67"/>
      <c r="AA4" s="67"/>
      <c r="AB4" s="67"/>
      <c r="AC4" s="67"/>
    </row>
    <row r="5" spans="1:35" ht="30" customHeight="1">
      <c r="A5" s="3"/>
      <c r="B5" s="107"/>
      <c r="C5" s="107"/>
      <c r="D5" s="745" t="str">
        <f>+'Introducerea datelor'!G4</f>
        <v>Empowerment of people with TB and Communities in Moldova</v>
      </c>
      <c r="E5" s="745"/>
      <c r="F5" s="745"/>
      <c r="G5" s="745"/>
      <c r="H5" s="745"/>
      <c r="I5" s="745"/>
      <c r="J5" s="745"/>
      <c r="K5" s="745"/>
      <c r="L5" s="745"/>
      <c r="M5" s="745"/>
      <c r="N5" s="745"/>
      <c r="P5" s="107" t="str">
        <f>+'Introducerea datelor'!F16</f>
        <v>To(Pînă la):</v>
      </c>
      <c r="Q5" s="257">
        <f>+IF(ISBLANK('Introducerea datelor'!G16),"",'Introducerea datelor'!G16)</f>
        <v>42185</v>
      </c>
      <c r="S5" s="183"/>
      <c r="T5" s="183"/>
      <c r="U5" s="183"/>
      <c r="V5" s="183"/>
      <c r="W5" s="183"/>
      <c r="X5" s="183"/>
      <c r="Y5" s="67"/>
      <c r="Z5" s="67"/>
      <c r="AA5" s="67" t="s">
        <v>72</v>
      </c>
      <c r="AB5" s="67"/>
      <c r="AC5" s="67" t="s">
        <v>281</v>
      </c>
      <c r="AD5" s="183"/>
      <c r="AE5" s="183"/>
      <c r="AF5" s="183"/>
      <c r="AG5" s="183"/>
      <c r="AH5" s="183"/>
      <c r="AI5" s="183"/>
    </row>
    <row r="6" spans="1:35" ht="19.5" customHeight="1">
      <c r="A6" s="3"/>
      <c r="B6" s="107"/>
      <c r="C6" s="107"/>
      <c r="D6" s="181"/>
      <c r="E6" s="181"/>
      <c r="F6" s="747" t="s">
        <v>361</v>
      </c>
      <c r="G6" s="747"/>
      <c r="H6" s="747"/>
      <c r="I6" s="747"/>
      <c r="J6" s="747"/>
      <c r="K6" s="747"/>
      <c r="L6" s="181"/>
      <c r="M6" s="3"/>
      <c r="N6" s="3"/>
      <c r="O6" s="164"/>
      <c r="P6" s="203"/>
      <c r="S6" s="183"/>
      <c r="T6" s="183"/>
      <c r="U6" s="183"/>
      <c r="V6" s="183"/>
      <c r="W6" s="183"/>
      <c r="X6" s="183"/>
      <c r="Y6" s="67"/>
      <c r="Z6" s="67"/>
      <c r="AA6" s="67"/>
      <c r="AB6" s="67"/>
      <c r="AC6" s="67"/>
      <c r="AD6" s="183"/>
      <c r="AE6" s="183"/>
      <c r="AF6" s="183"/>
      <c r="AG6" s="183"/>
      <c r="AH6" s="183"/>
      <c r="AI6" s="183"/>
    </row>
    <row r="7" spans="1:35" ht="3" customHeight="1">
      <c r="A7" s="3"/>
      <c r="B7" s="107"/>
      <c r="C7" s="107"/>
      <c r="D7" s="181"/>
      <c r="E7" s="181"/>
      <c r="F7" s="181"/>
      <c r="G7" s="181"/>
      <c r="H7" s="181"/>
      <c r="I7" s="181"/>
      <c r="J7" s="181"/>
      <c r="K7" s="181"/>
      <c r="L7" s="181"/>
      <c r="M7" s="3"/>
      <c r="N7" s="3"/>
      <c r="O7" s="164"/>
      <c r="P7" s="163"/>
      <c r="Q7" s="163"/>
      <c r="S7" s="183"/>
      <c r="T7" s="183"/>
      <c r="U7" s="183"/>
      <c r="V7" s="183"/>
      <c r="W7" s="183"/>
      <c r="X7" s="183"/>
      <c r="Y7" s="67"/>
      <c r="Z7" s="67"/>
      <c r="AA7" s="67"/>
      <c r="AB7" s="67"/>
      <c r="AC7" s="67"/>
      <c r="AD7" s="183"/>
      <c r="AE7" s="183"/>
      <c r="AF7" s="183"/>
      <c r="AG7" s="183"/>
      <c r="AH7" s="183"/>
      <c r="AI7" s="183"/>
    </row>
    <row r="8" spans="1:35" ht="54.75" customHeight="1">
      <c r="A8" s="3"/>
      <c r="B8" s="750" t="s">
        <v>32</v>
      </c>
      <c r="C8" s="751"/>
      <c r="D8" s="751"/>
      <c r="E8" s="751"/>
      <c r="F8" s="746" t="s">
        <v>33</v>
      </c>
      <c r="G8" s="746"/>
      <c r="H8" s="746"/>
      <c r="I8" s="746"/>
      <c r="J8" s="746"/>
      <c r="K8" s="746"/>
      <c r="L8" s="746" t="s">
        <v>21</v>
      </c>
      <c r="M8" s="746"/>
      <c r="N8" s="746"/>
      <c r="O8" s="746"/>
      <c r="P8" s="746"/>
      <c r="Q8" s="746"/>
      <c r="S8" s="183"/>
      <c r="T8" s="183"/>
      <c r="U8" s="183"/>
      <c r="V8" s="183"/>
      <c r="W8" s="183"/>
      <c r="X8" s="183"/>
      <c r="Y8" s="67"/>
      <c r="Z8" s="67"/>
      <c r="AA8" s="67"/>
      <c r="AB8" s="67"/>
      <c r="AC8" s="67"/>
      <c r="AD8" s="183"/>
      <c r="AE8" s="183"/>
      <c r="AF8" s="183"/>
      <c r="AG8" s="183"/>
      <c r="AH8" s="183"/>
      <c r="AI8" s="183"/>
    </row>
    <row r="9" spans="1:35" ht="84.75" customHeight="1">
      <c r="A9" s="3"/>
      <c r="B9" s="356" t="s">
        <v>370</v>
      </c>
      <c r="C9" s="739" t="str">
        <f>L20</f>
        <v xml:space="preserve">During S9, 858 TB patients registered under DOTS program received incentives for improved treatment compliance.                                                                                                                                                                                           Pe parcursul semestrului 9, 858 pacienți cu TB înregistrați în programul DOTS au primit stimulente pentru îmbunătățirea respectării tratamentului. Indicatorul este atins in proportie de 80,%. </v>
      </c>
      <c r="D9" s="740"/>
      <c r="E9" s="741"/>
      <c r="F9" s="356" t="s">
        <v>371</v>
      </c>
      <c r="G9" s="727" t="str">
        <f>L21</f>
        <v xml:space="preserve">In S9 a total of 316 MDR-TB patients were received incentives for improved treatment compliance . The indicator is achieved.                                                                                                                                                                                                                                             În semestrul 9 un total de 316 de pacienţi MDR-TB au primit stimulente pentru îmbunătățirea respectării tratamentului.  Indicatorul este atins. </v>
      </c>
      <c r="H9" s="730"/>
      <c r="I9" s="730"/>
      <c r="J9" s="730"/>
      <c r="K9" s="731"/>
      <c r="L9" s="356" t="s">
        <v>372</v>
      </c>
      <c r="M9" s="727" t="str">
        <f>L22</f>
        <v xml:space="preserve">During S9 a total of 83 persons were trained, from them: 27 people from multidisciplinary teams of the community center; 25 people from NGOs in DOT and TB community aspects and 31 volunteers trained from the NGOs network in TB community aspects.                                                                                                                                                                                                               Pe parcursul semestrului 9, un total de 83 de persoane au fost instruite, dintre care: 27 persoane din echipele multidisciplinare ale centrelor comunitare; 25 persoane din ONG-uri care implementează activități de DOT și în aspecte comunitare în controlul tuberculozei TB şi 31 voluntari din reţeaua de ONG-uri. </v>
      </c>
      <c r="N9" s="728"/>
      <c r="O9" s="728"/>
      <c r="P9" s="728"/>
      <c r="Q9" s="729"/>
      <c r="S9" s="183"/>
      <c r="T9" s="183"/>
      <c r="U9" s="183"/>
      <c r="V9" s="183"/>
      <c r="W9" s="183"/>
      <c r="X9" s="183"/>
      <c r="Y9" s="183"/>
      <c r="Z9" s="183"/>
      <c r="AA9" s="183"/>
      <c r="AB9" s="183"/>
      <c r="AC9" s="183"/>
      <c r="AD9" s="183"/>
      <c r="AE9" s="183"/>
      <c r="AF9" s="183"/>
      <c r="AG9" s="183"/>
      <c r="AH9" s="183"/>
      <c r="AI9" s="183"/>
    </row>
    <row r="10" spans="1:35" ht="18.75" customHeight="1">
      <c r="A10" s="3"/>
      <c r="B10" s="107"/>
      <c r="C10" s="107"/>
      <c r="D10" s="181"/>
      <c r="E10" s="181"/>
      <c r="F10" s="181"/>
      <c r="G10" s="181"/>
      <c r="H10" s="181"/>
      <c r="I10" s="181"/>
      <c r="J10" s="181"/>
      <c r="K10" s="181"/>
      <c r="L10" s="181"/>
      <c r="M10" s="3"/>
      <c r="N10" s="3"/>
      <c r="O10" s="164"/>
      <c r="P10" s="163"/>
      <c r="S10" s="183"/>
      <c r="T10" s="183"/>
      <c r="U10" s="183"/>
      <c r="V10" s="183"/>
      <c r="W10" s="183"/>
      <c r="X10" s="183"/>
      <c r="Y10" s="183"/>
      <c r="Z10" s="183"/>
      <c r="AA10" s="183"/>
      <c r="AB10" s="183"/>
      <c r="AC10" s="183"/>
      <c r="AD10" s="183"/>
      <c r="AE10" s="183"/>
      <c r="AF10" s="183"/>
      <c r="AG10" s="183"/>
      <c r="AH10" s="183"/>
      <c r="AI10" s="183"/>
    </row>
    <row r="11" spans="1:35" ht="18.75" customHeight="1">
      <c r="A11" s="3"/>
      <c r="B11" s="107"/>
      <c r="C11" s="107"/>
      <c r="D11" s="181"/>
      <c r="E11" s="181"/>
      <c r="F11" s="181"/>
      <c r="G11" s="181"/>
      <c r="H11" s="181"/>
      <c r="I11" s="181"/>
      <c r="J11" s="181"/>
      <c r="K11" s="181"/>
      <c r="L11" s="181"/>
      <c r="M11" s="3"/>
      <c r="N11" s="3"/>
      <c r="O11" s="164"/>
      <c r="P11" s="163"/>
      <c r="S11" s="183"/>
      <c r="T11" s="183"/>
      <c r="U11" s="183"/>
      <c r="V11" s="183"/>
      <c r="W11" s="183"/>
      <c r="X11" s="183"/>
      <c r="Y11" s="183"/>
      <c r="Z11" s="183"/>
      <c r="AA11" s="183"/>
      <c r="AB11" s="183"/>
      <c r="AC11" s="183"/>
      <c r="AD11" s="183"/>
      <c r="AE11" s="183"/>
      <c r="AF11" s="183"/>
      <c r="AG11" s="183"/>
      <c r="AH11" s="183"/>
      <c r="AI11" s="183"/>
    </row>
    <row r="12" spans="1:35" ht="18.75" customHeight="1">
      <c r="A12" s="3"/>
      <c r="B12" s="107"/>
      <c r="C12" s="107"/>
      <c r="D12" s="181"/>
      <c r="E12" s="181"/>
      <c r="F12" s="181"/>
      <c r="G12" s="181"/>
      <c r="H12" s="181"/>
      <c r="I12" s="181"/>
      <c r="J12" s="181"/>
      <c r="K12" s="181"/>
      <c r="L12" s="181"/>
      <c r="M12" s="3"/>
      <c r="N12" s="3"/>
      <c r="O12" s="164"/>
      <c r="P12" s="163"/>
      <c r="S12" s="183"/>
      <c r="T12" s="183"/>
      <c r="U12" s="183"/>
      <c r="V12" s="183"/>
      <c r="W12" s="183"/>
      <c r="X12" s="183"/>
      <c r="Y12" s="183"/>
      <c r="Z12" s="183"/>
      <c r="AA12" s="183"/>
      <c r="AB12" s="183"/>
      <c r="AC12" s="183"/>
      <c r="AD12" s="183"/>
      <c r="AE12" s="183"/>
      <c r="AF12" s="183"/>
      <c r="AG12" s="183"/>
      <c r="AH12" s="183"/>
      <c r="AI12" s="183"/>
    </row>
    <row r="13" spans="1:35" ht="18.75" customHeight="1">
      <c r="A13" s="3"/>
      <c r="B13" s="107"/>
      <c r="C13" s="107"/>
      <c r="D13" s="181"/>
      <c r="E13" s="181"/>
      <c r="F13" s="181"/>
      <c r="G13" s="181"/>
      <c r="H13" s="181"/>
      <c r="I13" s="181"/>
      <c r="J13" s="181"/>
      <c r="K13" s="181"/>
      <c r="L13" s="181"/>
      <c r="M13" s="3"/>
      <c r="N13" s="3"/>
      <c r="O13" s="164"/>
      <c r="P13" s="163"/>
      <c r="S13" s="183"/>
      <c r="T13" s="183"/>
      <c r="U13" s="183"/>
      <c r="V13" s="183"/>
      <c r="W13" s="183"/>
      <c r="X13" s="183"/>
      <c r="Y13" s="183"/>
      <c r="Z13" s="183"/>
      <c r="AA13" s="183"/>
      <c r="AB13" s="183"/>
      <c r="AC13" s="183"/>
      <c r="AD13" s="183"/>
      <c r="AE13" s="183"/>
      <c r="AF13" s="183"/>
      <c r="AG13" s="183"/>
      <c r="AH13" s="183"/>
      <c r="AI13" s="183"/>
    </row>
    <row r="14" spans="1:35" ht="18.75" customHeight="1">
      <c r="A14" s="3"/>
      <c r="B14" s="107"/>
      <c r="C14" s="107"/>
      <c r="D14" s="181"/>
      <c r="E14" s="181"/>
      <c r="F14" s="181"/>
      <c r="G14" s="181"/>
      <c r="H14" s="181"/>
      <c r="I14" s="181"/>
      <c r="J14" s="181"/>
      <c r="K14" s="181"/>
      <c r="L14" s="181"/>
      <c r="M14" s="3"/>
      <c r="N14" s="3"/>
      <c r="O14" s="164"/>
      <c r="P14" s="163"/>
      <c r="S14" s="183"/>
      <c r="T14" s="183"/>
      <c r="U14" s="183"/>
      <c r="V14" s="183"/>
      <c r="W14" s="183"/>
      <c r="X14" s="183"/>
      <c r="Y14" s="183"/>
      <c r="Z14" s="183"/>
      <c r="AA14" s="183"/>
      <c r="AB14" s="183"/>
      <c r="AC14" s="183"/>
      <c r="AD14" s="183"/>
      <c r="AE14" s="183"/>
      <c r="AF14" s="183"/>
      <c r="AG14" s="183"/>
      <c r="AH14" s="183"/>
      <c r="AI14" s="183"/>
    </row>
    <row r="15" spans="1:35" ht="18.75" customHeight="1">
      <c r="A15" s="3"/>
      <c r="B15" s="107"/>
      <c r="C15" s="107"/>
      <c r="D15" s="181"/>
      <c r="E15" s="181"/>
      <c r="F15" s="181"/>
      <c r="G15" s="181"/>
      <c r="H15" s="181"/>
      <c r="I15" s="181"/>
      <c r="J15" s="181"/>
      <c r="K15" s="181"/>
      <c r="L15" s="181"/>
      <c r="M15" s="3"/>
      <c r="N15" s="3"/>
      <c r="O15" s="164"/>
      <c r="P15" s="163"/>
      <c r="S15" s="183"/>
      <c r="T15" s="183"/>
      <c r="U15" s="183"/>
      <c r="V15" s="183"/>
      <c r="W15" s="183"/>
      <c r="X15" s="183"/>
      <c r="Y15" s="183"/>
      <c r="Z15" s="183"/>
      <c r="AA15" s="183"/>
      <c r="AB15" s="183"/>
      <c r="AC15" s="183"/>
      <c r="AD15" s="183"/>
      <c r="AE15" s="183"/>
      <c r="AF15" s="183"/>
      <c r="AG15" s="183"/>
      <c r="AH15" s="183"/>
      <c r="AI15" s="183"/>
    </row>
    <row r="16" spans="1:35" ht="18.75" customHeight="1">
      <c r="A16" s="3"/>
      <c r="B16" s="107"/>
      <c r="C16" s="107"/>
      <c r="D16" s="181"/>
      <c r="E16" s="181"/>
      <c r="F16" s="181"/>
      <c r="G16" s="181"/>
      <c r="H16" s="181"/>
      <c r="I16" s="181"/>
      <c r="J16" s="181"/>
      <c r="K16" s="181"/>
      <c r="L16" s="181"/>
      <c r="M16" s="3"/>
      <c r="N16" s="3"/>
      <c r="O16" s="164"/>
      <c r="P16" s="163"/>
      <c r="S16" s="183"/>
      <c r="T16" s="183"/>
      <c r="U16" s="183"/>
      <c r="V16" s="183"/>
      <c r="W16" s="183"/>
      <c r="X16" s="183"/>
      <c r="Y16" s="183"/>
      <c r="Z16" s="183"/>
      <c r="AA16" s="183"/>
      <c r="AB16" s="183"/>
      <c r="AC16" s="183"/>
      <c r="AD16" s="183"/>
      <c r="AE16" s="183"/>
      <c r="AF16" s="183"/>
      <c r="AG16" s="183"/>
      <c r="AH16" s="183"/>
      <c r="AI16" s="183"/>
    </row>
    <row r="17" spans="1:35" ht="17.25" customHeight="1">
      <c r="A17" s="3"/>
      <c r="B17" s="107"/>
      <c r="C17" s="107"/>
      <c r="D17" s="181"/>
      <c r="E17" s="181"/>
      <c r="F17" s="181"/>
      <c r="G17" s="181"/>
      <c r="H17" s="181"/>
      <c r="I17" s="181"/>
      <c r="J17" s="181"/>
      <c r="K17" s="181"/>
      <c r="L17" s="181"/>
      <c r="M17" s="3"/>
      <c r="N17" s="3"/>
      <c r="O17" s="164"/>
      <c r="P17" s="163"/>
      <c r="S17" s="183"/>
      <c r="T17" s="183"/>
      <c r="U17" s="183"/>
      <c r="V17" s="183"/>
      <c r="W17" s="183"/>
      <c r="X17" s="183"/>
      <c r="Y17" s="183"/>
      <c r="Z17" s="183"/>
      <c r="AA17" s="183"/>
      <c r="AB17" s="183"/>
      <c r="AC17" s="183"/>
      <c r="AD17" s="183"/>
      <c r="AE17" s="183"/>
      <c r="AF17" s="183"/>
      <c r="AG17" s="183"/>
      <c r="AH17" s="183"/>
      <c r="AI17" s="183"/>
    </row>
    <row r="18" spans="1:35" ht="6" customHeight="1">
      <c r="A18" s="3"/>
      <c r="B18" s="111"/>
      <c r="C18" s="107"/>
      <c r="D18" s="108"/>
      <c r="E18" s="735"/>
      <c r="F18" s="735"/>
      <c r="G18" s="735"/>
      <c r="H18" s="735"/>
      <c r="I18" s="735"/>
      <c r="J18" s="735"/>
      <c r="K18" s="735"/>
      <c r="L18" s="3"/>
      <c r="M18" s="3"/>
      <c r="N18" s="3"/>
      <c r="O18" s="3"/>
      <c r="P18" s="3"/>
      <c r="S18" s="183"/>
      <c r="T18" s="183"/>
      <c r="U18" s="183"/>
      <c r="V18" s="183"/>
      <c r="W18" s="183"/>
      <c r="X18" s="183"/>
      <c r="Y18" s="183"/>
      <c r="Z18" s="183"/>
      <c r="AA18" s="183"/>
      <c r="AB18" s="183"/>
      <c r="AC18" s="183"/>
      <c r="AD18" s="183"/>
      <c r="AE18" s="183"/>
      <c r="AF18" s="183"/>
      <c r="AG18" s="183"/>
      <c r="AH18" s="183"/>
      <c r="AI18" s="183"/>
    </row>
    <row r="19" spans="1:35" ht="24" customHeight="1">
      <c r="A19" s="3"/>
      <c r="B19" s="738" t="s">
        <v>110</v>
      </c>
      <c r="C19" s="738"/>
      <c r="D19" s="738"/>
      <c r="E19" s="117" t="s">
        <v>107</v>
      </c>
      <c r="F19" s="117" t="s">
        <v>111</v>
      </c>
      <c r="G19" s="742" t="s">
        <v>332</v>
      </c>
      <c r="H19" s="743"/>
      <c r="I19" s="736" t="s">
        <v>333</v>
      </c>
      <c r="J19" s="737"/>
      <c r="K19" s="255" t="s">
        <v>334</v>
      </c>
      <c r="L19" s="732" t="s">
        <v>114</v>
      </c>
      <c r="M19" s="733"/>
      <c r="N19" s="733"/>
      <c r="O19" s="733"/>
      <c r="P19" s="733"/>
      <c r="Q19" s="734"/>
      <c r="S19" s="61" t="s">
        <v>112</v>
      </c>
      <c r="T19" s="62">
        <v>0</v>
      </c>
      <c r="U19" s="63">
        <v>0.3</v>
      </c>
      <c r="V19" s="63">
        <v>0.6</v>
      </c>
      <c r="W19" s="63">
        <v>0.9</v>
      </c>
      <c r="X19" s="63">
        <v>1</v>
      </c>
      <c r="Y19" s="67"/>
      <c r="Z19" s="67"/>
      <c r="AA19" s="61" t="s">
        <v>112</v>
      </c>
      <c r="AB19" s="62">
        <v>0</v>
      </c>
      <c r="AC19" s="63">
        <v>0.2</v>
      </c>
      <c r="AD19" s="63">
        <v>0.4</v>
      </c>
      <c r="AE19" s="63">
        <v>0.6</v>
      </c>
      <c r="AF19" s="63">
        <v>0.8</v>
      </c>
      <c r="AG19" s="67"/>
      <c r="AH19" s="67"/>
      <c r="AI19" s="67"/>
    </row>
    <row r="20" spans="1:35" ht="78" customHeight="1">
      <c r="A20" s="3"/>
      <c r="B20" s="720" t="s">
        <v>20</v>
      </c>
      <c r="C20" s="720"/>
      <c r="D20" s="720"/>
      <c r="E20" s="358">
        <v>1070</v>
      </c>
      <c r="F20" s="358">
        <v>858</v>
      </c>
      <c r="G20" s="721">
        <v>0.8</v>
      </c>
      <c r="H20" s="721"/>
      <c r="I20" s="721"/>
      <c r="J20" s="721"/>
      <c r="K20" s="721"/>
      <c r="L20" s="724" t="s">
        <v>502</v>
      </c>
      <c r="M20" s="724"/>
      <c r="N20" s="724"/>
      <c r="O20" s="724"/>
      <c r="P20" s="724"/>
      <c r="Q20" s="724"/>
      <c r="S20" s="61" t="s">
        <v>113</v>
      </c>
      <c r="T20" s="64">
        <v>0.3</v>
      </c>
      <c r="U20" s="63">
        <v>0.6</v>
      </c>
      <c r="V20" s="63">
        <v>0.9</v>
      </c>
      <c r="W20" s="63">
        <v>1</v>
      </c>
      <c r="X20" s="63">
        <v>2</v>
      </c>
      <c r="Y20" s="67"/>
      <c r="Z20" s="67"/>
      <c r="AA20" s="61" t="s">
        <v>113</v>
      </c>
      <c r="AB20" s="64">
        <v>0.2</v>
      </c>
      <c r="AC20" s="63">
        <v>0.4</v>
      </c>
      <c r="AD20" s="63">
        <v>0.6</v>
      </c>
      <c r="AE20" s="63">
        <v>0.8</v>
      </c>
      <c r="AF20" s="63">
        <v>1</v>
      </c>
      <c r="AG20" s="67"/>
      <c r="AH20" s="67"/>
      <c r="AI20" s="67"/>
    </row>
    <row r="21" spans="1:35" ht="83.25" customHeight="1">
      <c r="A21" s="3"/>
      <c r="B21" s="720" t="s">
        <v>24</v>
      </c>
      <c r="C21" s="720"/>
      <c r="D21" s="720"/>
      <c r="E21" s="357">
        <v>280</v>
      </c>
      <c r="F21" s="357">
        <v>316</v>
      </c>
      <c r="G21" s="721">
        <f t="shared" ref="G21:G22" si="0">+IF(ISERROR(F21/E21),0,F21/E21)</f>
        <v>1.1285714285714286</v>
      </c>
      <c r="H21" s="721"/>
      <c r="I21" s="721"/>
      <c r="J21" s="721"/>
      <c r="K21" s="721"/>
      <c r="L21" s="724" t="s">
        <v>503</v>
      </c>
      <c r="M21" s="724"/>
      <c r="N21" s="724"/>
      <c r="O21" s="724"/>
      <c r="P21" s="724"/>
      <c r="Q21" s="724"/>
      <c r="S21" s="65"/>
      <c r="T21" s="66" t="str">
        <f>"de "&amp;T19&amp;" a "&amp;T20</f>
        <v>de 0 a 0.3</v>
      </c>
      <c r="U21" s="66" t="str">
        <f>"de "&amp;U19&amp;" a "&amp;U20</f>
        <v>de 0.3 a 0.6</v>
      </c>
      <c r="V21" s="66" t="str">
        <f>"de "&amp;V19&amp;" a "&amp;V20</f>
        <v>de 0.6 a 0.9</v>
      </c>
      <c r="W21" s="66" t="str">
        <f>"de "&amp;W19&amp;" a "&amp;W20</f>
        <v>de 0.9 a 1</v>
      </c>
      <c r="X21" s="66" t="str">
        <f>"de "&amp;X19&amp;" a "&amp;X20</f>
        <v>de 1 a 2</v>
      </c>
      <c r="Y21" s="67"/>
      <c r="Z21" s="67" t="s">
        <v>282</v>
      </c>
      <c r="AA21" s="65" t="s">
        <v>281</v>
      </c>
      <c r="AB21" s="66" t="str">
        <f>"de "&amp;AB19&amp;" a "&amp;AB20</f>
        <v>de 0 a 0.2</v>
      </c>
      <c r="AC21" s="66" t="str">
        <f>"de "&amp;AC19&amp;" a "&amp;AC20</f>
        <v>de 0.2 a 0.4</v>
      </c>
      <c r="AD21" s="66" t="str">
        <f>"de "&amp;AD19&amp;" a "&amp;AD20</f>
        <v>de 0.4 a 0.6</v>
      </c>
      <c r="AE21" s="66" t="str">
        <f>"de "&amp;AE19&amp;" a "&amp;AE20</f>
        <v>de 0.6 a 0.8</v>
      </c>
      <c r="AF21" s="66" t="str">
        <f>"de "&amp;AF19&amp;" a "&amp;AF20</f>
        <v>de 0.8 a 1</v>
      </c>
      <c r="AG21" s="67"/>
      <c r="AH21" s="67"/>
      <c r="AI21" s="67"/>
    </row>
    <row r="22" spans="1:35" ht="90" customHeight="1">
      <c r="A22" s="3"/>
      <c r="B22" s="720" t="s">
        <v>21</v>
      </c>
      <c r="C22" s="720"/>
      <c r="D22" s="720"/>
      <c r="E22" s="358">
        <v>80</v>
      </c>
      <c r="F22" s="358">
        <v>83</v>
      </c>
      <c r="G22" s="721">
        <f t="shared" si="0"/>
        <v>1.0375000000000001</v>
      </c>
      <c r="H22" s="721"/>
      <c r="I22" s="721"/>
      <c r="J22" s="721"/>
      <c r="K22" s="721"/>
      <c r="L22" s="724" t="s">
        <v>512</v>
      </c>
      <c r="M22" s="724"/>
      <c r="N22" s="724"/>
      <c r="O22" s="724"/>
      <c r="P22" s="724"/>
      <c r="Q22" s="724"/>
      <c r="S22" s="65"/>
      <c r="T22" s="63" t="e">
        <f t="shared" ref="T22:W29" si="1">IF($K20&gt;T$19,IF($K20&lt;=T$20,$K20,NA()),NA())</f>
        <v>#N/A</v>
      </c>
      <c r="U22" s="63" t="e">
        <f t="shared" si="1"/>
        <v>#N/A</v>
      </c>
      <c r="V22" s="63" t="e">
        <f t="shared" si="1"/>
        <v>#N/A</v>
      </c>
      <c r="W22" s="63" t="e">
        <f t="shared" si="1"/>
        <v>#N/A</v>
      </c>
      <c r="X22" s="63" t="e">
        <f>IF($K20&gt;X$19,IF($K20&lt;=X$20,1,NA()),NA())</f>
        <v>#N/A</v>
      </c>
      <c r="Y22" s="67"/>
      <c r="Z22" s="160" t="e">
        <f>+'Detalii despre Grant'!#REF!</f>
        <v>#REF!</v>
      </c>
      <c r="AA22" s="63" t="e">
        <f>+IF(Z22="A1",1,IF(Z22="A2",0.8,IF(Z22="B1",0.6,IF(Z22="B2",0.4,0.2))))</f>
        <v>#REF!</v>
      </c>
      <c r="AB22" s="63" t="e">
        <f>IF($AA22&gt;AB$19,IF($AA22&lt;=AB$20,$AA22,NA()),NA())</f>
        <v>#REF!</v>
      </c>
      <c r="AC22" s="63" t="e">
        <f t="shared" ref="AC22:AF24" si="2">IF($AA22&gt;AC$19,IF($AA22&lt;=AC$20,$AA22,NA()),NA())</f>
        <v>#REF!</v>
      </c>
      <c r="AD22" s="63" t="e">
        <f t="shared" si="2"/>
        <v>#REF!</v>
      </c>
      <c r="AE22" s="63" t="e">
        <f t="shared" si="2"/>
        <v>#REF!</v>
      </c>
      <c r="AF22" s="63" t="e">
        <f t="shared" si="2"/>
        <v>#REF!</v>
      </c>
      <c r="AG22" s="67"/>
      <c r="AH22" s="67"/>
      <c r="AI22" s="67"/>
    </row>
    <row r="23" spans="1:35" ht="80.25" customHeight="1">
      <c r="A23" s="3"/>
      <c r="B23" s="720" t="s">
        <v>29</v>
      </c>
      <c r="C23" s="720"/>
      <c r="D23" s="720"/>
      <c r="E23" s="426" t="s">
        <v>401</v>
      </c>
      <c r="F23" s="426" t="s">
        <v>401</v>
      </c>
      <c r="G23" s="721" t="s">
        <v>401</v>
      </c>
      <c r="H23" s="721"/>
      <c r="I23" s="721"/>
      <c r="J23" s="721"/>
      <c r="K23" s="721"/>
      <c r="L23" s="724" t="s">
        <v>511</v>
      </c>
      <c r="M23" s="725"/>
      <c r="N23" s="725"/>
      <c r="O23" s="725"/>
      <c r="P23" s="725"/>
      <c r="Q23" s="725"/>
      <c r="S23" s="65"/>
      <c r="T23" s="63" t="e">
        <f t="shared" si="1"/>
        <v>#N/A</v>
      </c>
      <c r="U23" s="63" t="e">
        <f t="shared" si="1"/>
        <v>#N/A</v>
      </c>
      <c r="V23" s="63" t="e">
        <f t="shared" si="1"/>
        <v>#N/A</v>
      </c>
      <c r="W23" s="63" t="e">
        <f t="shared" si="1"/>
        <v>#N/A</v>
      </c>
      <c r="X23" s="63" t="e">
        <f>IF($K21&gt;X$19,IF($K21&lt;=X$20,1,1),NA())</f>
        <v>#N/A</v>
      </c>
      <c r="Y23" s="67"/>
      <c r="Z23" s="160" t="e">
        <f>+'Detalii despre Grant'!#REF!</f>
        <v>#REF!</v>
      </c>
      <c r="AA23" s="63" t="e">
        <f>+IF(Z23="A1",1,IF(Z23="A2",0.8,IF(Z23="B1",0.6,IF(Z23="B2",0.4,0.2))))</f>
        <v>#REF!</v>
      </c>
      <c r="AB23" s="63" t="e">
        <f>IF($AA23&gt;AB$19,IF($AA23&lt;=AB$20,$AA23,NA()),NA())</f>
        <v>#REF!</v>
      </c>
      <c r="AC23" s="63" t="e">
        <f t="shared" si="2"/>
        <v>#REF!</v>
      </c>
      <c r="AD23" s="63" t="e">
        <f t="shared" si="2"/>
        <v>#REF!</v>
      </c>
      <c r="AE23" s="63" t="e">
        <f t="shared" si="2"/>
        <v>#REF!</v>
      </c>
      <c r="AF23" s="63" t="e">
        <f t="shared" si="2"/>
        <v>#REF!</v>
      </c>
      <c r="AG23" s="67"/>
      <c r="AH23" s="67"/>
      <c r="AI23" s="67"/>
    </row>
    <row r="24" spans="1:35" ht="107.25" customHeight="1">
      <c r="A24" s="3"/>
      <c r="B24" s="720" t="s">
        <v>27</v>
      </c>
      <c r="C24" s="720"/>
      <c r="D24" s="720"/>
      <c r="E24" s="358">
        <v>323</v>
      </c>
      <c r="F24" s="358">
        <v>380</v>
      </c>
      <c r="G24" s="721">
        <f t="shared" ref="G24:G28" si="3">+IF(ISERROR(F24/E24),0,F24/E24)</f>
        <v>1.1764705882352942</v>
      </c>
      <c r="H24" s="721"/>
      <c r="I24" s="721"/>
      <c r="J24" s="721"/>
      <c r="K24" s="721"/>
      <c r="L24" s="724" t="s">
        <v>504</v>
      </c>
      <c r="M24" s="725"/>
      <c r="N24" s="725"/>
      <c r="O24" s="725"/>
      <c r="P24" s="725"/>
      <c r="Q24" s="725"/>
      <c r="S24" s="65"/>
      <c r="T24" s="63" t="e">
        <f t="shared" si="1"/>
        <v>#N/A</v>
      </c>
      <c r="U24" s="63" t="e">
        <f t="shared" si="1"/>
        <v>#N/A</v>
      </c>
      <c r="V24" s="63" t="e">
        <f t="shared" si="1"/>
        <v>#N/A</v>
      </c>
      <c r="W24" s="63" t="e">
        <f t="shared" si="1"/>
        <v>#N/A</v>
      </c>
      <c r="X24" s="63" t="e">
        <f t="shared" ref="X24:X29" si="4">IF($K22&gt;X$19,IF($K22&lt;=X$20,1,NA()),NA())</f>
        <v>#N/A</v>
      </c>
      <c r="Y24" s="67"/>
      <c r="Z24" s="160" t="e">
        <f>+'Detalii despre Grant'!#REF!</f>
        <v>#REF!</v>
      </c>
      <c r="AA24" s="63" t="e">
        <f>+IF(Z24="A1",1,IF(Z24="A2",0.8,IF(Z24="B1",0.6,IF(Z24="B2",0.4,0.2))))</f>
        <v>#REF!</v>
      </c>
      <c r="AB24" s="63" t="e">
        <f>IF($AA24&gt;AB$19,IF($AA24&lt;=AB$20,$AA24,NA()),NA())</f>
        <v>#REF!</v>
      </c>
      <c r="AC24" s="63" t="e">
        <f t="shared" si="2"/>
        <v>#REF!</v>
      </c>
      <c r="AD24" s="63" t="e">
        <f t="shared" si="2"/>
        <v>#REF!</v>
      </c>
      <c r="AE24" s="63" t="e">
        <f t="shared" si="2"/>
        <v>#REF!</v>
      </c>
      <c r="AF24" s="63" t="e">
        <f t="shared" si="2"/>
        <v>#REF!</v>
      </c>
      <c r="AG24" s="67"/>
      <c r="AH24" s="67"/>
      <c r="AI24" s="67"/>
    </row>
    <row r="25" spans="1:35" ht="57" customHeight="1">
      <c r="A25" s="3"/>
      <c r="B25" s="719" t="s">
        <v>22</v>
      </c>
      <c r="C25" s="720"/>
      <c r="D25" s="720"/>
      <c r="E25" s="358">
        <v>200</v>
      </c>
      <c r="F25" s="358">
        <v>200</v>
      </c>
      <c r="G25" s="721">
        <f t="shared" si="3"/>
        <v>1</v>
      </c>
      <c r="H25" s="721"/>
      <c r="I25" s="721"/>
      <c r="J25" s="721"/>
      <c r="K25" s="721"/>
      <c r="L25" s="724" t="s">
        <v>505</v>
      </c>
      <c r="M25" s="725"/>
      <c r="N25" s="725"/>
      <c r="O25" s="725"/>
      <c r="P25" s="725"/>
      <c r="Q25" s="725"/>
      <c r="S25" s="65"/>
      <c r="T25" s="63" t="e">
        <f>IF($K24&gt;T$19,IF($K24&lt;=T$20,$K24,NA()),NA())</f>
        <v>#N/A</v>
      </c>
      <c r="U25" s="63" t="e">
        <f>IF($K24&gt;U$19,IF($K24&lt;=U$20,$K24,NA()),NA())</f>
        <v>#N/A</v>
      </c>
      <c r="V25" s="63" t="e">
        <f>IF($K24&gt;V$19,IF($K24&lt;=V$20,$K24,NA()),NA())</f>
        <v>#N/A</v>
      </c>
      <c r="W25" s="63" t="e">
        <f>IF($K24&gt;W$19,IF($K24&lt;=W$20,$K24,NA()),NA())</f>
        <v>#N/A</v>
      </c>
      <c r="X25" s="63" t="e">
        <f>IF($K24&gt;X$19,IF($K24&lt;=X$20,1,NA()),NA())</f>
        <v>#N/A</v>
      </c>
      <c r="Y25" s="67"/>
      <c r="Z25" s="67"/>
      <c r="AA25" s="67"/>
      <c r="AB25" s="67"/>
      <c r="AC25" s="67"/>
      <c r="AD25" s="67"/>
      <c r="AE25" s="67"/>
      <c r="AF25" s="67"/>
      <c r="AG25" s="67"/>
      <c r="AH25" s="67"/>
      <c r="AI25" s="67"/>
    </row>
    <row r="26" spans="1:35" ht="87" customHeight="1">
      <c r="A26" s="3"/>
      <c r="B26" s="720" t="s">
        <v>23</v>
      </c>
      <c r="C26" s="720"/>
      <c r="D26" s="720"/>
      <c r="E26" s="358">
        <v>75</v>
      </c>
      <c r="F26" s="358">
        <v>153</v>
      </c>
      <c r="G26" s="721">
        <f t="shared" si="3"/>
        <v>2.04</v>
      </c>
      <c r="H26" s="721"/>
      <c r="I26" s="721"/>
      <c r="J26" s="721"/>
      <c r="K26" s="721"/>
      <c r="L26" s="724" t="s">
        <v>506</v>
      </c>
      <c r="M26" s="725"/>
      <c r="N26" s="725"/>
      <c r="O26" s="725"/>
      <c r="P26" s="725"/>
      <c r="Q26" s="725"/>
      <c r="S26" s="65"/>
      <c r="T26" s="63" t="e">
        <f>IF(#REF!&gt;T$19,IF(#REF!&lt;=T$20,#REF!,NA()),NA())</f>
        <v>#REF!</v>
      </c>
      <c r="U26" s="63" t="e">
        <f>IF(#REF!&gt;U$19,IF(#REF!&lt;=U$20,#REF!,NA()),NA())</f>
        <v>#REF!</v>
      </c>
      <c r="V26" s="63" t="e">
        <f>IF(#REF!&gt;V$19,IF(#REF!&lt;=V$20,#REF!,NA()),NA())</f>
        <v>#REF!</v>
      </c>
      <c r="W26" s="63" t="e">
        <f>IF(#REF!&gt;W$19,IF(#REF!&lt;=W$20,#REF!,NA()),NA())</f>
        <v>#REF!</v>
      </c>
      <c r="X26" s="63" t="e">
        <f>IF(#REF!&gt;X$19,IF(#REF!&lt;=X$20,1,NA()),NA())</f>
        <v>#REF!</v>
      </c>
      <c r="Y26" s="67"/>
      <c r="Z26" s="67"/>
      <c r="AA26" s="67"/>
      <c r="AB26" s="67"/>
      <c r="AC26" s="67"/>
      <c r="AD26" s="67"/>
      <c r="AE26" s="67"/>
      <c r="AF26" s="67"/>
      <c r="AG26" s="67"/>
      <c r="AH26" s="67"/>
      <c r="AI26" s="67"/>
    </row>
    <row r="27" spans="1:35" ht="68.25" customHeight="1">
      <c r="A27" s="3"/>
      <c r="B27" s="726" t="s">
        <v>25</v>
      </c>
      <c r="C27" s="720"/>
      <c r="D27" s="720"/>
      <c r="E27" s="358">
        <v>25</v>
      </c>
      <c r="F27" s="358">
        <v>25</v>
      </c>
      <c r="G27" s="721">
        <f t="shared" si="3"/>
        <v>1</v>
      </c>
      <c r="H27" s="721"/>
      <c r="I27" s="721"/>
      <c r="J27" s="721"/>
      <c r="K27" s="721"/>
      <c r="L27" s="724" t="s">
        <v>507</v>
      </c>
      <c r="M27" s="725"/>
      <c r="N27" s="725"/>
      <c r="O27" s="725"/>
      <c r="P27" s="725"/>
      <c r="Q27" s="725"/>
      <c r="S27" s="65"/>
      <c r="T27" s="63" t="e">
        <f t="shared" si="1"/>
        <v>#N/A</v>
      </c>
      <c r="U27" s="63" t="e">
        <f t="shared" si="1"/>
        <v>#N/A</v>
      </c>
      <c r="V27" s="63" t="e">
        <f t="shared" si="1"/>
        <v>#N/A</v>
      </c>
      <c r="W27" s="63" t="e">
        <f t="shared" si="1"/>
        <v>#N/A</v>
      </c>
      <c r="X27" s="63" t="e">
        <f t="shared" si="4"/>
        <v>#N/A</v>
      </c>
      <c r="Y27" s="67"/>
      <c r="Z27" s="67"/>
      <c r="AA27" s="67"/>
      <c r="AB27" s="67"/>
      <c r="AC27" s="67"/>
      <c r="AD27" s="67"/>
      <c r="AE27" s="67"/>
      <c r="AF27" s="67"/>
      <c r="AG27" s="67"/>
      <c r="AH27" s="67"/>
      <c r="AI27" s="67"/>
    </row>
    <row r="28" spans="1:35" ht="73.5" customHeight="1">
      <c r="A28" s="3"/>
      <c r="B28" s="726" t="s">
        <v>26</v>
      </c>
      <c r="C28" s="720"/>
      <c r="D28" s="720"/>
      <c r="E28" s="426">
        <v>0.95</v>
      </c>
      <c r="F28" s="426">
        <v>1</v>
      </c>
      <c r="G28" s="721">
        <f t="shared" si="3"/>
        <v>1.0526315789473684</v>
      </c>
      <c r="H28" s="721"/>
      <c r="I28" s="721"/>
      <c r="J28" s="721"/>
      <c r="K28" s="721"/>
      <c r="L28" s="722" t="s">
        <v>508</v>
      </c>
      <c r="M28" s="723"/>
      <c r="N28" s="723"/>
      <c r="O28" s="723"/>
      <c r="P28" s="723"/>
      <c r="Q28" s="723"/>
      <c r="S28" s="65"/>
      <c r="T28" s="63" t="e">
        <f t="shared" si="1"/>
        <v>#N/A</v>
      </c>
      <c r="U28" s="63" t="e">
        <f t="shared" si="1"/>
        <v>#N/A</v>
      </c>
      <c r="V28" s="63" t="e">
        <f t="shared" si="1"/>
        <v>#N/A</v>
      </c>
      <c r="W28" s="63" t="e">
        <f t="shared" si="1"/>
        <v>#N/A</v>
      </c>
      <c r="X28" s="63" t="e">
        <f t="shared" si="4"/>
        <v>#N/A</v>
      </c>
      <c r="Y28" s="67"/>
      <c r="Z28" s="67"/>
      <c r="AA28" s="67"/>
      <c r="AB28" s="67"/>
      <c r="AC28" s="67"/>
      <c r="AD28" s="67"/>
      <c r="AE28" s="67"/>
      <c r="AF28" s="67"/>
      <c r="AG28" s="67"/>
      <c r="AH28" s="67"/>
      <c r="AI28" s="67"/>
    </row>
    <row r="29" spans="1:35" ht="75.75" customHeight="1">
      <c r="A29" s="3"/>
      <c r="B29" s="720" t="s">
        <v>28</v>
      </c>
      <c r="C29" s="720"/>
      <c r="D29" s="720"/>
      <c r="E29" s="358">
        <v>50</v>
      </c>
      <c r="F29" s="358">
        <v>54</v>
      </c>
      <c r="G29" s="721">
        <v>1.08</v>
      </c>
      <c r="H29" s="721"/>
      <c r="I29" s="721"/>
      <c r="J29" s="721"/>
      <c r="K29" s="721"/>
      <c r="L29" s="722" t="s">
        <v>509</v>
      </c>
      <c r="M29" s="723"/>
      <c r="N29" s="723"/>
      <c r="O29" s="723"/>
      <c r="P29" s="723"/>
      <c r="Q29" s="723"/>
      <c r="S29" s="65"/>
      <c r="T29" s="63" t="e">
        <f t="shared" si="1"/>
        <v>#N/A</v>
      </c>
      <c r="U29" s="63" t="e">
        <f t="shared" si="1"/>
        <v>#N/A</v>
      </c>
      <c r="V29" s="63" t="e">
        <f t="shared" si="1"/>
        <v>#N/A</v>
      </c>
      <c r="W29" s="63" t="e">
        <f t="shared" si="1"/>
        <v>#N/A</v>
      </c>
      <c r="X29" s="63" t="e">
        <f t="shared" si="4"/>
        <v>#N/A</v>
      </c>
      <c r="Y29" s="67"/>
      <c r="Z29" s="67"/>
      <c r="AA29" s="67"/>
      <c r="AB29" s="67"/>
      <c r="AC29" s="67"/>
      <c r="AD29" s="67"/>
      <c r="AE29" s="67"/>
      <c r="AF29" s="67"/>
      <c r="AG29" s="67"/>
      <c r="AH29" s="67"/>
      <c r="AI29" s="67"/>
    </row>
  </sheetData>
  <mergeCells count="49">
    <mergeCell ref="B2:Q2"/>
    <mergeCell ref="O3:P3"/>
    <mergeCell ref="D5:N5"/>
    <mergeCell ref="L8:Q8"/>
    <mergeCell ref="F6:K6"/>
    <mergeCell ref="E3:K3"/>
    <mergeCell ref="C4:D4"/>
    <mergeCell ref="C3:D3"/>
    <mergeCell ref="E4:L4"/>
    <mergeCell ref="B8:E8"/>
    <mergeCell ref="F8:K8"/>
    <mergeCell ref="B19:D19"/>
    <mergeCell ref="B23:D23"/>
    <mergeCell ref="B24:D24"/>
    <mergeCell ref="C9:E9"/>
    <mergeCell ref="G19:H19"/>
    <mergeCell ref="B20:D20"/>
    <mergeCell ref="B22:D22"/>
    <mergeCell ref="B21:D21"/>
    <mergeCell ref="M9:Q9"/>
    <mergeCell ref="G9:K9"/>
    <mergeCell ref="L20:Q20"/>
    <mergeCell ref="G25:K25"/>
    <mergeCell ref="G24:K24"/>
    <mergeCell ref="L24:Q24"/>
    <mergeCell ref="L19:Q19"/>
    <mergeCell ref="L23:Q23"/>
    <mergeCell ref="L21:Q21"/>
    <mergeCell ref="G20:K20"/>
    <mergeCell ref="L25:Q25"/>
    <mergeCell ref="L22:Q22"/>
    <mergeCell ref="G21:K21"/>
    <mergeCell ref="G22:K22"/>
    <mergeCell ref="E18:K18"/>
    <mergeCell ref="I19:J19"/>
    <mergeCell ref="B25:D25"/>
    <mergeCell ref="G23:K23"/>
    <mergeCell ref="L29:Q29"/>
    <mergeCell ref="L26:Q26"/>
    <mergeCell ref="B29:D29"/>
    <mergeCell ref="G29:K29"/>
    <mergeCell ref="B28:D28"/>
    <mergeCell ref="G26:K26"/>
    <mergeCell ref="G27:K27"/>
    <mergeCell ref="G28:K28"/>
    <mergeCell ref="B26:D26"/>
    <mergeCell ref="B27:D27"/>
    <mergeCell ref="L27:Q27"/>
    <mergeCell ref="L28:Q28"/>
  </mergeCells>
  <phoneticPr fontId="30" type="noConversion"/>
  <conditionalFormatting sqref="C4:D4">
    <cfRule type="cellIs" dxfId="17" priority="68" stopIfTrue="1" operator="equal">
      <formula>"C"</formula>
    </cfRule>
    <cfRule type="cellIs" dxfId="16" priority="69" stopIfTrue="1" operator="equal">
      <formula>"B2"</formula>
    </cfRule>
    <cfRule type="cellIs" dxfId="15" priority="70" stopIfTrue="1" operator="equal">
      <formula>"B1"</formula>
    </cfRule>
  </conditionalFormatting>
  <conditionalFormatting sqref="G21:G28">
    <cfRule type="cellIs" dxfId="14" priority="7" stopIfTrue="1" operator="between">
      <formula>0</formula>
      <formula>0.599</formula>
    </cfRule>
    <cfRule type="cellIs" dxfId="13" priority="8" stopIfTrue="1" operator="between">
      <formula>0.6</formula>
      <formula>0.899</formula>
    </cfRule>
    <cfRule type="cellIs" dxfId="12" priority="9" stopIfTrue="1" operator="greaterThanOrEqual">
      <formula>0.9</formula>
    </cfRule>
  </conditionalFormatting>
  <conditionalFormatting sqref="G29">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0">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1"/>
  <sheetViews>
    <sheetView showGridLines="0" zoomScale="90" zoomScaleNormal="90" workbookViewId="0">
      <selection activeCell="F81" sqref="F81"/>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13"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18"/>
      <c r="B1" s="118"/>
      <c r="C1" s="118"/>
      <c r="D1" s="118"/>
      <c r="E1" s="118"/>
      <c r="F1" s="118"/>
      <c r="G1" s="118"/>
      <c r="H1" s="118"/>
      <c r="I1" s="118"/>
      <c r="J1" s="118"/>
      <c r="K1" s="119"/>
      <c r="L1" s="118"/>
      <c r="M1" s="118"/>
      <c r="N1" s="118"/>
    </row>
    <row r="2" spans="1:15" customFormat="1" ht="27.75" customHeight="1">
      <c r="A2" s="3"/>
      <c r="B2" s="744" t="str">
        <f>+"Dashboard:  "&amp;"  "&amp;IF(+'Introducerea datelor'!C4="Please Select","",'Introducerea datelor'!C4&amp;" - ")&amp;IF('Introducerea datelor'!G6="Please Select","",'Introducerea datelor'!G6)</f>
        <v>Dashboard:    Moldova - TB</v>
      </c>
      <c r="C2" s="744"/>
      <c r="D2" s="744"/>
      <c r="E2" s="744"/>
      <c r="F2" s="744"/>
      <c r="G2" s="744"/>
      <c r="H2" s="744"/>
      <c r="I2" s="744"/>
      <c r="J2" s="744"/>
      <c r="K2" s="744"/>
      <c r="L2" s="744"/>
      <c r="M2" s="744"/>
      <c r="N2" s="744"/>
      <c r="O2" s="69"/>
    </row>
    <row r="3" spans="1:15" customFormat="1" ht="18.75">
      <c r="A3" s="3"/>
      <c r="B3" s="107" t="str">
        <f>+IF('Introducerea datelor'!G8="Please Select","",'Introducerea datelor'!G8)</f>
        <v>Round 9</v>
      </c>
      <c r="C3" s="680" t="str">
        <f>+IF('Introducerea datelor'!I8="Please Select","",'Introducerea datelor'!I8)</f>
        <v>Phase 2</v>
      </c>
      <c r="D3" s="680"/>
      <c r="E3" s="748"/>
      <c r="F3" s="748"/>
      <c r="G3" s="748"/>
      <c r="H3" s="748"/>
      <c r="I3" s="748"/>
      <c r="J3" s="748"/>
      <c r="K3" s="748"/>
      <c r="L3" s="107" t="str">
        <f>+'Introducerea datelor'!B16</f>
        <v>Report Period(Perioada de Raportare):</v>
      </c>
      <c r="M3" s="162" t="str">
        <f>+'Introducerea datelor'!C16</f>
        <v>P12</v>
      </c>
      <c r="N3" s="162"/>
      <c r="O3" s="30"/>
    </row>
    <row r="4" spans="1:15" customFormat="1" ht="15">
      <c r="A4" s="3"/>
      <c r="B4" s="107" t="str">
        <f>+'Introducerea datelor'!B12</f>
        <v>Latest Rating (Ultimul Rating):</v>
      </c>
      <c r="C4" s="749" t="str">
        <f>+IF('Introducerea datelor'!C12="Please Select","",'Introducerea datelor'!C12)</f>
        <v>A1</v>
      </c>
      <c r="D4" s="749"/>
      <c r="E4" s="679" t="str">
        <f>+'Introducerea datelor'!C8</f>
        <v>PAS Center</v>
      </c>
      <c r="F4" s="679"/>
      <c r="G4" s="679"/>
      <c r="H4" s="679"/>
      <c r="I4" s="679"/>
      <c r="J4" s="679"/>
      <c r="K4" s="679"/>
      <c r="L4" s="107" t="str">
        <f>+'Introducerea datelor'!D16</f>
        <v>From(De la):</v>
      </c>
      <c r="M4" s="163">
        <f>+IF(ISBLANK('Introducerea datelor'!E16),"",'Introducerea datelor'!E16)</f>
        <v>42005</v>
      </c>
      <c r="N4" s="163"/>
      <c r="O4" s="30"/>
    </row>
    <row r="5" spans="1:15" customFormat="1" ht="18.75" customHeight="1">
      <c r="A5" s="3"/>
      <c r="B5" s="107"/>
      <c r="C5" s="107"/>
      <c r="D5" s="108"/>
      <c r="E5" s="679" t="str">
        <f>+'Introducerea datelor'!G4</f>
        <v>Empowerment of people with TB and Communities in Moldova</v>
      </c>
      <c r="F5" s="679"/>
      <c r="G5" s="679"/>
      <c r="H5" s="679"/>
      <c r="I5" s="679"/>
      <c r="J5" s="679"/>
      <c r="K5" s="679"/>
      <c r="L5" s="107" t="str">
        <f>+'Introducerea datelor'!F16</f>
        <v>To(Pînă la):</v>
      </c>
      <c r="M5" s="163">
        <f>+IF(ISBLANK('Introducerea datelor'!G16),"",'Introducerea datelor'!G16)</f>
        <v>42185</v>
      </c>
      <c r="N5" s="163"/>
    </row>
    <row r="6" spans="1:15" customFormat="1" ht="22.5" customHeight="1">
      <c r="A6" s="3"/>
      <c r="B6" s="112"/>
      <c r="C6" s="113"/>
      <c r="D6" s="114"/>
      <c r="E6" s="801" t="s">
        <v>319</v>
      </c>
      <c r="F6" s="801"/>
      <c r="G6" s="801"/>
      <c r="H6" s="801"/>
      <c r="I6" s="801"/>
      <c r="J6" s="801"/>
      <c r="K6" s="801"/>
      <c r="L6" s="2"/>
      <c r="M6" s="2"/>
      <c r="N6" s="2"/>
    </row>
    <row r="7" spans="1:15" s="32" customFormat="1" ht="4.5" customHeight="1">
      <c r="A7" s="120"/>
      <c r="B7" s="121"/>
      <c r="C7" s="121"/>
      <c r="D7" s="121"/>
      <c r="E7" s="121"/>
      <c r="F7" s="121"/>
      <c r="G7" s="121"/>
      <c r="H7" s="121"/>
      <c r="I7" s="121"/>
      <c r="J7" s="121"/>
      <c r="K7" s="121"/>
      <c r="L7" s="122"/>
      <c r="M7" s="122"/>
      <c r="N7" s="123"/>
    </row>
    <row r="8" spans="1:15" s="32" customFormat="1" ht="21" customHeight="1" thickBot="1">
      <c r="A8" s="120"/>
      <c r="B8" s="778" t="s">
        <v>120</v>
      </c>
      <c r="C8" s="778"/>
      <c r="D8" s="778"/>
      <c r="E8" s="778"/>
      <c r="F8" s="778"/>
      <c r="G8" s="778"/>
      <c r="H8" s="778"/>
      <c r="I8" s="778"/>
      <c r="J8" s="778"/>
      <c r="K8" s="778"/>
      <c r="L8" s="778"/>
      <c r="M8" s="778"/>
      <c r="N8" s="778"/>
    </row>
    <row r="9" spans="1:15" s="32" customFormat="1" ht="3.75" customHeight="1" thickBot="1">
      <c r="A9" s="120"/>
      <c r="B9" s="121"/>
      <c r="C9" s="121"/>
      <c r="D9" s="121"/>
      <c r="E9" s="121"/>
      <c r="F9" s="121"/>
      <c r="G9" s="121"/>
      <c r="H9" s="121"/>
      <c r="I9" s="121"/>
      <c r="J9" s="121"/>
      <c r="K9" s="121"/>
      <c r="L9" s="122"/>
      <c r="M9" s="122"/>
      <c r="N9" s="123"/>
    </row>
    <row r="10" spans="1:15" s="33" customFormat="1" ht="25.5" customHeight="1" thickBot="1">
      <c r="A10" s="124"/>
      <c r="B10" s="763" t="s">
        <v>115</v>
      </c>
      <c r="C10" s="802"/>
      <c r="D10" s="798" t="s">
        <v>119</v>
      </c>
      <c r="E10" s="799"/>
      <c r="F10" s="799"/>
      <c r="G10" s="800"/>
      <c r="H10" s="127"/>
      <c r="I10" s="798" t="s">
        <v>319</v>
      </c>
      <c r="J10" s="799"/>
      <c r="K10" s="799"/>
      <c r="L10" s="799"/>
      <c r="M10" s="799"/>
      <c r="N10" s="800"/>
    </row>
    <row r="11" spans="1:15" s="33" customFormat="1" ht="28.5" customHeight="1">
      <c r="A11" s="124"/>
      <c r="B11" s="331" t="s">
        <v>123</v>
      </c>
      <c r="C11" s="144"/>
      <c r="D11" s="761" t="str">
        <f>IF(ISBLANK(Financiar!C9),"",(Financiar!C9))</f>
        <v>At the end of the project, GF disbursed to PR, EUR 14,021 less than the approved budget. The undisbursed amount is due to saving during the project life (201-2015). However, the disbursement rate is almost 100%.  
La finele proiectului, Recipientul Principal a primit cu 14,021 Euro mai puțin decât bugetul aprobat. Această sumă nedebursată este formată din economiile făcute pe durata proiectului (2010-2015). Rata debursărilor este aproape 100%.</v>
      </c>
      <c r="E11" s="761"/>
      <c r="F11" s="761"/>
      <c r="G11" s="782"/>
      <c r="H11" s="150"/>
      <c r="I11" s="792"/>
      <c r="J11" s="793"/>
      <c r="K11" s="793"/>
      <c r="L11" s="793"/>
      <c r="M11" s="793"/>
      <c r="N11" s="794"/>
    </row>
    <row r="12" spans="1:15" s="33" customFormat="1" ht="27.75" customHeight="1">
      <c r="A12" s="124"/>
      <c r="B12" s="332" t="s">
        <v>124</v>
      </c>
      <c r="C12" s="145"/>
      <c r="D12" s="761" t="str">
        <f>IF(ISBLANK(Financiar!C23),"",(Financiar!C23))</f>
        <v xml:space="preserve">Almost all payments were done according to the planned budget and in line with the project activities. For the objective 1 " Strenthen community involvement and foster parnerships for effective  TB control", the  cumulative expenditure is higher due to  approval of additional budget in value of 66000,0 Euro, as per GF approval, to increase the number of grants for 2013, based on the reallocated savings from 2012 from Objective 5.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 Strenthen community involvement and foster parnerships for effective  TB control " cheltuielile cumulative sunt mai mari datorită aprobării realocării  sumei de 66000,0 Euro pentru linia de grant  din 2013, conform aprobării FG, fiind considerate economiile anului 2012 din Obiectivul 5.  Diferența de valori pentru Managementul de Proiect este condiționată de  venitul din dobindă, cumulată  în cont,pentru acoperirea imprumutului, conform aprobării FG. La celelalte obiective, datorita sumelor angajate, cheltuielele cumulative sunt mai mici decit bugetul planificat. 
</v>
      </c>
      <c r="E12" s="761"/>
      <c r="F12" s="761"/>
      <c r="G12" s="782"/>
      <c r="H12" s="150"/>
      <c r="I12" s="789"/>
      <c r="J12" s="790"/>
      <c r="K12" s="790"/>
      <c r="L12" s="790"/>
      <c r="M12" s="790"/>
      <c r="N12" s="791"/>
    </row>
    <row r="13" spans="1:15" s="33" customFormat="1" ht="26.25" customHeight="1">
      <c r="A13" s="124"/>
      <c r="B13" s="332" t="s">
        <v>125</v>
      </c>
      <c r="C13" s="145"/>
      <c r="D13" s="761" t="str">
        <f>IF(ISBLANK(Financiar!I9),"",(Financiar!I9))</f>
        <v>The variance between the disbursement and expenditures of the PR for the current period is due to commitments from the semester 1, 2015
The expenditures of the SRs are closed to the disbursement value. The difference is explaiend by the commitments of the semester 1, 2015.
Variatia dintre suma disbursata si suma cheltuita este formata sumele angate pentru activitatile  din semestrul  1, 2015.</v>
      </c>
      <c r="E13" s="761"/>
      <c r="F13" s="761"/>
      <c r="G13" s="782"/>
      <c r="H13" s="150"/>
      <c r="I13" s="789"/>
      <c r="J13" s="790"/>
      <c r="K13" s="790"/>
      <c r="L13" s="790"/>
      <c r="M13" s="790"/>
      <c r="N13" s="791"/>
    </row>
    <row r="14" spans="1:15" s="33" customFormat="1" ht="28.5" customHeight="1" thickBot="1">
      <c r="A14" s="124"/>
      <c r="B14" s="333" t="s">
        <v>126</v>
      </c>
      <c r="C14" s="146"/>
      <c r="D14" s="787" t="str">
        <f>IF(ISBLANK(Financiar!I23),"",(Financiar!I23))</f>
        <v>The PR always makes the disbursements to SRs in the shortest period when the disbursement request is received and the report is presented.  
Perioada de debursare către SR este cit mai  operativ posibil de la   data depunerii cererii de debursare şi prezentare a raportului financiar.</v>
      </c>
      <c r="E14" s="787"/>
      <c r="F14" s="787"/>
      <c r="G14" s="788"/>
      <c r="H14" s="150"/>
      <c r="I14" s="795"/>
      <c r="J14" s="796"/>
      <c r="K14" s="796"/>
      <c r="L14" s="796"/>
      <c r="M14" s="796"/>
      <c r="N14" s="797"/>
    </row>
    <row r="15" spans="1:15" s="33" customFormat="1" ht="4.5" customHeight="1">
      <c r="A15" s="124"/>
      <c r="B15" s="147"/>
      <c r="C15" s="148"/>
      <c r="D15" s="149"/>
      <c r="E15" s="149"/>
      <c r="F15" s="149"/>
      <c r="G15" s="149"/>
      <c r="H15" s="150"/>
      <c r="I15" s="151"/>
      <c r="J15" s="151"/>
      <c r="K15" s="151"/>
      <c r="L15" s="151"/>
      <c r="M15" s="151"/>
      <c r="N15" s="151"/>
      <c r="O15" s="71"/>
    </row>
    <row r="16" spans="1:15" s="32" customFormat="1" ht="21" customHeight="1" thickBot="1">
      <c r="A16" s="120"/>
      <c r="B16" s="778" t="s">
        <v>122</v>
      </c>
      <c r="C16" s="778"/>
      <c r="D16" s="778"/>
      <c r="E16" s="778"/>
      <c r="F16" s="778"/>
      <c r="G16" s="778"/>
      <c r="H16" s="778"/>
      <c r="I16" s="778"/>
      <c r="J16" s="778"/>
      <c r="K16" s="778"/>
      <c r="L16" s="778"/>
      <c r="M16" s="778"/>
      <c r="N16" s="778"/>
    </row>
    <row r="17" spans="1:15" s="33" customFormat="1" ht="3.75" customHeight="1" thickBot="1">
      <c r="A17" s="124"/>
      <c r="B17" s="133"/>
      <c r="C17" s="134"/>
      <c r="D17" s="135"/>
      <c r="E17" s="136"/>
      <c r="F17" s="137"/>
      <c r="G17" s="137"/>
      <c r="H17" s="138"/>
      <c r="I17" s="139"/>
      <c r="J17" s="140"/>
      <c r="K17" s="129"/>
      <c r="L17" s="130"/>
      <c r="M17" s="131"/>
      <c r="N17" s="132"/>
    </row>
    <row r="18" spans="1:15" s="33" customFormat="1" ht="22.5" customHeight="1" thickBot="1">
      <c r="A18" s="124"/>
      <c r="B18" s="802" t="s">
        <v>116</v>
      </c>
      <c r="C18" s="764"/>
      <c r="D18" s="809" t="s">
        <v>119</v>
      </c>
      <c r="E18" s="810"/>
      <c r="F18" s="810"/>
      <c r="G18" s="811"/>
      <c r="H18" s="127"/>
      <c r="I18" s="806" t="s">
        <v>319</v>
      </c>
      <c r="J18" s="807"/>
      <c r="K18" s="807"/>
      <c r="L18" s="807"/>
      <c r="M18" s="808"/>
      <c r="N18" s="808"/>
    </row>
    <row r="19" spans="1:15" s="33" customFormat="1" ht="21.95" customHeight="1">
      <c r="A19" s="124"/>
      <c r="B19" s="334" t="s">
        <v>131</v>
      </c>
      <c r="C19" s="152"/>
      <c r="D19" s="783" t="str">
        <f>IF(ISBLANK(Management!C8),"",(Management!C8))</f>
        <v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imrpove  compliance and reduce treatment default on 27/09/2013 ( Order  #1051).  
Centrul PAS a implementat cerinta inaintată de Fondul Global vizavi de conditii precedente( CP), inainte de semnarea acordului de grant, avînd NO de la FG. Celelalte doua conditii precedente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distributi  instituțiilor relevante de către OMS  în 2013.  Planul strategic menționat a fost aprobat de cître Ministerul Sănătății  la 27/09/2013 , ordinul # 1051. </v>
      </c>
      <c r="E19" s="783"/>
      <c r="F19" s="783"/>
      <c r="G19" s="784"/>
      <c r="H19" s="153"/>
      <c r="I19" s="803"/>
      <c r="J19" s="804"/>
      <c r="K19" s="804"/>
      <c r="L19" s="804"/>
      <c r="M19" s="804"/>
      <c r="N19" s="805"/>
    </row>
    <row r="20" spans="1:15" ht="24.75" customHeight="1">
      <c r="A20" s="118"/>
      <c r="B20" s="335" t="s">
        <v>132</v>
      </c>
      <c r="C20" s="154"/>
      <c r="D20" s="761" t="str">
        <f>IF(ISBLANK(Management!I8),"",(Management!I8))</f>
        <v>All key positions of the management department are filled in by the PR.  
Toate functiile sunt completate de RP.</v>
      </c>
      <c r="E20" s="761" t="e">
        <f>+'Introducerea datelor'!D72/'Introducerea datelor'!G72</f>
        <v>#DIV/0!</v>
      </c>
      <c r="F20" s="761" t="e">
        <f>+('Introducerea datelor'!E72+'Introducerea datelor'!F72)/'Introducerea datelor'!G72</f>
        <v>#DIV/0!</v>
      </c>
      <c r="G20" s="762"/>
      <c r="H20" s="153"/>
      <c r="I20" s="779"/>
      <c r="J20" s="780"/>
      <c r="K20" s="780"/>
      <c r="L20" s="780"/>
      <c r="M20" s="780"/>
      <c r="N20" s="781"/>
      <c r="O20" s="34"/>
    </row>
    <row r="21" spans="1:15" ht="29.25" customHeight="1">
      <c r="A21" s="118"/>
      <c r="B21" s="336" t="s">
        <v>133</v>
      </c>
      <c r="C21" s="154"/>
      <c r="D21" s="761" t="str">
        <f>IF(ISBLANK(Management!C16),"",(Management!C16))</f>
        <v xml:space="preserve">Soros Moldova Foundation was not assessed due to its proved experience in grants' implementation.  
Fundația Soros-Moldova nu a fost evaluată ținînd cont de semnificativa experiență în implementarea  granturilor.  </v>
      </c>
      <c r="E21" s="761"/>
      <c r="F21" s="761"/>
      <c r="G21" s="762"/>
      <c r="H21" s="153"/>
      <c r="I21" s="779"/>
      <c r="J21" s="780"/>
      <c r="K21" s="780"/>
      <c r="L21" s="780"/>
      <c r="M21" s="780"/>
      <c r="N21" s="781"/>
      <c r="O21" s="34"/>
    </row>
    <row r="22" spans="1:15" ht="26.25" customHeight="1">
      <c r="A22" s="118"/>
      <c r="B22" s="336" t="s">
        <v>134</v>
      </c>
      <c r="C22" s="154"/>
      <c r="D22" s="761" t="str">
        <f>IF(ISBLANK(Management!I16),"",(Management!I16))</f>
        <v xml:space="preserve">For the reported period, January-June 2015, 7 SSRs were involved in TB related activities, from which one ("Aktiv" from Bender) is acting as SSR for two SRs - Soros Foundation Moldova and NGO "AFI".                                                                                                                                                                                                                                                               In perioada de raportare, ianuarie-iunie 2015, 7 sub-subrecipienți au realizat activități conexe programului de control al TB, din care o organizație (ONG Aktiv)  activează în calitate de subsub recipient pentru doi SR: Fundația Soros - Moldova și ONG "AFI".  </v>
      </c>
      <c r="E22" s="761"/>
      <c r="F22" s="761"/>
      <c r="G22" s="762"/>
      <c r="H22" s="153"/>
      <c r="I22" s="779"/>
      <c r="J22" s="780"/>
      <c r="K22" s="780"/>
      <c r="L22" s="780"/>
      <c r="M22" s="780"/>
      <c r="N22" s="781"/>
      <c r="O22" s="34"/>
    </row>
    <row r="23" spans="1:15" ht="24.75" customHeight="1">
      <c r="A23" s="118"/>
      <c r="B23" s="336" t="s">
        <v>135</v>
      </c>
      <c r="C23" s="154"/>
      <c r="D23" s="761" t="str">
        <f>IF(ISBLANK(Management!C27),"",(Management!C27))</f>
        <v/>
      </c>
      <c r="E23" s="761"/>
      <c r="F23" s="761"/>
      <c r="G23" s="762"/>
      <c r="H23" s="153"/>
      <c r="I23" s="779"/>
      <c r="J23" s="780"/>
      <c r="K23" s="780"/>
      <c r="L23" s="780"/>
      <c r="M23" s="780"/>
      <c r="N23" s="781"/>
      <c r="O23" s="34"/>
    </row>
    <row r="24" spans="1:15" ht="27" customHeight="1" thickBot="1">
      <c r="A24" s="118"/>
      <c r="B24" s="337" t="s">
        <v>137</v>
      </c>
      <c r="C24" s="155"/>
      <c r="D24" s="785" t="str">
        <f>IF(ISBLANK(Management!I27),"",(Management!I27))</f>
        <v/>
      </c>
      <c r="E24" s="785"/>
      <c r="F24" s="785"/>
      <c r="G24" s="786"/>
      <c r="H24" s="153"/>
      <c r="I24" s="775"/>
      <c r="J24" s="776"/>
      <c r="K24" s="776"/>
      <c r="L24" s="776"/>
      <c r="M24" s="776"/>
      <c r="N24" s="777"/>
      <c r="O24" s="34"/>
    </row>
    <row r="25" spans="1:15" ht="4.5" customHeight="1">
      <c r="A25" s="120"/>
      <c r="B25" s="125"/>
      <c r="C25" s="126"/>
      <c r="D25" s="141"/>
      <c r="E25" s="142"/>
      <c r="F25" s="143"/>
      <c r="G25" s="143"/>
      <c r="H25" s="127"/>
      <c r="I25" s="142"/>
      <c r="J25" s="128"/>
      <c r="K25" s="129"/>
      <c r="L25" s="130"/>
      <c r="M25" s="131"/>
      <c r="N25" s="132"/>
      <c r="O25" s="34"/>
    </row>
    <row r="26" spans="1:15" s="32" customFormat="1" ht="21" customHeight="1" thickBot="1">
      <c r="A26" s="120"/>
      <c r="B26" s="778" t="s">
        <v>121</v>
      </c>
      <c r="C26" s="778"/>
      <c r="D26" s="778"/>
      <c r="E26" s="778"/>
      <c r="F26" s="778"/>
      <c r="G26" s="778"/>
      <c r="H26" s="778"/>
      <c r="I26" s="778"/>
      <c r="J26" s="778"/>
      <c r="K26" s="778"/>
      <c r="L26" s="778"/>
      <c r="M26" s="778"/>
      <c r="N26" s="778"/>
    </row>
    <row r="27" spans="1:15" ht="3.75" customHeight="1" thickBot="1">
      <c r="A27" s="120"/>
      <c r="B27" s="125"/>
      <c r="C27" s="126"/>
      <c r="D27" s="141"/>
      <c r="E27" s="142"/>
      <c r="F27" s="143"/>
      <c r="G27" s="143"/>
      <c r="H27" s="127"/>
      <c r="I27" s="142"/>
      <c r="J27" s="128"/>
      <c r="K27" s="129"/>
      <c r="L27" s="130"/>
      <c r="M27" s="131"/>
      <c r="N27" s="132"/>
      <c r="O27" s="34"/>
    </row>
    <row r="28" spans="1:15" ht="21.75" customHeight="1" thickBot="1">
      <c r="A28" s="118"/>
      <c r="B28" s="763" t="s">
        <v>38</v>
      </c>
      <c r="C28" s="764"/>
      <c r="D28" s="772" t="s">
        <v>119</v>
      </c>
      <c r="E28" s="773"/>
      <c r="F28" s="773"/>
      <c r="G28" s="774"/>
      <c r="H28" s="127"/>
      <c r="I28" s="772" t="s">
        <v>319</v>
      </c>
      <c r="J28" s="773"/>
      <c r="K28" s="773"/>
      <c r="L28" s="773"/>
      <c r="M28" s="773"/>
      <c r="N28" s="774"/>
      <c r="O28" s="34"/>
    </row>
    <row r="29" spans="1:15" ht="113.25" customHeight="1">
      <c r="A29" s="118"/>
      <c r="B29" s="338" t="s">
        <v>320</v>
      </c>
      <c r="C29" s="156"/>
      <c r="D29" s="769" t="str">
        <f>IF(ISBLANK(Programatic!C9),"",(Programatic!C9))</f>
        <v xml:space="preserve">During S9, 858 TB patients registered under DOTS program received incentives for improved treatment compliance.                                                                                                                                                                                           Pe parcursul semestrului 9, 858 pacienți cu TB înregistrați în programul DOTS au primit stimulente pentru îmbunătățirea respectării tratamentului. Indicatorul este atins in proportie de 80,%. </v>
      </c>
      <c r="E29" s="770"/>
      <c r="F29" s="770"/>
      <c r="G29" s="771"/>
      <c r="H29" s="153"/>
      <c r="I29" s="766"/>
      <c r="J29" s="767"/>
      <c r="K29" s="767"/>
      <c r="L29" s="767"/>
      <c r="M29" s="767"/>
      <c r="N29" s="768"/>
      <c r="O29" s="34"/>
    </row>
    <row r="30" spans="1:15" ht="103.5" customHeight="1">
      <c r="A30" s="118"/>
      <c r="B30" s="339" t="s">
        <v>321</v>
      </c>
      <c r="C30" s="157"/>
      <c r="D30" s="765" t="str">
        <f>IF(ISBLANK(Programatic!G9),"",(Programatic!G9))</f>
        <v xml:space="preserve">In S9 a total of 316 MDR-TB patients were received incentives for improved treatment compliance . The indicator is achieved.                                                                                                                                                                                                                                             În semestrul 9 un total de 316 de pacienţi MDR-TB au primit stimulente pentru îmbunătățirea respectării tratamentului.  Indicatorul este atins. </v>
      </c>
      <c r="E30" s="759"/>
      <c r="F30" s="759"/>
      <c r="G30" s="760"/>
      <c r="H30" s="153"/>
      <c r="I30" s="755"/>
      <c r="J30" s="756"/>
      <c r="K30" s="756"/>
      <c r="L30" s="756"/>
      <c r="M30" s="756"/>
      <c r="N30" s="757"/>
      <c r="O30" s="34"/>
    </row>
    <row r="31" spans="1:15" ht="114.75" customHeight="1">
      <c r="A31" s="118"/>
      <c r="B31" s="339" t="s">
        <v>322</v>
      </c>
      <c r="C31" s="157"/>
      <c r="D31" s="765" t="str">
        <f>IF(ISBLANK(Programatic!M9),"",(Programatic!M9))</f>
        <v xml:space="preserve">During S9 a total of 83 persons were trained, from them: 27 people from multidisciplinary teams of the community center; 25 people from NGOs in DOT and TB community aspects and 31 volunteers trained from the NGOs network in TB community aspects.                                                                                                                                                                                                               Pe parcursul semestrului 9, un total de 83 de persoane au fost instruite, dintre care: 27 persoane din echipele multidisciplinare ale centrelor comunitare; 25 persoane din ONG-uri care implementează activități de DOT și în aspecte comunitare în controlul tuberculozei TB şi 31 voluntari din reţeaua de ONG-uri. </v>
      </c>
      <c r="E31" s="759"/>
      <c r="F31" s="759"/>
      <c r="G31" s="760"/>
      <c r="H31" s="153"/>
      <c r="I31" s="755"/>
      <c r="J31" s="756"/>
      <c r="K31" s="756"/>
      <c r="L31" s="756"/>
      <c r="M31" s="756"/>
      <c r="N31" s="757"/>
      <c r="O31" s="34"/>
    </row>
    <row r="32" spans="1:15" ht="124.5" customHeight="1">
      <c r="A32" s="118"/>
      <c r="B32" s="340" t="s">
        <v>127</v>
      </c>
      <c r="C32" s="157"/>
      <c r="D32" s="758" t="str">
        <f>IF(ISBLANK(Programatic!L20),"",(Programatic!L20))</f>
        <v xml:space="preserve">During S9, 858 TB patients registered under DOTS program received incentives for improved treatment compliance.                                                                                                                                                                                           Pe parcursul semestrului 9, 858 pacienți cu TB înregistrați în programul DOTS au primit stimulente pentru îmbunătățirea respectării tratamentului. Indicatorul este atins in proportie de 80,%. </v>
      </c>
      <c r="E32" s="759"/>
      <c r="F32" s="759"/>
      <c r="G32" s="760"/>
      <c r="H32" s="153"/>
      <c r="I32" s="755"/>
      <c r="J32" s="756"/>
      <c r="K32" s="756"/>
      <c r="L32" s="756"/>
      <c r="M32" s="756"/>
      <c r="N32" s="757"/>
      <c r="O32" s="34"/>
    </row>
    <row r="33" spans="1:15" ht="104.25" customHeight="1">
      <c r="A33" s="118"/>
      <c r="B33" s="340" t="s">
        <v>128</v>
      </c>
      <c r="C33" s="157"/>
      <c r="D33" s="758" t="str">
        <f>IF(ISBLANK(Programatic!L21),"",(Programatic!L21))</f>
        <v xml:space="preserve">In S9 a total of 316 MDR-TB patients were received incentives for improved treatment compliance . The indicator is achieved.                                                                                                                                                                                                                                             În semestrul 9 un total de 316 de pacienţi MDR-TB au primit stimulente pentru îmbunătățirea respectării tratamentului.  Indicatorul este atins. </v>
      </c>
      <c r="E33" s="759"/>
      <c r="F33" s="759"/>
      <c r="G33" s="760"/>
      <c r="H33" s="153"/>
      <c r="I33" s="755"/>
      <c r="J33" s="756"/>
      <c r="K33" s="756"/>
      <c r="L33" s="756"/>
      <c r="M33" s="756"/>
      <c r="N33" s="757"/>
      <c r="O33" s="34"/>
    </row>
    <row r="34" spans="1:15" ht="112.5" customHeight="1">
      <c r="A34" s="118"/>
      <c r="B34" s="340" t="s">
        <v>129</v>
      </c>
      <c r="C34" s="157"/>
      <c r="D34" s="758" t="str">
        <f>IF(ISBLANK(Programatic!L22),"",(Programatic!L22))</f>
        <v xml:space="preserve">During S9 a total of 83 persons were trained, from them: 27 people from multidisciplinary teams of the community center; 25 people from NGOs in DOT and TB community aspects and 31 volunteers trained from the NGOs network in TB community aspects.                                                                                                                                                                                                               Pe parcursul semestrului 9, un total de 83 de persoane au fost instruite, dintre care: 27 persoane din echipele multidisciplinare ale centrelor comunitare; 25 persoane din ONG-uri care implementează activități de DOT și în aspecte comunitare în controlul tuberculozei TB şi 31 voluntari din reţeaua de ONG-uri. </v>
      </c>
      <c r="E34" s="759"/>
      <c r="F34" s="759"/>
      <c r="G34" s="760"/>
      <c r="H34" s="153"/>
      <c r="I34" s="755"/>
      <c r="J34" s="756"/>
      <c r="K34" s="756"/>
      <c r="L34" s="756"/>
      <c r="M34" s="756"/>
      <c r="N34" s="757"/>
      <c r="O34" s="34"/>
    </row>
    <row r="35" spans="1:15" ht="40.5" customHeight="1">
      <c r="A35" s="118"/>
      <c r="B35" s="340" t="s">
        <v>130</v>
      </c>
      <c r="C35" s="188"/>
      <c r="D35" s="758" t="str">
        <f>IF(ISBLANK(Programatic!L23),"",(Programatic!L23))</f>
        <v>This indicator is reported annually.                                                                                                                                              Acest indicator este raportat anual.</v>
      </c>
      <c r="E35" s="759"/>
      <c r="F35" s="759"/>
      <c r="G35" s="760"/>
      <c r="H35" s="153"/>
      <c r="I35" s="755"/>
      <c r="J35" s="756"/>
      <c r="K35" s="756"/>
      <c r="L35" s="756"/>
      <c r="M35" s="756"/>
      <c r="N35" s="757"/>
      <c r="O35" s="34"/>
    </row>
    <row r="36" spans="1:15" ht="186.75" customHeight="1">
      <c r="A36" s="118"/>
      <c r="B36" s="340" t="s">
        <v>138</v>
      </c>
      <c r="C36" s="188"/>
      <c r="D36" s="758" t="str">
        <f>IF(ISBLANK(Programatic!L24),"",(Programatic!L24))</f>
        <v xml:space="preserve">During S9, 380 of new TB patients provided with DOT by the community (community centers and NGOs) received at least 25 DOT interventions during 1 month (visit to DOT center by the patient or visit to the patient by DOT supporters for drug intake).  For reporting period the indicator is overachieved in proportion of 118%. Reason for variance: AO AFI included and registered all the new TB patients provided in lists by Community Centers.                     Pe parcursul S9, 380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118%.  Motivul pentru variaţii: AO AFI au înclus şi înregistrat toţi pacienţii noi de TB prevăzuți în listele centrelor comunitare). </v>
      </c>
      <c r="E36" s="759"/>
      <c r="F36" s="759"/>
      <c r="G36" s="760"/>
      <c r="H36" s="153"/>
      <c r="I36" s="755"/>
      <c r="J36" s="756"/>
      <c r="K36" s="756"/>
      <c r="L36" s="756"/>
      <c r="M36" s="756"/>
      <c r="N36" s="757"/>
      <c r="O36" s="34"/>
    </row>
    <row r="37" spans="1:15" ht="69.75" customHeight="1">
      <c r="A37" s="118"/>
      <c r="B37" s="340" t="s">
        <v>139</v>
      </c>
      <c r="C37" s="188"/>
      <c r="D37" s="758" t="str">
        <f>IF(ISBLANK(Programatic!L25),"",(Programatic!L25))</f>
        <v>In S9, 200 people (TB/HIV patients and their families) were reached by peer support groups.                                                                                                            The indicator is achieved.    În timpul S9, 200 de persoane (TB/HIV pacienţii şi familiile lor) au beneficiat de suport de la egal la egal. Indicatorul este atins</v>
      </c>
      <c r="E37" s="759"/>
      <c r="F37" s="759"/>
      <c r="G37" s="760"/>
      <c r="H37" s="153"/>
      <c r="I37" s="755"/>
      <c r="J37" s="756"/>
      <c r="K37" s="756"/>
      <c r="L37" s="756"/>
      <c r="M37" s="756"/>
      <c r="N37" s="757"/>
      <c r="O37" s="34"/>
    </row>
    <row r="38" spans="1:15" ht="372" customHeight="1">
      <c r="A38" s="118"/>
      <c r="B38" s="340" t="s">
        <v>140</v>
      </c>
      <c r="C38" s="188"/>
      <c r="D38" s="758" t="str">
        <f>IF(ISBLANK(Programatic!L26),"",(Programatic!L26))</f>
        <v xml:space="preserve"> In S9, a total of 153 of peer educators trained to carry out informational work on TB. In S9, un total de 153 de  educători de la egal la egal instruiți să efectueze lucrul informațional pe TB.</v>
      </c>
      <c r="E38" s="759"/>
      <c r="F38" s="759"/>
      <c r="G38" s="760"/>
      <c r="H38" s="153"/>
      <c r="I38" s="755"/>
      <c r="J38" s="756"/>
      <c r="K38" s="756"/>
      <c r="L38" s="756"/>
      <c r="M38" s="756"/>
      <c r="N38" s="757"/>
      <c r="O38" s="34"/>
    </row>
    <row r="39" spans="1:15" ht="246.75" customHeight="1">
      <c r="A39" s="118"/>
      <c r="B39" s="340" t="s">
        <v>141</v>
      </c>
      <c r="C39" s="188"/>
      <c r="D39" s="758" t="str">
        <f>IF(ISBLANK(Programatic!L27),"",(Programatic!L27))</f>
        <v>In S 9 a total of 25 TB service staff trained in DR-TB management. The indicator is achieved. In S9 un total de 25 persoane din serviciu TB au fost instruiți în managementul TB-MDR. Indicatorul este realizat.</v>
      </c>
      <c r="E39" s="759"/>
      <c r="F39" s="759"/>
      <c r="G39" s="760"/>
      <c r="H39" s="153"/>
      <c r="I39" s="755"/>
      <c r="J39" s="756"/>
      <c r="K39" s="756"/>
      <c r="L39" s="756"/>
      <c r="M39" s="756"/>
      <c r="N39" s="757"/>
      <c r="O39" s="34"/>
    </row>
    <row r="40" spans="1:15" ht="86.25" customHeight="1" thickBot="1">
      <c r="A40" s="118"/>
      <c r="B40" s="340" t="s">
        <v>142</v>
      </c>
      <c r="C40" s="158"/>
      <c r="D40" s="758" t="str">
        <f>IF(ISBLANK(Programatic!L28),"",(Programatic!L28))</f>
        <v xml:space="preserve">During thefirst half of 2015, 19 eligible prison inmates on TB treatment were released. All of them were supported through the TB follow up program. În prima jumătate a anului 2015, 19 deținuți eligibile pe tratamentul tuberculozei au fost eliberați. Toți aceștia au fost susţinuți prin programul tratamentului TB de follow-up. </v>
      </c>
      <c r="E40" s="759"/>
      <c r="F40" s="759"/>
      <c r="G40" s="760"/>
      <c r="H40" s="153"/>
      <c r="I40" s="752"/>
      <c r="J40" s="753"/>
      <c r="K40" s="753"/>
      <c r="L40" s="753"/>
      <c r="M40" s="753"/>
      <c r="N40" s="754"/>
      <c r="O40" s="34"/>
    </row>
    <row r="41" spans="1:15" ht="282.75" customHeight="1" thickBot="1">
      <c r="A41" s="118"/>
      <c r="B41" s="340" t="s">
        <v>143</v>
      </c>
      <c r="C41" s="158"/>
      <c r="D41" s="758" t="str">
        <f>IF(ISBLANK(Programatic!L29),"",(Programatic!L29))</f>
        <v>During S9, a total of 54 medical staff were trained.  The indicator is achieved.  În timpul S9, au fost instruiţi un total de 54 cadre medicale.  Indicatorul este atins.</v>
      </c>
      <c r="E41" s="759"/>
      <c r="F41" s="759"/>
      <c r="G41" s="760"/>
      <c r="H41" s="153"/>
      <c r="I41" s="752"/>
      <c r="J41" s="753"/>
      <c r="K41" s="753"/>
      <c r="L41" s="753"/>
      <c r="M41" s="753"/>
      <c r="N41" s="754"/>
      <c r="O41" s="34"/>
    </row>
  </sheetData>
  <mergeCells count="65">
    <mergeCell ref="B10:C10"/>
    <mergeCell ref="D10:G10"/>
    <mergeCell ref="D11:G11"/>
    <mergeCell ref="I13:N13"/>
    <mergeCell ref="D22:G22"/>
    <mergeCell ref="D20:G20"/>
    <mergeCell ref="I20:N20"/>
    <mergeCell ref="B18:C18"/>
    <mergeCell ref="I19:N19"/>
    <mergeCell ref="I18:N18"/>
    <mergeCell ref="D18:G18"/>
    <mergeCell ref="I22:N22"/>
    <mergeCell ref="D21:G21"/>
    <mergeCell ref="B2:N2"/>
    <mergeCell ref="E5:K5"/>
    <mergeCell ref="E6:K6"/>
    <mergeCell ref="E3:K3"/>
    <mergeCell ref="C4:D4"/>
    <mergeCell ref="E4:K4"/>
    <mergeCell ref="C3:D3"/>
    <mergeCell ref="I24:N24"/>
    <mergeCell ref="I28:N28"/>
    <mergeCell ref="B8:N8"/>
    <mergeCell ref="I21:N21"/>
    <mergeCell ref="D13:G13"/>
    <mergeCell ref="D19:G19"/>
    <mergeCell ref="D24:G24"/>
    <mergeCell ref="B26:N26"/>
    <mergeCell ref="B16:N16"/>
    <mergeCell ref="D14:G14"/>
    <mergeCell ref="I23:N23"/>
    <mergeCell ref="D12:G12"/>
    <mergeCell ref="I12:N12"/>
    <mergeCell ref="I11:N11"/>
    <mergeCell ref="I14:N14"/>
    <mergeCell ref="I10:N10"/>
    <mergeCell ref="I34:N34"/>
    <mergeCell ref="D32:G32"/>
    <mergeCell ref="D23:G23"/>
    <mergeCell ref="B28:C28"/>
    <mergeCell ref="I36:N36"/>
    <mergeCell ref="I30:N30"/>
    <mergeCell ref="I31:N31"/>
    <mergeCell ref="I32:N32"/>
    <mergeCell ref="D30:G30"/>
    <mergeCell ref="I29:N29"/>
    <mergeCell ref="I33:N33"/>
    <mergeCell ref="D31:G31"/>
    <mergeCell ref="D33:G33"/>
    <mergeCell ref="D34:G34"/>
    <mergeCell ref="D29:G29"/>
    <mergeCell ref="D28:G28"/>
    <mergeCell ref="I40:N40"/>
    <mergeCell ref="I35:N35"/>
    <mergeCell ref="D37:G37"/>
    <mergeCell ref="D41:G41"/>
    <mergeCell ref="I41:N41"/>
    <mergeCell ref="D40:G40"/>
    <mergeCell ref="D39:G39"/>
    <mergeCell ref="D35:G35"/>
    <mergeCell ref="I38:N38"/>
    <mergeCell ref="D36:G36"/>
    <mergeCell ref="D38:G38"/>
    <mergeCell ref="I39:N39"/>
    <mergeCell ref="I37:N37"/>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04" t="str">
        <f>+"Dashboard:  "&amp;"  "&amp;IF(+'Introducerea datelor'!C4="Please Select","",'Introducerea datelor'!C4&amp;" - ")&amp;IF('Introducerea datelor'!G6="Please Select","",'Introducerea datelor'!G6)</f>
        <v>Dashboard:    Moldova - TB</v>
      </c>
      <c r="C2" s="704"/>
      <c r="D2" s="704"/>
      <c r="E2" s="704"/>
      <c r="F2" s="704"/>
      <c r="G2" s="704"/>
      <c r="H2" s="704"/>
      <c r="I2" s="704"/>
      <c r="J2" s="704"/>
      <c r="K2" s="704"/>
      <c r="L2" s="704"/>
    </row>
    <row r="3" spans="1:13">
      <c r="B3" s="23" t="str">
        <f>+IF('Introducerea datelor'!G8="Please Select","",'Introducerea datelor'!G8)</f>
        <v>Round 9</v>
      </c>
      <c r="C3" s="712" t="str">
        <f>+IF('Introducerea datelor'!I8="Please Select","",'Introducerea datelor'!I8)</f>
        <v>Phase 2</v>
      </c>
      <c r="D3" s="712"/>
      <c r="E3" s="706"/>
      <c r="F3" s="706"/>
      <c r="G3" s="706"/>
      <c r="H3" s="706"/>
      <c r="I3" s="706"/>
      <c r="J3" s="707" t="str">
        <f>+'Introducerea datelor'!B16</f>
        <v>Report Period(Perioada de Raportare):</v>
      </c>
      <c r="K3" s="707"/>
      <c r="L3" s="162" t="str">
        <f>+'Introducerea datelor'!C16</f>
        <v>P12</v>
      </c>
      <c r="M3" s="81"/>
    </row>
    <row r="4" spans="1:13">
      <c r="B4" s="23" t="str">
        <f>+'Introducerea datelor'!B12</f>
        <v>Latest Rating (Ultimul Rating):</v>
      </c>
      <c r="C4" s="820" t="str">
        <f>+IF('Introducerea datelor'!C12="Please Select","",'Introducerea datelor'!C12)</f>
        <v>A1</v>
      </c>
      <c r="D4" s="820"/>
      <c r="E4" s="706" t="str">
        <f>+'Introducerea datelor'!C8</f>
        <v>PAS Center</v>
      </c>
      <c r="F4" s="706"/>
      <c r="G4" s="706"/>
      <c r="H4" s="706"/>
      <c r="I4" s="706"/>
      <c r="J4" s="707" t="str">
        <f>+'Introducerea datelor'!D16</f>
        <v>From(De la):</v>
      </c>
      <c r="K4" s="708"/>
      <c r="L4" s="163">
        <f>+IF(ISBLANK('Introducerea datelor'!E16),"",'Introducerea datelor'!E16)</f>
        <v>42005</v>
      </c>
    </row>
    <row r="5" spans="1:13" ht="18.75" customHeight="1">
      <c r="B5" s="23"/>
      <c r="C5" s="23"/>
      <c r="D5" s="706" t="str">
        <f>+'Introducerea datelor'!G4</f>
        <v>Empowerment of people with TB and Communities in Moldova</v>
      </c>
      <c r="E5" s="706"/>
      <c r="F5" s="706"/>
      <c r="G5" s="706"/>
      <c r="H5" s="706"/>
      <c r="I5" s="706"/>
      <c r="J5" s="706"/>
      <c r="K5" s="23" t="str">
        <f>+'Introducerea datelor'!F16</f>
        <v>To(Pînă la):</v>
      </c>
      <c r="L5" s="163">
        <f>+IF(ISBLANK('Introducerea datelor'!G16),"",'Introducerea datelor'!G16)</f>
        <v>42185</v>
      </c>
    </row>
    <row r="6" spans="1:13" ht="18.75">
      <c r="B6" s="22"/>
      <c r="C6" s="23"/>
      <c r="D6" s="24"/>
      <c r="E6" s="705" t="s">
        <v>356</v>
      </c>
      <c r="F6" s="705"/>
      <c r="G6" s="705"/>
      <c r="H6" s="705"/>
      <c r="I6" s="705"/>
    </row>
    <row r="7" spans="1:13" ht="18.75">
      <c r="E7" s="68"/>
      <c r="F7" s="68"/>
      <c r="G7" s="68"/>
      <c r="H7" s="68"/>
      <c r="I7" s="68"/>
    </row>
    <row r="8" spans="1:13" s="32" customFormat="1" ht="21" customHeight="1" thickBot="1">
      <c r="B8" s="72" t="s">
        <v>117</v>
      </c>
      <c r="C8" s="72"/>
      <c r="D8" s="72"/>
      <c r="E8" s="72"/>
      <c r="F8" s="72"/>
      <c r="G8" s="72"/>
      <c r="H8" s="72"/>
      <c r="I8" s="72"/>
      <c r="J8" s="72"/>
      <c r="K8" s="72"/>
      <c r="L8" s="72"/>
    </row>
    <row r="9" spans="1:13" ht="6" customHeight="1">
      <c r="B9" s="70"/>
    </row>
    <row r="10" spans="1:13">
      <c r="B10" s="827"/>
      <c r="C10" s="828"/>
      <c r="D10" s="828"/>
      <c r="E10" s="828"/>
      <c r="F10" s="828"/>
      <c r="G10" s="828"/>
      <c r="H10" s="828"/>
      <c r="I10" s="828"/>
      <c r="J10" s="828"/>
      <c r="K10" s="828"/>
      <c r="L10" s="829"/>
    </row>
    <row r="11" spans="1:13">
      <c r="B11" s="830"/>
      <c r="C11" s="831"/>
      <c r="D11" s="831"/>
      <c r="E11" s="831"/>
      <c r="F11" s="831"/>
      <c r="G11" s="831"/>
      <c r="H11" s="831"/>
      <c r="I11" s="831"/>
      <c r="J11" s="831"/>
      <c r="K11" s="831"/>
      <c r="L11" s="832"/>
    </row>
    <row r="12" spans="1:13" ht="15.75" thickBot="1"/>
    <row r="13" spans="1:13" ht="26.25" customHeight="1" thickBot="1">
      <c r="B13" s="824" t="s">
        <v>312</v>
      </c>
      <c r="C13" s="825"/>
      <c r="D13" s="825"/>
      <c r="E13" s="826"/>
      <c r="F13" s="73"/>
      <c r="G13" s="823" t="s">
        <v>146</v>
      </c>
      <c r="H13" s="818"/>
      <c r="I13" s="818"/>
      <c r="J13" s="74" t="s">
        <v>118</v>
      </c>
      <c r="K13" s="818" t="s">
        <v>303</v>
      </c>
      <c r="L13" s="819"/>
    </row>
    <row r="14" spans="1:13">
      <c r="A14" s="838" t="s">
        <v>313</v>
      </c>
      <c r="B14" s="841"/>
      <c r="C14" s="841"/>
      <c r="D14" s="841"/>
      <c r="E14" s="842"/>
      <c r="F14" s="43"/>
      <c r="G14" s="843"/>
      <c r="H14" s="821"/>
      <c r="I14" s="821"/>
      <c r="J14" s="821"/>
      <c r="K14" s="821"/>
      <c r="L14" s="822"/>
    </row>
    <row r="15" spans="1:13">
      <c r="A15" s="839"/>
      <c r="B15" s="841"/>
      <c r="C15" s="841"/>
      <c r="D15" s="841"/>
      <c r="E15" s="842"/>
      <c r="F15" s="43"/>
      <c r="G15" s="844"/>
      <c r="H15" s="814"/>
      <c r="I15" s="814"/>
      <c r="J15" s="814"/>
      <c r="K15" s="814"/>
      <c r="L15" s="815"/>
    </row>
    <row r="16" spans="1:13">
      <c r="A16" s="839"/>
      <c r="B16" s="841"/>
      <c r="C16" s="841"/>
      <c r="D16" s="841"/>
      <c r="E16" s="842"/>
      <c r="F16" s="43"/>
      <c r="G16" s="844"/>
      <c r="H16" s="814"/>
      <c r="I16" s="814"/>
      <c r="J16" s="814"/>
      <c r="K16" s="814"/>
      <c r="L16" s="815"/>
    </row>
    <row r="17" spans="1:12">
      <c r="A17" s="839"/>
      <c r="B17" s="841"/>
      <c r="C17" s="841"/>
      <c r="D17" s="841"/>
      <c r="E17" s="842"/>
      <c r="F17" s="43"/>
      <c r="G17" s="844"/>
      <c r="H17" s="814"/>
      <c r="I17" s="814"/>
      <c r="J17" s="814"/>
      <c r="K17" s="814"/>
      <c r="L17" s="815"/>
    </row>
    <row r="18" spans="1:12">
      <c r="A18" s="839"/>
      <c r="B18" s="841"/>
      <c r="C18" s="841"/>
      <c r="D18" s="841"/>
      <c r="E18" s="842"/>
      <c r="F18" s="43"/>
      <c r="G18" s="855"/>
      <c r="H18" s="856"/>
      <c r="I18" s="857"/>
      <c r="J18" s="814"/>
      <c r="K18" s="814"/>
      <c r="L18" s="815"/>
    </row>
    <row r="19" spans="1:12" ht="30.75" customHeight="1">
      <c r="A19" s="839"/>
      <c r="B19" s="841"/>
      <c r="C19" s="841"/>
      <c r="D19" s="841"/>
      <c r="E19" s="842"/>
      <c r="F19" s="43"/>
      <c r="G19" s="852"/>
      <c r="H19" s="853"/>
      <c r="I19" s="858"/>
      <c r="J19" s="814"/>
      <c r="K19" s="814"/>
      <c r="L19" s="815"/>
    </row>
    <row r="20" spans="1:12">
      <c r="A20" s="839"/>
      <c r="B20" s="841"/>
      <c r="C20" s="841"/>
      <c r="D20" s="841"/>
      <c r="E20" s="842"/>
      <c r="F20" s="43"/>
      <c r="G20" s="844"/>
      <c r="H20" s="814"/>
      <c r="I20" s="814"/>
      <c r="J20" s="814"/>
      <c r="K20" s="814"/>
      <c r="L20" s="815"/>
    </row>
    <row r="21" spans="1:12">
      <c r="A21" s="839"/>
      <c r="B21" s="841"/>
      <c r="C21" s="841"/>
      <c r="D21" s="841"/>
      <c r="E21" s="842"/>
      <c r="F21" s="43"/>
      <c r="G21" s="844"/>
      <c r="H21" s="814"/>
      <c r="I21" s="814"/>
      <c r="J21" s="814"/>
      <c r="K21" s="814"/>
      <c r="L21" s="815"/>
    </row>
    <row r="22" spans="1:12">
      <c r="A22" s="839"/>
      <c r="B22" s="841"/>
      <c r="C22" s="841"/>
      <c r="D22" s="841"/>
      <c r="E22" s="842"/>
      <c r="F22" s="43"/>
      <c r="G22" s="844"/>
      <c r="H22" s="814"/>
      <c r="I22" s="814"/>
      <c r="J22" s="814"/>
      <c r="K22" s="814"/>
      <c r="L22" s="815"/>
    </row>
    <row r="23" spans="1:12">
      <c r="A23" s="839"/>
      <c r="B23" s="841"/>
      <c r="C23" s="841"/>
      <c r="D23" s="841"/>
      <c r="E23" s="842"/>
      <c r="F23" s="43"/>
      <c r="G23" s="844"/>
      <c r="H23" s="814"/>
      <c r="I23" s="814"/>
      <c r="J23" s="814"/>
      <c r="K23" s="814"/>
      <c r="L23" s="815"/>
    </row>
    <row r="24" spans="1:12">
      <c r="A24" s="839"/>
      <c r="B24" s="841"/>
      <c r="C24" s="841"/>
      <c r="D24" s="841"/>
      <c r="E24" s="842"/>
      <c r="F24" s="43"/>
      <c r="G24" s="844"/>
      <c r="H24" s="814"/>
      <c r="I24" s="814"/>
      <c r="J24" s="814"/>
      <c r="K24" s="814"/>
      <c r="L24" s="815"/>
    </row>
    <row r="25" spans="1:12" ht="15.75" thickBot="1">
      <c r="A25" s="840"/>
      <c r="B25" s="865"/>
      <c r="C25" s="865"/>
      <c r="D25" s="865"/>
      <c r="E25" s="866"/>
      <c r="F25" s="43"/>
      <c r="G25" s="860"/>
      <c r="H25" s="845"/>
      <c r="I25" s="845"/>
      <c r="J25" s="845"/>
      <c r="K25" s="845"/>
      <c r="L25" s="859"/>
    </row>
    <row r="27" spans="1:12" ht="18.75">
      <c r="E27" s="846" t="s">
        <v>335</v>
      </c>
      <c r="F27" s="846"/>
      <c r="G27" s="846"/>
      <c r="H27" s="846"/>
      <c r="I27" s="846"/>
    </row>
    <row r="28" spans="1:12" ht="6" customHeight="1">
      <c r="E28" s="68"/>
      <c r="F28" s="68"/>
      <c r="G28" s="68"/>
      <c r="H28" s="68"/>
      <c r="I28" s="68"/>
    </row>
    <row r="29" spans="1:12" s="32" customFormat="1" ht="21" customHeight="1" thickBot="1">
      <c r="B29" s="72" t="s">
        <v>117</v>
      </c>
      <c r="C29" s="72"/>
      <c r="D29" s="72"/>
      <c r="E29" s="72"/>
      <c r="F29" s="72"/>
      <c r="G29" s="72"/>
      <c r="H29" s="72"/>
      <c r="I29" s="72"/>
      <c r="J29" s="72"/>
      <c r="K29" s="72"/>
      <c r="L29" s="72"/>
    </row>
    <row r="30" spans="1:12" ht="6" customHeight="1" thickBot="1">
      <c r="B30" s="70"/>
    </row>
    <row r="31" spans="1:12" ht="21.75" customHeight="1" thickBot="1">
      <c r="B31" s="824" t="s">
        <v>146</v>
      </c>
      <c r="C31" s="825"/>
      <c r="D31" s="825"/>
      <c r="E31" s="826"/>
      <c r="F31" s="73"/>
      <c r="G31" s="823" t="s">
        <v>324</v>
      </c>
      <c r="H31" s="818"/>
      <c r="I31" s="818"/>
      <c r="J31" s="74" t="s">
        <v>305</v>
      </c>
      <c r="K31" s="818" t="s">
        <v>303</v>
      </c>
      <c r="L31" s="819"/>
    </row>
    <row r="32" spans="1:12" ht="14.25" customHeight="1">
      <c r="A32" s="838" t="s">
        <v>314</v>
      </c>
      <c r="B32" s="849"/>
      <c r="C32" s="850"/>
      <c r="D32" s="850"/>
      <c r="E32" s="851"/>
      <c r="F32" s="43"/>
      <c r="G32" s="847"/>
      <c r="H32" s="816"/>
      <c r="I32" s="816"/>
      <c r="J32" s="816"/>
      <c r="K32" s="816"/>
      <c r="L32" s="817"/>
    </row>
    <row r="33" spans="1:12" ht="16.5" customHeight="1">
      <c r="A33" s="839"/>
      <c r="B33" s="852"/>
      <c r="C33" s="853"/>
      <c r="D33" s="853"/>
      <c r="E33" s="854"/>
      <c r="F33" s="43"/>
      <c r="G33" s="834"/>
      <c r="H33" s="812"/>
      <c r="I33" s="812"/>
      <c r="J33" s="812"/>
      <c r="K33" s="812"/>
      <c r="L33" s="813"/>
    </row>
    <row r="34" spans="1:12">
      <c r="A34" s="839"/>
      <c r="B34" s="835" t="e">
        <f>IF(Recomandari!#REF!="","",Recomandari!#REF!)</f>
        <v>#REF!</v>
      </c>
      <c r="C34" s="836"/>
      <c r="D34" s="836"/>
      <c r="E34" s="837"/>
      <c r="F34" s="43"/>
      <c r="G34" s="834"/>
      <c r="H34" s="812"/>
      <c r="I34" s="812"/>
      <c r="J34" s="812"/>
      <c r="K34" s="812"/>
      <c r="L34" s="813"/>
    </row>
    <row r="35" spans="1:12">
      <c r="A35" s="839"/>
      <c r="B35" s="835"/>
      <c r="C35" s="836"/>
      <c r="D35" s="836"/>
      <c r="E35" s="837"/>
      <c r="F35" s="43"/>
      <c r="G35" s="834"/>
      <c r="H35" s="812"/>
      <c r="I35" s="812"/>
      <c r="J35" s="812"/>
      <c r="K35" s="812"/>
      <c r="L35" s="813"/>
    </row>
    <row r="36" spans="1:12">
      <c r="A36" s="839"/>
      <c r="B36" s="835" t="str">
        <f>+IF(Recomandari!I49="","",Recomandari!I49)</f>
        <v/>
      </c>
      <c r="C36" s="836"/>
      <c r="D36" s="836"/>
      <c r="E36" s="837"/>
      <c r="F36" s="43"/>
      <c r="G36" s="834"/>
      <c r="H36" s="812"/>
      <c r="I36" s="812"/>
      <c r="J36" s="812"/>
      <c r="K36" s="812"/>
      <c r="L36" s="813"/>
    </row>
    <row r="37" spans="1:12">
      <c r="A37" s="839"/>
      <c r="B37" s="835"/>
      <c r="C37" s="836"/>
      <c r="D37" s="836"/>
      <c r="E37" s="837"/>
      <c r="F37" s="43"/>
      <c r="G37" s="834"/>
      <c r="H37" s="812"/>
      <c r="I37" s="812"/>
      <c r="J37" s="812"/>
      <c r="K37" s="812"/>
      <c r="L37" s="813"/>
    </row>
    <row r="38" spans="1:12">
      <c r="A38" s="839"/>
      <c r="B38" s="835"/>
      <c r="C38" s="836"/>
      <c r="D38" s="836"/>
      <c r="E38" s="837"/>
      <c r="F38" s="43"/>
      <c r="G38" s="834"/>
      <c r="H38" s="812"/>
      <c r="I38" s="812"/>
      <c r="J38" s="812"/>
      <c r="K38" s="812"/>
      <c r="L38" s="813"/>
    </row>
    <row r="39" spans="1:12">
      <c r="A39" s="839"/>
      <c r="B39" s="835"/>
      <c r="C39" s="836"/>
      <c r="D39" s="836"/>
      <c r="E39" s="837"/>
      <c r="F39" s="43"/>
      <c r="G39" s="834"/>
      <c r="H39" s="812"/>
      <c r="I39" s="812"/>
      <c r="J39" s="812"/>
      <c r="K39" s="812"/>
      <c r="L39" s="813"/>
    </row>
    <row r="40" spans="1:12">
      <c r="A40" s="839"/>
      <c r="B40" s="835"/>
      <c r="C40" s="836"/>
      <c r="D40" s="836"/>
      <c r="E40" s="837"/>
      <c r="F40" s="43"/>
      <c r="G40" s="834"/>
      <c r="H40" s="812"/>
      <c r="I40" s="812"/>
      <c r="J40" s="812"/>
      <c r="K40" s="812"/>
      <c r="L40" s="813"/>
    </row>
    <row r="41" spans="1:12">
      <c r="A41" s="839"/>
      <c r="B41" s="835"/>
      <c r="C41" s="836"/>
      <c r="D41" s="836"/>
      <c r="E41" s="837"/>
      <c r="F41" s="43"/>
      <c r="G41" s="834"/>
      <c r="H41" s="812"/>
      <c r="I41" s="812"/>
      <c r="J41" s="812"/>
      <c r="K41" s="812"/>
      <c r="L41" s="813"/>
    </row>
    <row r="42" spans="1:12">
      <c r="A42" s="839"/>
      <c r="B42" s="835"/>
      <c r="C42" s="836"/>
      <c r="D42" s="836"/>
      <c r="E42" s="837"/>
      <c r="F42" s="43"/>
      <c r="G42" s="834"/>
      <c r="H42" s="812"/>
      <c r="I42" s="812"/>
      <c r="J42" s="812"/>
      <c r="K42" s="812"/>
      <c r="L42" s="813"/>
    </row>
    <row r="43" spans="1:12" ht="15.75" thickBot="1">
      <c r="A43" s="840"/>
      <c r="B43" s="861"/>
      <c r="C43" s="862"/>
      <c r="D43" s="862"/>
      <c r="E43" s="863"/>
      <c r="F43" s="43"/>
      <c r="G43" s="864"/>
      <c r="H43" s="833"/>
      <c r="I43" s="833"/>
      <c r="J43" s="833"/>
      <c r="K43" s="833"/>
      <c r="L43" s="848"/>
    </row>
  </sheetData>
  <mergeCells count="67">
    <mergeCell ref="J34:J35"/>
    <mergeCell ref="K42:L43"/>
    <mergeCell ref="B32:E33"/>
    <mergeCell ref="B34:E35"/>
    <mergeCell ref="K18:L19"/>
    <mergeCell ref="G18:I19"/>
    <mergeCell ref="K24:L25"/>
    <mergeCell ref="G24:I25"/>
    <mergeCell ref="B31:E31"/>
    <mergeCell ref="B42:E43"/>
    <mergeCell ref="G42:I43"/>
    <mergeCell ref="B24:E25"/>
    <mergeCell ref="K20:L21"/>
    <mergeCell ref="J32:J33"/>
    <mergeCell ref="G31:I31"/>
    <mergeCell ref="G20:I21"/>
    <mergeCell ref="A32:A43"/>
    <mergeCell ref="E27:I27"/>
    <mergeCell ref="G38:I39"/>
    <mergeCell ref="G32:I33"/>
    <mergeCell ref="B40:E41"/>
    <mergeCell ref="G34:I35"/>
    <mergeCell ref="A14:A25"/>
    <mergeCell ref="J18:J19"/>
    <mergeCell ref="J16:J17"/>
    <mergeCell ref="J14:J15"/>
    <mergeCell ref="B16:E17"/>
    <mergeCell ref="G14:I15"/>
    <mergeCell ref="B22:E23"/>
    <mergeCell ref="B20:E21"/>
    <mergeCell ref="J20:J21"/>
    <mergeCell ref="B14:E15"/>
    <mergeCell ref="J22:J23"/>
    <mergeCell ref="G16:I17"/>
    <mergeCell ref="B18:E19"/>
    <mergeCell ref="J24:J25"/>
    <mergeCell ref="G22:I23"/>
    <mergeCell ref="J42:J43"/>
    <mergeCell ref="G40:I41"/>
    <mergeCell ref="B38:E39"/>
    <mergeCell ref="J36:J37"/>
    <mergeCell ref="J40:J41"/>
    <mergeCell ref="J38:J39"/>
    <mergeCell ref="B36:E37"/>
    <mergeCell ref="G36:I37"/>
    <mergeCell ref="B2:L2"/>
    <mergeCell ref="C4:D4"/>
    <mergeCell ref="K14:L15"/>
    <mergeCell ref="K16:L17"/>
    <mergeCell ref="E3:I3"/>
    <mergeCell ref="J3:K3"/>
    <mergeCell ref="E4:I4"/>
    <mergeCell ref="J4:K4"/>
    <mergeCell ref="C3:D3"/>
    <mergeCell ref="G13:I13"/>
    <mergeCell ref="D5:J5"/>
    <mergeCell ref="B13:E13"/>
    <mergeCell ref="E6:I6"/>
    <mergeCell ref="B10:L11"/>
    <mergeCell ref="K13:L13"/>
    <mergeCell ref="K36:L37"/>
    <mergeCell ref="K22:L23"/>
    <mergeCell ref="K38:L39"/>
    <mergeCell ref="K32:L33"/>
    <mergeCell ref="K40:L41"/>
    <mergeCell ref="K31:L31"/>
    <mergeCell ref="K34:L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RS</cp:lastModifiedBy>
  <cp:lastPrinted>2014-06-09T10:06:06Z</cp:lastPrinted>
  <dcterms:created xsi:type="dcterms:W3CDTF">2008-11-20T16:06:13Z</dcterms:created>
  <dcterms:modified xsi:type="dcterms:W3CDTF">2015-11-08T19:10:06Z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