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E:\Communication CCM\3. CNE\Rapoarte SITE\UCIMP\Dashboard\"/>
    </mc:Choice>
  </mc:AlternateContent>
  <bookViews>
    <workbookView xWindow="0" yWindow="0" windowWidth="28800" windowHeight="1183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uni"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Financiar!$A$2:$K$31</definedName>
    <definedName name="_xlnm.Print_Area" localSheetId="2">'Introducerea datelor'!$A$1:$O$151</definedName>
    <definedName name="_xlnm.Print_Area" localSheetId="5">Management!$A$1:$M$36</definedName>
    <definedName name="_xlnm.Print_Area" localSheetId="6">Programatic!$A$1:$Q$27</definedName>
    <definedName name="PrintA">Actiuni!$A$2:$L$34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Actiuni!$A$2:$L$6</definedName>
    <definedName name="PrintM">Management!$A$2:$L$35</definedName>
    <definedName name="PrintP">Programatic!$A$2:$P$27</definedName>
    <definedName name="PrintR">Recomandari!$A$2:$N$39</definedName>
    <definedName name="Rating">Setup!$G$9:$G$14</definedName>
    <definedName name="Round">Setup!$D$9:$D$21</definedName>
  </definedNames>
  <calcPr calcId="152511"/>
</workbook>
</file>

<file path=xl/calcChain.xml><?xml version="1.0" encoding="utf-8"?>
<calcChain xmlns="http://schemas.openxmlformats.org/spreadsheetml/2006/main">
  <c r="D43" i="29" l="1"/>
  <c r="D42" i="29"/>
  <c r="D41" i="29"/>
  <c r="D40" i="29"/>
  <c r="D39" i="29"/>
  <c r="C42" i="29"/>
  <c r="C41" i="29"/>
  <c r="C40" i="29"/>
  <c r="C39" i="29"/>
  <c r="D34" i="42" l="1"/>
  <c r="G25" i="37" l="1"/>
  <c r="G24" i="37"/>
  <c r="G23" i="37"/>
  <c r="H29" i="35"/>
  <c r="I29" i="35"/>
  <c r="J29" i="35"/>
  <c r="K29" i="35"/>
  <c r="L29" i="35"/>
  <c r="I30" i="35"/>
  <c r="J30" i="35"/>
  <c r="K30" i="35"/>
  <c r="L30" i="35"/>
  <c r="I31" i="35"/>
  <c r="J31" i="35"/>
  <c r="K31" i="35"/>
  <c r="L31" i="35"/>
  <c r="I32" i="35"/>
  <c r="J32" i="35"/>
  <c r="K32" i="35"/>
  <c r="L32" i="35"/>
  <c r="G72" i="29" l="1"/>
  <c r="G73" i="29"/>
  <c r="I146" i="29" l="1"/>
  <c r="D36" i="42" l="1"/>
  <c r="D37" i="42"/>
  <c r="D35" i="42"/>
  <c r="B24" i="37" l="1"/>
  <c r="Z24" i="37"/>
  <c r="AA24" i="37" s="1"/>
  <c r="X24" i="37"/>
  <c r="W24" i="37"/>
  <c r="V24" i="37"/>
  <c r="U24" i="37"/>
  <c r="T24" i="37"/>
  <c r="B22" i="37"/>
  <c r="Z22" i="37"/>
  <c r="AA22" i="37" s="1"/>
  <c r="AF22" i="37" s="1"/>
  <c r="X22" i="37"/>
  <c r="W22" i="37"/>
  <c r="V22" i="37"/>
  <c r="U22" i="37"/>
  <c r="T22" i="37"/>
  <c r="G22" i="37"/>
  <c r="AF24" i="37" l="1"/>
  <c r="AB24" i="37"/>
  <c r="AE24" i="37"/>
  <c r="AD24" i="37"/>
  <c r="AC24" i="37"/>
  <c r="AC22" i="37"/>
  <c r="AD22" i="37"/>
  <c r="AE22" i="37"/>
  <c r="AB22" i="37"/>
  <c r="D12" i="42" l="1"/>
  <c r="B25" i="37" l="1"/>
  <c r="D24" i="42" l="1"/>
  <c r="G21" i="37"/>
  <c r="D23" i="42" l="1"/>
  <c r="D29" i="42"/>
  <c r="C47" i="29" l="1"/>
  <c r="D47" i="29"/>
  <c r="Q3" i="37" l="1"/>
  <c r="B20" i="37" l="1"/>
  <c r="K27" i="30" l="1"/>
  <c r="C4" i="37"/>
  <c r="B32" i="29" l="1"/>
  <c r="B31" i="29"/>
  <c r="E51" i="29"/>
  <c r="D38" i="29"/>
  <c r="C38" i="29"/>
  <c r="B145" i="29"/>
  <c r="B22" i="45"/>
  <c r="C33" i="29"/>
  <c r="D33" i="29" s="1"/>
  <c r="R30" i="29" s="1"/>
  <c r="B2" i="45"/>
  <c r="B2" i="39"/>
  <c r="B2" i="42"/>
  <c r="B2" i="37"/>
  <c r="B2" i="35"/>
  <c r="K5" i="30"/>
  <c r="K4" i="30"/>
  <c r="L5" i="35"/>
  <c r="L4" i="35"/>
  <c r="Q5" i="37"/>
  <c r="Q4" i="37"/>
  <c r="M5" i="42"/>
  <c r="M4" i="42"/>
  <c r="L5" i="39"/>
  <c r="L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L34" i="29" s="1"/>
  <c r="O31" i="29" s="1"/>
  <c r="D11" i="42"/>
  <c r="J3" i="35"/>
  <c r="L3" i="35"/>
  <c r="I3" i="30"/>
  <c r="K3" i="30"/>
  <c r="D33" i="42"/>
  <c r="D38" i="42"/>
  <c r="D39" i="42"/>
  <c r="D32" i="42"/>
  <c r="D31" i="42"/>
  <c r="D30" i="42"/>
  <c r="E109" i="29"/>
  <c r="G109" i="29" s="1"/>
  <c r="I109" i="29" s="1"/>
  <c r="E108" i="29"/>
  <c r="G108" i="29" s="1"/>
  <c r="I108" i="29" s="1"/>
  <c r="E110" i="29"/>
  <c r="G110" i="29" s="1"/>
  <c r="I110" i="29" s="1"/>
  <c r="E111" i="29"/>
  <c r="G111" i="29" s="1"/>
  <c r="I111" i="29" s="1"/>
  <c r="L146" i="29"/>
  <c r="M146" i="29"/>
  <c r="L147" i="29"/>
  <c r="M147" i="29"/>
  <c r="L148" i="29"/>
  <c r="M148" i="29"/>
  <c r="L149" i="29"/>
  <c r="M149" i="29"/>
  <c r="L150" i="29"/>
  <c r="M150" i="29"/>
  <c r="M145" i="29"/>
  <c r="F147" i="29"/>
  <c r="F149" i="29"/>
  <c r="F145" i="29"/>
  <c r="E147" i="29"/>
  <c r="E149" i="29"/>
  <c r="E145" i="29"/>
  <c r="B147" i="29"/>
  <c r="B149" i="29"/>
  <c r="M33" i="29"/>
  <c r="M35" i="29" s="1"/>
  <c r="N33" i="29"/>
  <c r="N35" i="29" s="1"/>
  <c r="M34" i="29"/>
  <c r="N34" i="29"/>
  <c r="H29" i="30"/>
  <c r="H28" i="30"/>
  <c r="H27" i="30"/>
  <c r="D22" i="42"/>
  <c r="D21" i="42"/>
  <c r="D20" i="42"/>
  <c r="D19" i="42"/>
  <c r="D14" i="42"/>
  <c r="D13" i="42"/>
  <c r="B25" i="45"/>
  <c r="B23" i="45"/>
  <c r="B21" i="45"/>
  <c r="B20" i="45"/>
  <c r="B19" i="45"/>
  <c r="B11" i="45"/>
  <c r="B10" i="45"/>
  <c r="B9" i="45"/>
  <c r="B8" i="45"/>
  <c r="B4" i="37"/>
  <c r="B4" i="35"/>
  <c r="B4" i="30"/>
  <c r="E20" i="42"/>
  <c r="G12" i="27"/>
  <c r="H4" i="1"/>
  <c r="K150" i="29"/>
  <c r="K149" i="29"/>
  <c r="K148" i="29"/>
  <c r="K147" i="29"/>
  <c r="K146" i="29"/>
  <c r="K145" i="29"/>
  <c r="C98" i="29"/>
  <c r="D98" i="29" s="1"/>
  <c r="E98" i="29" s="1"/>
  <c r="F98" i="29" s="1"/>
  <c r="G98" i="29" s="1"/>
  <c r="H98" i="29" s="1"/>
  <c r="I98" i="29" s="1"/>
  <c r="J98" i="29" s="1"/>
  <c r="K98" i="29" s="1"/>
  <c r="L98" i="29" s="1"/>
  <c r="M98" i="29" s="1"/>
  <c r="N98" i="29" s="1"/>
  <c r="K28" i="30"/>
  <c r="J28" i="30"/>
  <c r="K29" i="30"/>
  <c r="J29" i="30"/>
  <c r="E53" i="29"/>
  <c r="E52" i="29"/>
  <c r="B4" i="39"/>
  <c r="D5" i="39"/>
  <c r="E4" i="39"/>
  <c r="K5" i="39"/>
  <c r="J4" i="39"/>
  <c r="L3" i="39"/>
  <c r="J3" i="39"/>
  <c r="L5" i="42"/>
  <c r="L4" i="42"/>
  <c r="E5" i="42"/>
  <c r="E4" i="42"/>
  <c r="B4" i="42"/>
  <c r="M3" i="42"/>
  <c r="L3" i="42"/>
  <c r="E4" i="37"/>
  <c r="B25"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5" i="29"/>
  <c r="J150" i="29"/>
  <c r="J149" i="29"/>
  <c r="J148" i="29"/>
  <c r="J147" i="29"/>
  <c r="J146" i="29"/>
  <c r="J145" i="29"/>
  <c r="I150" i="29"/>
  <c r="I149" i="29"/>
  <c r="I148" i="29"/>
  <c r="I147" i="29"/>
  <c r="I145" i="29"/>
  <c r="H148" i="29"/>
  <c r="H147" i="29"/>
  <c r="H146" i="29"/>
  <c r="H145" i="29"/>
  <c r="B23" i="37"/>
  <c r="B21" i="37"/>
  <c r="E55" i="29"/>
  <c r="B36" i="39"/>
  <c r="B34" i="39"/>
  <c r="E54" i="29"/>
  <c r="B36" i="35"/>
  <c r="R29" i="29"/>
  <c r="Z25" i="37"/>
  <c r="AA25" i="37" s="1"/>
  <c r="Z23" i="37"/>
  <c r="AA23" i="37" s="1"/>
  <c r="AF21" i="37"/>
  <c r="AE21" i="37"/>
  <c r="AD21" i="37"/>
  <c r="AC21" i="37"/>
  <c r="AB21" i="37"/>
  <c r="T21" i="37"/>
  <c r="U21" i="37"/>
  <c r="V21" i="37"/>
  <c r="W21" i="37"/>
  <c r="X21" i="37"/>
  <c r="T23" i="37"/>
  <c r="U23" i="37"/>
  <c r="V23" i="37"/>
  <c r="W23" i="37"/>
  <c r="X23" i="37"/>
  <c r="T25" i="37"/>
  <c r="U25" i="37"/>
  <c r="V25" i="37"/>
  <c r="W25" i="37"/>
  <c r="X25" i="37"/>
  <c r="U26" i="37"/>
  <c r="T27" i="37"/>
  <c r="B26" i="37"/>
  <c r="T26" i="37"/>
  <c r="V26" i="37"/>
  <c r="X26" i="37"/>
  <c r="B27" i="37"/>
  <c r="T28" i="37"/>
  <c r="U27" i="37"/>
  <c r="W27" i="37"/>
  <c r="U28" i="37"/>
  <c r="W28" i="37"/>
  <c r="T29" i="37"/>
  <c r="U29" i="37"/>
  <c r="V29" i="37"/>
  <c r="W29" i="37"/>
  <c r="X29" i="37"/>
  <c r="T30" i="37"/>
  <c r="U30" i="37"/>
  <c r="V30" i="37"/>
  <c r="W30" i="37"/>
  <c r="X30" i="37"/>
  <c r="X28" i="37"/>
  <c r="V28" i="37"/>
  <c r="X27" i="37"/>
  <c r="V27" i="37"/>
  <c r="W26" i="37"/>
  <c r="C35" i="29"/>
  <c r="H25" i="35" l="1"/>
  <c r="B7" i="35"/>
  <c r="H7" i="35"/>
  <c r="H14" i="35"/>
  <c r="B14" i="35"/>
  <c r="H22" i="30"/>
  <c r="K109" i="29"/>
  <c r="K110" i="29"/>
  <c r="K111" i="29"/>
  <c r="K108" i="29"/>
  <c r="D35" i="29"/>
  <c r="Q51" i="29"/>
  <c r="E33" i="29"/>
  <c r="F20" i="42"/>
  <c r="B2" i="1"/>
  <c r="AF23" i="37"/>
  <c r="AB23" i="37"/>
  <c r="AC23" i="37"/>
  <c r="B8" i="30"/>
  <c r="AE23" i="37"/>
  <c r="H8" i="30"/>
  <c r="AD23" i="37"/>
  <c r="G27" i="37"/>
  <c r="AB25" i="37"/>
  <c r="AC25" i="37"/>
  <c r="AE25" i="37"/>
  <c r="AF25" i="37"/>
  <c r="AD25" i="37"/>
  <c r="B22" i="30"/>
  <c r="F33" i="29" l="1"/>
  <c r="E35" i="29"/>
  <c r="R31" i="29"/>
  <c r="G33" i="29" l="1"/>
  <c r="R32" i="29"/>
  <c r="F35" i="29"/>
  <c r="H33" i="29" l="1"/>
  <c r="I33" i="29" s="1"/>
  <c r="J33" i="29" s="1"/>
  <c r="R33" i="29"/>
  <c r="G35" i="29"/>
  <c r="J35" i="29" l="1"/>
  <c r="K33" i="29"/>
  <c r="R49" i="29"/>
  <c r="R35" i="29"/>
  <c r="I35" i="29"/>
  <c r="R34" i="29"/>
  <c r="H35" i="29"/>
  <c r="F47" i="29" l="1"/>
  <c r="L33" i="29"/>
  <c r="L35" i="29" s="1"/>
  <c r="K35" i="29"/>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4" authorId="2" shapeId="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sharedStrings.xml><?xml version="1.0" encoding="utf-8"?>
<sst xmlns="http://schemas.openxmlformats.org/spreadsheetml/2006/main" count="640" uniqueCount="524">
  <si>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</si>
  <si>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</si>
  <si>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</si>
  <si>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</si>
  <si>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Title of the Grant:</t>
  </si>
  <si>
    <t>€</t>
  </si>
  <si>
    <t>Round 9</t>
  </si>
  <si>
    <t>Phase 2</t>
  </si>
  <si>
    <t>Round 1</t>
  </si>
  <si>
    <t>Phase 1</t>
  </si>
  <si>
    <t>$</t>
  </si>
  <si>
    <t>Round 2</t>
  </si>
  <si>
    <t>to:</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</si>
  <si>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</si>
  <si>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</si>
  <si>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</si>
  <si>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</si>
  <si>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</si>
  <si>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</si>
  <si>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</si>
  <si>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</si>
  <si>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</si>
  <si>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</si>
  <si>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</si>
  <si>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</si>
  <si>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</si>
  <si>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</si>
  <si>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</si>
  <si>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</si>
  <si>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</si>
  <si>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</si>
  <si>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</si>
  <si>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</si>
  <si>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</si>
  <si>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</si>
  <si>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</si>
  <si>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</si>
  <si>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</si>
  <si>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</si>
  <si>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</si>
  <si>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</si>
  <si>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</si>
  <si>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</si>
  <si>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</si>
  <si>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</si>
  <si>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</si>
  <si>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</si>
  <si>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</si>
  <si>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</si>
  <si>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</si>
  <si>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</si>
  <si>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</si>
  <si>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</si>
  <si>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</si>
  <si>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</si>
  <si>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</si>
  <si>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</si>
  <si>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</si>
  <si>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</si>
  <si>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</si>
  <si>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</si>
  <si>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</si>
  <si>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</si>
  <si>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</si>
  <si>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</si>
  <si>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</si>
  <si>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</si>
  <si>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</si>
  <si>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</si>
  <si>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</si>
  <si>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</si>
  <si>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</si>
  <si>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</si>
  <si>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</si>
  <si>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</si>
  <si>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</si>
  <si>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</si>
  <si>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</si>
  <si>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</si>
  <si>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</si>
  <si>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</si>
  <si>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</si>
  <si>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</si>
  <si>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</si>
  <si>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</si>
  <si>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</si>
  <si>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</si>
  <si>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</si>
  <si>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</si>
  <si>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</si>
  <si>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</si>
  <si>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</si>
  <si>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</si>
  <si>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</si>
  <si>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</si>
  <si>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</si>
  <si>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</si>
  <si>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</si>
  <si>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</si>
  <si>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</si>
  <si>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</si>
  <si>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</si>
  <si>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</si>
  <si>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</si>
  <si>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</si>
  <si>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</si>
  <si>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</si>
  <si>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</si>
  <si>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</si>
  <si>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</si>
  <si>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</si>
  <si>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</si>
  <si>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</si>
  <si>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</si>
  <si>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</si>
  <si>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</si>
  <si>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</si>
  <si>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</si>
  <si>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</si>
  <si>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</si>
  <si>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</si>
  <si>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</si>
  <si>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</si>
  <si>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</si>
  <si>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</si>
  <si>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</si>
  <si>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</si>
  <si>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</si>
  <si>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</si>
  <si>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</si>
  <si>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</si>
  <si>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</si>
  <si>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</si>
  <si>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</si>
  <si>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</si>
  <si>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</si>
  <si>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</si>
  <si>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</si>
  <si>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</si>
  <si>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</si>
  <si>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</si>
  <si>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</si>
  <si>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</si>
  <si>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</si>
  <si>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</si>
  <si>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</si>
  <si>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</si>
  <si>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</si>
  <si>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</si>
  <si>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</si>
  <si>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</si>
  <si>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</si>
  <si>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</si>
  <si>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</si>
  <si>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</si>
  <si>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</si>
  <si>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</si>
  <si>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</si>
  <si>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</si>
  <si>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</si>
  <si>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</si>
  <si>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</si>
  <si>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</si>
  <si>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</si>
  <si>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</si>
  <si>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</si>
  <si>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</si>
  <si>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</si>
  <si>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</si>
  <si>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</si>
  <si>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</si>
  <si>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</si>
  <si>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</si>
  <si>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</si>
  <si>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</si>
  <si>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</si>
  <si>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</si>
  <si>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</si>
  <si>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</si>
  <si>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</si>
  <si>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</si>
  <si>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</si>
  <si>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</si>
  <si>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</si>
  <si>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</si>
  <si>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</si>
  <si>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</si>
  <si>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</si>
  <si>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</si>
  <si>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</si>
  <si>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</si>
  <si>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</si>
  <si>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</si>
  <si>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</si>
  <si>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</si>
  <si>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</si>
  <si>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</si>
  <si>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</si>
  <si>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</si>
  <si>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</si>
  <si>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</si>
  <si>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</si>
  <si>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</si>
  <si>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</si>
  <si>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</si>
  <si>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</si>
  <si>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</si>
  <si>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</si>
  <si>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</si>
  <si>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</si>
  <si>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</si>
  <si>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</si>
  <si>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</si>
  <si>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</si>
  <si>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</si>
  <si>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</si>
  <si>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</si>
  <si>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</si>
  <si>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</si>
  <si>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</si>
  <si>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</si>
  <si>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</si>
  <si>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</si>
  <si>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</si>
  <si>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</si>
  <si>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</si>
  <si>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</si>
  <si>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</si>
  <si>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</si>
  <si>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</si>
  <si>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</si>
  <si>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</si>
  <si>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</si>
  <si>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</si>
  <si>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</si>
  <si>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</si>
  <si>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</si>
  <si>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</si>
  <si>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</si>
  <si>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</si>
  <si>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</si>
  <si>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</si>
  <si>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</si>
  <si>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</si>
  <si>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</si>
  <si>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</si>
  <si>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</si>
  <si>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</si>
  <si>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</si>
  <si>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</si>
  <si>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</si>
  <si>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</si>
  <si>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</si>
  <si>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</si>
  <si>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 xml:space="preserve">Last fund disbursement: Calendar days </t>
  </si>
  <si>
    <t>E-PAP</t>
  </si>
  <si>
    <t>Al/Lum</t>
  </si>
  <si>
    <t>TB nutri'l supplements</t>
  </si>
  <si>
    <t>P1 - trend</t>
  </si>
  <si>
    <t>P2 - trend</t>
  </si>
  <si>
    <t>P3 - trend</t>
  </si>
  <si>
    <t>Set-up = List of validation for Grant Detail page</t>
  </si>
  <si>
    <t>Phase:</t>
  </si>
  <si>
    <t>Grant No.</t>
  </si>
  <si>
    <t>Difference between current stock and safety stock</t>
  </si>
  <si>
    <t>Months of safety stock</t>
  </si>
  <si>
    <t>0% - 59%</t>
  </si>
  <si>
    <t>60% - 89%</t>
  </si>
  <si>
    <t>&gt; 90%</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</si>
  <si>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</si>
  <si>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</si>
  <si>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</si>
  <si>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</si>
  <si>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</si>
  <si>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</si>
  <si>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</si>
  <si>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</si>
  <si>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</si>
  <si>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</si>
  <si>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</si>
  <si>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</si>
  <si>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</si>
  <si>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</si>
  <si>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</si>
  <si>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</si>
  <si>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</si>
  <si>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</si>
  <si>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</si>
  <si>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</si>
  <si>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Please Select</t>
  </si>
  <si>
    <t>TOP 3</t>
  </si>
  <si>
    <t>SSR to SR</t>
  </si>
  <si>
    <t>SRs to PR</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</si>
  <si>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</si>
  <si>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</si>
  <si>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</si>
  <si>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</si>
  <si>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</si>
  <si>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</si>
  <si>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</si>
  <si>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</si>
  <si>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</si>
  <si>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</si>
  <si>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</si>
  <si>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Periodicitatea măsurării</t>
  </si>
  <si>
    <t>cumulativ anual</t>
  </si>
  <si>
    <t xml:space="preserve">cumulativ pe perioada programului </t>
  </si>
  <si>
    <t>Sursa datelor</t>
  </si>
  <si>
    <t>Target // Ținta</t>
  </si>
  <si>
    <t>Achieved // Realizat</t>
  </si>
  <si>
    <t>Code / codul</t>
  </si>
  <si>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</si>
  <si>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</si>
  <si>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</si>
  <si>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</si>
  <si>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</si>
  <si>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</si>
  <si>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t xml:space="preserve">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</si>
  <si>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</si>
  <si>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</si>
  <si>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</si>
  <si>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</si>
  <si>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</si>
  <si>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</si>
  <si>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</si>
  <si>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</si>
  <si>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</si>
  <si>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</si>
  <si>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</si>
  <si>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</si>
  <si>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</si>
  <si>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</si>
  <si>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</si>
  <si>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</si>
  <si>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</si>
  <si>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</si>
  <si>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</si>
  <si>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</si>
  <si>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</si>
  <si>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</si>
  <si>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</si>
  <si>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</si>
  <si>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</si>
  <si>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</si>
  <si>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</si>
  <si>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</si>
  <si>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</si>
  <si>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</si>
  <si>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</si>
  <si>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</si>
  <si>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</si>
  <si>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</si>
  <si>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</si>
  <si>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</si>
  <si>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</si>
  <si>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</si>
  <si>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</si>
  <si>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</si>
  <si>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</si>
  <si>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</si>
  <si>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</si>
  <si>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</si>
  <si>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</si>
  <si>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</si>
  <si>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</si>
  <si>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</si>
  <si>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</si>
  <si>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</si>
  <si>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</si>
  <si>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</si>
  <si>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</si>
  <si>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</si>
  <si>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</si>
  <si>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</si>
  <si>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</si>
  <si>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</si>
  <si>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</si>
  <si>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</si>
  <si>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</si>
  <si>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</si>
  <si>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</si>
  <si>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Recipientul Principal:</t>
  </si>
  <si>
    <t>Data Demarării (zz/ll/aa):</t>
  </si>
  <si>
    <t>Ultimul Rating:</t>
  </si>
  <si>
    <t>Numele Grantului:</t>
  </si>
  <si>
    <t>Componenta:</t>
  </si>
  <si>
    <t>Runda:</t>
  </si>
  <si>
    <t>Agentul Local:</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</si>
  <si>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</si>
  <si>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</si>
  <si>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</si>
  <si>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</si>
  <si>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</si>
  <si>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</si>
  <si>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</si>
  <si>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</si>
  <si>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</si>
  <si>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</si>
  <si>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</si>
  <si>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</si>
  <si>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</si>
  <si>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</si>
  <si>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</si>
  <si>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</si>
  <si>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</si>
  <si>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</si>
  <si>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</si>
  <si>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</si>
  <si>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</si>
  <si>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</si>
  <si>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t xml:space="preserve">M2: Statutul pozițiilor cheie ale RP </t>
  </si>
  <si>
    <t>n/a</t>
  </si>
  <si>
    <t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t>
  </si>
  <si>
    <t xml:space="preserve">Percentage of adults and children with HIV known to be on treatment 12 months after initiation of antiretroviral therapy // Procentul adulţilor şi copiilor HIV infectaţi care se află în tratament 12 luni după iniţierea tratamentului antiretroviral </t>
  </si>
  <si>
    <r>
      <t xml:space="preserve">PMTCT-3: Percentage of infants born to HIV-positive women receiving a virological test for HIV within 2 months of birth // </t>
    </r>
    <r>
      <rPr>
        <b/>
        <sz val="11"/>
        <color theme="3" tint="-0.249977111117893"/>
        <rFont val="Arial"/>
        <family val="2"/>
        <charset val="204"/>
      </rPr>
      <t>Procentul copiilor nascuti de femei  infectate cu HIV care au fost testati la HIV in primele 2 luni de la nastere</t>
    </r>
  </si>
  <si>
    <r>
      <rPr>
        <b/>
        <sz val="11"/>
        <rFont val="Arial"/>
        <family val="2"/>
        <charset val="204"/>
      </rPr>
      <t xml:space="preserve">Percentage of adults and children with HIV known to be on treatment 12 months after initiation of antiretroviral therapy // </t>
    </r>
    <r>
      <rPr>
        <b/>
        <sz val="11"/>
        <color rgb="FF002060"/>
        <rFont val="Arial"/>
        <family val="2"/>
        <charset val="204"/>
      </rPr>
      <t xml:space="preserve">Procentul adulţilor şi copiilor HIV infectaţi care se află în tratament 12 luni după iniţierea tratamentului antiretroviral </t>
    </r>
  </si>
  <si>
    <r>
      <rPr>
        <b/>
        <sz val="11"/>
        <rFont val="Arial"/>
        <family val="2"/>
        <charset val="204"/>
      </rPr>
      <t>PMTCT-2: Percentage of HIV-positive pregnant women who received antiretrovirals to reduce the risk of mother-to-child transmission /</t>
    </r>
    <r>
      <rPr>
        <b/>
        <sz val="11"/>
        <color rgb="FF002060"/>
        <rFont val="Arial"/>
        <family val="2"/>
        <charset val="204"/>
      </rPr>
      <t xml:space="preserve">/ Procentul femeilor gravide infectate cu HIV care au beneficiat de tratament antiretroviral in vederea reducerii riscului de transmitere materno-fetala a infectiei </t>
    </r>
  </si>
  <si>
    <r>
      <rPr>
        <sz val="11"/>
        <rFont val="Arial"/>
        <family val="2"/>
        <charset val="204"/>
      </rPr>
      <t xml:space="preserve">Numerator: Number of adults and children who are still alive on antiretroviral therapy at 12 months after initiating treatment </t>
    </r>
    <r>
      <rPr>
        <sz val="11"/>
        <color rgb="FF002060"/>
        <rFont val="Arial"/>
        <family val="2"/>
      </rPr>
      <t xml:space="preserve">// Numarul adultilor si copiilor care sunt in viata si in terapie ARV 12 luni dupa initierea tratamentului
</t>
    </r>
    <r>
      <rPr>
        <sz val="11"/>
        <rFont val="Arial"/>
        <family val="2"/>
        <charset val="204"/>
      </rPr>
      <t>Denominator: Total number of adults and children who initiated ART who were expected to achieve 12-month outcomes within the reporting period</t>
    </r>
    <r>
      <rPr>
        <sz val="11"/>
        <color rgb="FF002060"/>
        <rFont val="Arial"/>
        <family val="2"/>
      </rPr>
      <t>.// Numarul total de adulti si copii care in perioada de raportare au facut 12 luni de la initierea TARV</t>
    </r>
  </si>
  <si>
    <r>
      <rPr>
        <sz val="11"/>
        <rFont val="Arial"/>
        <family val="2"/>
        <charset val="204"/>
      </rPr>
      <t xml:space="preserve">Numerator: Number of HIV-positive pregnant women who received a ARV prophylaxis treatment to reduce the likelihood of MTCT // </t>
    </r>
    <r>
      <rPr>
        <sz val="11"/>
        <color rgb="FF002060"/>
        <rFont val="Arial"/>
        <family val="2"/>
      </rPr>
      <t xml:space="preserve">Numarul femeilor gravide infectate cu HIV care au beneficiat de tratament ARV  in vederea reducerii riscului de transmitere materno-fetala a infectiei 
</t>
    </r>
    <r>
      <rPr>
        <sz val="11"/>
        <rFont val="Arial"/>
        <family val="2"/>
        <charset val="204"/>
      </rPr>
      <t xml:space="preserve">Denominator: Number of HIV positive pregnant women who delivered during the reporting period. // </t>
    </r>
    <r>
      <rPr>
        <sz val="11"/>
        <color rgb="FF002060"/>
        <rFont val="Arial"/>
        <family val="2"/>
      </rPr>
      <t>Numarul femeilor gravide infectate cu HIV care au nascut in perioada de raportare</t>
    </r>
  </si>
  <si>
    <r>
      <t xml:space="preserve">Numerator: Number of infants born to HIV-positive women receiving a virological test for HIV within 2 months of birth. // </t>
    </r>
    <r>
      <rPr>
        <sz val="11"/>
        <color theme="3" tint="-0.249977111117893"/>
        <rFont val="Arial"/>
        <family val="2"/>
        <charset val="204"/>
      </rPr>
      <t>Numarul copiilor nascuti de femei  infectate cu HIV care au fost testati la HIV in primele 2 luni de la nastere</t>
    </r>
    <r>
      <rPr>
        <sz val="11"/>
        <rFont val="Arial"/>
        <family val="2"/>
        <charset val="204"/>
      </rPr>
      <t xml:space="preserve">
Denominator: Number of infants born to HIV-positive mothers during the last 12 months // </t>
    </r>
    <r>
      <rPr>
        <sz val="11"/>
        <color theme="3" tint="-0.249977111117893"/>
        <rFont val="Arial"/>
        <family val="2"/>
        <charset val="204"/>
      </rPr>
      <t>Numarul copiilor nascuti de femei infectate cu HIV in ultilele 12 luni</t>
    </r>
  </si>
  <si>
    <r>
      <rPr>
        <sz val="11"/>
        <rFont val="Arial"/>
        <family val="2"/>
        <charset val="204"/>
      </rPr>
      <t xml:space="preserve">Register of new HIV infection cases and pregnant women's health cards. </t>
    </r>
    <r>
      <rPr>
        <sz val="11"/>
        <color theme="3" tint="-0.249977111117893"/>
        <rFont val="Arial"/>
        <family val="2"/>
        <charset val="204"/>
      </rPr>
      <t>/</t>
    </r>
    <r>
      <rPr>
        <sz val="11"/>
        <color rgb="FF002060"/>
        <rFont val="Arial"/>
        <family val="2"/>
      </rPr>
      <t>/ Registrele cazurilor noi de infectare cu HIV si cartela medicală a gravidei</t>
    </r>
  </si>
  <si>
    <r>
      <rPr>
        <sz val="11"/>
        <rFont val="Arial"/>
        <family val="2"/>
        <charset val="204"/>
      </rPr>
      <t xml:space="preserve">Registers of patients on ART (Centres of ARV treatment). </t>
    </r>
    <r>
      <rPr>
        <sz val="11"/>
        <color rgb="FF002060"/>
        <rFont val="Arial"/>
        <family val="2"/>
      </rPr>
      <t>// Registrele pacientilor in TARV (Centrele TARV)</t>
    </r>
  </si>
  <si>
    <r>
      <rPr>
        <sz val="11"/>
        <rFont val="Arial"/>
        <family val="2"/>
        <charset val="204"/>
      </rPr>
      <t>Administrative statistics</t>
    </r>
    <r>
      <rPr>
        <sz val="11"/>
        <color indexed="56"/>
        <rFont val="Arial"/>
        <family val="2"/>
      </rPr>
      <t xml:space="preserve"> // Statistica administrativa </t>
    </r>
  </si>
  <si>
    <t xml:space="preserve">anual </t>
  </si>
  <si>
    <t>semestrial</t>
  </si>
  <si>
    <r>
      <rPr>
        <b/>
        <sz val="11"/>
        <rFont val="Arial"/>
        <family val="2"/>
        <charset val="204"/>
      </rPr>
      <t xml:space="preserve">TCS-1: Percentage of adults and children currently receiving antiretroviral therapy among all adults and children living with HIV // </t>
    </r>
    <r>
      <rPr>
        <b/>
        <sz val="11"/>
        <color theme="3" tint="-0.249977111117893"/>
        <rFont val="Arial"/>
        <family val="2"/>
        <charset val="204"/>
      </rPr>
      <t>Procentul adultilor si copiilor in TARV in totalul adultilor si copiilor care traiesc cu HIV</t>
    </r>
  </si>
  <si>
    <r>
      <t xml:space="preserve">Numerator: Number of adults and children with advanced HIV infection who are currently receiving ART in accordance with the nationally approved treatment protocols at the end of the reporting period.// </t>
    </r>
    <r>
      <rPr>
        <sz val="11"/>
        <color theme="3" tint="-0.249977111117893"/>
        <rFont val="Arial"/>
        <family val="2"/>
        <charset val="204"/>
      </rPr>
      <t>Numarul adultilor si copiilor cu HIV care sunt in TARV in conformitate cu protocoalele nationale de tratament la finele perioadei de raportare</t>
    </r>
    <r>
      <rPr>
        <sz val="11"/>
        <rFont val="Arial"/>
        <family val="2"/>
        <charset val="204"/>
      </rPr>
      <t xml:space="preserve">
Denominator: Estimated number of adults and children living with HIV (data - generated by SECTRUM). // </t>
    </r>
    <r>
      <rPr>
        <sz val="11"/>
        <color theme="3" tint="-0.249977111117893"/>
        <rFont val="Arial"/>
        <family val="2"/>
        <charset val="204"/>
      </rPr>
      <t>Numarul estimat al adultilor si copiilor care traiesc cu HIV (date generate de SPECTRUM)</t>
    </r>
  </si>
  <si>
    <r>
      <rPr>
        <sz val="11"/>
        <rFont val="Arial"/>
        <family val="2"/>
        <charset val="204"/>
      </rPr>
      <t xml:space="preserve">Sursa de date (numarator): Registers of patients in ARV treatment from institutions providing ARV treatment.// </t>
    </r>
    <r>
      <rPr>
        <sz val="11"/>
        <color theme="3" tint="-0.249977111117893"/>
        <rFont val="Arial"/>
        <family val="2"/>
        <charset val="204"/>
      </rPr>
      <t xml:space="preserve">Registrele pacientilor in TARV ale centrelor de tratament </t>
    </r>
  </si>
  <si>
    <r>
      <rPr>
        <b/>
        <sz val="11"/>
        <rFont val="Arial"/>
        <family val="2"/>
        <charset val="204"/>
      </rPr>
      <t xml:space="preserve">TCS-2: Percentage of people living with HIV that initiated ART with CD4 count of &lt;200 cells/mm³ // </t>
    </r>
    <r>
      <rPr>
        <b/>
        <sz val="11"/>
        <color theme="3" tint="-0.249977111117893"/>
        <rFont val="Arial"/>
        <family val="2"/>
        <charset val="204"/>
      </rPr>
      <t>Procentul persoanelor infectate cu HIV care au initiat TARV cu nivelul CD4 &lt;200 celule/mm³</t>
    </r>
  </si>
  <si>
    <t>Numerator: number of adults living with HIV that initiated ART with CD4 count of &lt;200 cells/mm3 during the reported period.// numarul persoanelor infectate cu HIV care au initiat TARV cu nivelul CD4 &lt;200 celule/mm³ pe parcursul perioadei de raportare
Denominator: total number of adults that initiated ART during the reported period. // Numarul total al adultilor si copiilor care au initiat TARV pe parcursul perioadei de raportare</t>
  </si>
  <si>
    <r>
      <rPr>
        <sz val="11"/>
        <rFont val="Arial"/>
        <family val="2"/>
        <charset val="204"/>
      </rPr>
      <t>Registers of patients in ARV treatment from institutions providing ARV treatment.</t>
    </r>
    <r>
      <rPr>
        <sz val="11"/>
        <color indexed="56"/>
        <rFont val="Arial"/>
        <family val="2"/>
      </rPr>
      <t xml:space="preserve"> // Registrele pacientilor in TARV ale centrelor de tratament </t>
    </r>
  </si>
  <si>
    <r>
      <rPr>
        <b/>
        <sz val="11"/>
        <rFont val="Arial"/>
        <family val="2"/>
        <charset val="204"/>
      </rPr>
      <t xml:space="preserve">TCS-3: Percentage of adults and children that initiated ART, with an undetectable viral load at 12 months (&lt;1000 copies/ml) // </t>
    </r>
    <r>
      <rPr>
        <b/>
        <sz val="11"/>
        <color theme="3" tint="-0.249977111117893"/>
        <rFont val="Arial"/>
        <family val="2"/>
        <charset val="204"/>
      </rPr>
      <t>Procentul adultilor si copiilor care au initiat TARV care au incarcatura virala nedetectabila la 12 luni (&lt;1000 copii/ml)</t>
    </r>
  </si>
  <si>
    <r>
      <rPr>
        <sz val="11"/>
        <rFont val="Arial"/>
        <family val="2"/>
        <charset val="204"/>
      </rPr>
      <t xml:space="preserve">Numerator: Number of adult and pediatric patients with an undetectable viral load &lt;1,000 copies/ml at 12 months after initiating ART // </t>
    </r>
    <r>
      <rPr>
        <sz val="11"/>
        <color theme="3" tint="-0.249977111117893"/>
        <rFont val="Arial"/>
        <family val="2"/>
        <charset val="204"/>
      </rPr>
      <t>numarul adultilor si copiilor infectati cu HIV cu incarcatura virala nedetectabila &lt;1,000 copii/ml la 12 luni de la initierea TARV</t>
    </r>
    <r>
      <rPr>
        <sz val="11"/>
        <rFont val="Arial"/>
        <family val="2"/>
        <charset val="204"/>
      </rPr>
      <t xml:space="preserve">
Denominator: Number of adults and children who initiated ART in the 12 months prior to the beginning of the reporting period with a viral load count at 12 month visit. // </t>
    </r>
    <r>
      <rPr>
        <sz val="11"/>
        <color theme="3" tint="-0.249977111117893"/>
        <rFont val="Arial"/>
        <family val="2"/>
        <charset val="204"/>
      </rPr>
      <t>Numarul adultilor si copiilor care au initiat TARV in perioada de 12 luni anterior inceputului perioadei de raportare cu incarcatura virala nedetectabila la 12 luni de la initiere</t>
    </r>
    <r>
      <rPr>
        <sz val="11"/>
        <color indexed="56"/>
        <rFont val="Arial"/>
        <family val="2"/>
      </rPr>
      <t xml:space="preserve">
</t>
    </r>
  </si>
  <si>
    <t xml:space="preserve">Registers of patients in ARV treatment from institutions providing ARV treatment. // Registrele pacientilor in TARV ale centrelor de tratament </t>
  </si>
  <si>
    <r>
      <t xml:space="preserve">Programmatic Indicators (from Performance Framework, NFM, 2015-2017) </t>
    </r>
    <r>
      <rPr>
        <b/>
        <sz val="18"/>
        <color indexed="62"/>
        <rFont val="Calibri"/>
        <family val="2"/>
        <charset val="204"/>
      </rPr>
      <t>// Indicatori programatici conform Cadrului de Performanta, NMF, 2015-2017</t>
    </r>
  </si>
  <si>
    <t xml:space="preserve"> Definiție</t>
  </si>
  <si>
    <t>MDA-H-PCIMU</t>
  </si>
  <si>
    <t xml:space="preserve">Fortificarea controlului infecției HIV în RM (2015-2017)
</t>
  </si>
  <si>
    <t>Tsovinar Tsakanyan</t>
  </si>
  <si>
    <t>IP UCIMP DS</t>
  </si>
  <si>
    <t>PMTCT-2</t>
  </si>
  <si>
    <t>Indicator de rezultat durabil</t>
  </si>
  <si>
    <t>partial</t>
  </si>
  <si>
    <t>TCS-1: Percentage of adults and children currently receiving antiretroviral therapy among all adults and children living with HIV // Procentul adultilor si copiilor in TARV in totalul adultilor si copiilor care traiesc cu HIV</t>
  </si>
  <si>
    <t>TCS-1</t>
  </si>
  <si>
    <t>TCS-2: Percentage of people living with HIV that initiated ART with CD4 count of &lt;200 cells/mm³ // Procentul persoanelor infectate cu HIV care au initiat TARV cu nivelul CD4 &lt;200 celule/mm³</t>
  </si>
  <si>
    <t>TCS-2</t>
  </si>
  <si>
    <t>TCS-3</t>
  </si>
  <si>
    <t>P1 (S1 2015)</t>
  </si>
  <si>
    <t>P2 (S2 2015)</t>
  </si>
  <si>
    <t>P3 (S1 2016)</t>
  </si>
  <si>
    <t>P4 (S2 2016)</t>
  </si>
  <si>
    <t>P5 (S1 2017)</t>
  </si>
  <si>
    <t>P6 (S2 2017)</t>
  </si>
  <si>
    <t xml:space="preserve">Rezulta direct din activitatea FG? </t>
  </si>
  <si>
    <t>TCS-3: Percentage of adults and children that initiated ART, with an undetectable viral load at 12 months (&lt;1000 copies/ml) // Procentul adultilor si copiilor care au initiat TARV, care au incarcatura virala nedetectabila la 12 luni (&lt;1000 copii/ml)</t>
  </si>
  <si>
    <t>≧85%</t>
  </si>
  <si>
    <t>&lt;40%</t>
  </si>
  <si>
    <t>&lt;35%</t>
  </si>
  <si>
    <t>&lt;30%</t>
  </si>
  <si>
    <t>&gt;79%</t>
  </si>
  <si>
    <t>&gt;81%</t>
  </si>
  <si>
    <t>&gt;83%</t>
  </si>
  <si>
    <t>PMTCT-3: Percentage of infants born to HIV-positive women receiving a virological test for HIV within 2 months of birth // Procentul copiilor nascuti de femei  infectate cu HIV care au fost testati la HIV in primele 2 luni de la nastere</t>
  </si>
  <si>
    <t>PMTCT-3</t>
  </si>
  <si>
    <t>Cod</t>
  </si>
  <si>
    <t>Comentarii:</t>
  </si>
  <si>
    <t xml:space="preserve">Comentarii: </t>
  </si>
  <si>
    <t>Nu au fost inregistrate lipsuri de medicamente ARV sau intreruperi de tratament.</t>
  </si>
  <si>
    <t xml:space="preserve">Implementarea Grantului este, in linii generale, in conformitate cu planul de lucru, mai putin in ce priveste: (i) achizitionarea de echipamente destinate dotarii laboratoarelor centrelor TARV, conditionata de intirzieri in definitivarea specificatiilor tehnice de catre grupul de lucru creat in acest scop prin Ordinul MS si (ii) implementarea sistemului informational SIME HIV, conditionat de intirzieri in aprobarea, prin hotatire de guvern, a regulamentului privind functionarea sistemului (setul de documente necesare operationalizarii sistemului a fost elaborat si transmis MS in luna iunie 2014). Nivelul de debursare si atingere a tintelor sunt satisfacatoare. </t>
  </si>
  <si>
    <r>
      <t>P1 (</t>
    </r>
    <r>
      <rPr>
        <b/>
        <sz val="11"/>
        <color indexed="17"/>
        <rFont val="Calibri"/>
        <family val="2"/>
        <charset val="204"/>
      </rPr>
      <t>Q1-2.2015</t>
    </r>
    <r>
      <rPr>
        <b/>
        <sz val="11"/>
        <color indexed="8"/>
        <rFont val="Calibri"/>
        <family val="2"/>
      </rPr>
      <t>)</t>
    </r>
  </si>
  <si>
    <t>001   Obiectiv 1. Sporirea accesului la prevenirea HIV bazata pe evidenta</t>
  </si>
  <si>
    <t>002   Obiectiv 2. Asigurarea accesului universal la tratament HIV cuprinzator, ingrijire si suport</t>
  </si>
  <si>
    <t>003   Obiectiv 3. Intarirea capacitatii comunitatilor si asigurarea durabilitatii programului</t>
  </si>
  <si>
    <t>004   Managementul grantului</t>
  </si>
  <si>
    <t>005   Angajamente 31.12.2014</t>
  </si>
  <si>
    <t xml:space="preserve">Utilizarea resurselor în perioada de raportare a fost la un nivel de 75% față de bugetul planificat, variația absolută față de bugetul planificat constituind 300,837 EUR, fiind condiționată in special de:
- cheltuieli sub nivelul planificat in legătura cu (i) întârzieri in implementarea activităților la componenta de fortificare a capacităților de laborator prin dotare echipamente, implementarea sistemului integrat SIME HIV, fortificarea capacităților unității de coordonare a PN și elaborarea planului de sustenabilitate a PN și (ii) economii înregistrate în legătură cu achizițiile de lapte-praf pentru copiii născuți de mame infectate cu HIV; fortificarea capacităților medicilor-infecționiști și specialiștilor CTV; procurarea preparatelor ARV, reactivelor și consumabilelor destinate monitorizării pacienților infectați cu HIV; vizitelor de monitorizare desfășurate de specialiștii responsabili pentru coordonarea programului național; cheltuielilor administrative ale unității de management a programului național
-cheltuieli peste nivelul planificat în special în legătură cu realizarea angajamentelor fazei II a grantului consolidat.
*Cashflow-ul pentru perioada de raportare se anexează.
   </t>
  </si>
  <si>
    <t xml:space="preserve">Raportul de Progres privind implementarea grantului NFM in Semestrul II 2015 a fost remis Agentului Local al FG spre examinare si aprobare de către GFATM. </t>
  </si>
  <si>
    <r>
      <t>Descriere: În cazul IP UCIMPDS a fost stabilită acțiunea de management care condiționează deblocarea si posibilitatea valorificarii fondurilor alocate operaționalizării sistemului informațional SIME HIV de</t>
    </r>
    <r>
      <rPr>
        <b/>
        <sz val="8"/>
        <color indexed="8"/>
        <rFont val="Calibri"/>
        <family val="2"/>
        <charset val="204"/>
      </rPr>
      <t xml:space="preserve"> înregistrarea SIME HIV în Registrul sistemelor informationale utilizate la prelucrarea datelor cu caracter personal</t>
    </r>
    <r>
      <rPr>
        <sz val="8"/>
        <color indexed="8"/>
        <rFont val="Calibri"/>
        <family val="2"/>
      </rPr>
      <t xml:space="preserve">, in conformitate cu legislația Republicii Moldova, precum și de desemnarea oficială a instituției responsabile pentru SIME HIV.
Statut: A fost aprobat de către Ministerul Sănătății a Regulamentul privind organizarea și funcționarea subsistemului informațional integrat ”SIME HIV/SIDA/ITS”, precum si desemnata instituția responsabila pentru administrarea registrului și soluționarea problemelor ce țin de operaționalizarea acestuia. </t>
    </r>
  </si>
  <si>
    <t xml:space="preserve">Preparatele ARV pentru a. 2015 au fost livrate in termenii prestabiliti. Sunt in proces livrarile de preparate ARV pentru acoperirea necesitatilor a. 2016. Specificatiile tehnice pentru echipamentele destinate dotarii serviciului de laborator HIV sunt in proces de aprobare de catre comisia specializata a Ministerului Sanatatii, procesul de achizitie urmind a fi lansat in prima jumatate a anului 2016. </t>
  </si>
  <si>
    <t>Indicatorul este raportabil catre 15 august 2016.</t>
  </si>
  <si>
    <t>3,850 adulti si copii erau in TARV la finele perioadei de raportare, inclusiv 2,681 - pe malul drept si 1,169 - in Transnistria.
N.B. Procentul de acoperire cu TARV a fost calculat reiesind din cele mai recente estimari SPECTRUM (martie-aprilie 2015) privind numarul populatiei persoanelor infectate cu HIV, respectiv, numitorul utilizat la calcularea indicatorului  fiind 4,941 in loc de 4,131 - numitorul utilizat la calcularea tintei indicatorului in cadrul de performanta a grantului. 
In pofida inrolarii primare in TARV a 954 pacienti pe parcursul a. 2015, regretabil, pe malul drept, aderenta la tratament ramine a fi joasa (387 de pacienti au abandonat TARV in 2015, inclusiv pe motiv de deces din cauza depistarii tardive - 104 cazuri). Aditional, de mentionat este si tranzitia intarziata a Transnistriei la noile recomandari privind ridicarea pragului pt. celulele CD4 de la 350 la 500 celule/mm3  la inrolarea in tratament (se preconiza a avea 1306 adulti in TARV pe malul sting, in locul celor 1059 real inregistrati). 
Activitatile in cadrul acestui indicator sunt partial acoperite de Grantul FG.</t>
  </si>
  <si>
    <t xml:space="preserve">2,300 persoane infectate cu HIV (2,220 adulti si 80 copii) aveau incarcatura virala nedetectabila (&lt; 1000 copii/ml) dupa 12 luni de la initierea terapiei antiretrovirale, inclusiv 1,631 - pe malul drept si 669 - in Transnistria.   </t>
  </si>
  <si>
    <t xml:space="preserve">Indicatorul este raportabil catre 15 august 2016.
</t>
  </si>
  <si>
    <t xml:space="preserve">83 din cele 86 femei infectate cu HIV care au nascut in semestrul II 2015 au beneficiat de TARV in vederea reducerii riscului de transmitere materno-fetala a infectiei. 
Dezagregarea indicatorului pe tip de regim este urmatoarea: 
- TARV pe viata inclusiv optiunea B+ (nou-initiate pe parcuirsul perioadei curente de sarcina): 69% (57/83)                                                                                                                  - TARV pe viata inclusiv optiunea B + (deja in TARV la inceputul sarcinii curente): 30% (25/83)                                                                                                           
- Doza singulara de NVP (profilaxia de urgenta, in nastere): 1% (1/83) 
Copii nascuti de femei HIV+ primesc TARV profilactic si formula de lapte praf timp de 12 luni. 
Activitatile ce tin de acest indicator sunt partial sustinute din Grantul curent. </t>
  </si>
  <si>
    <t>83 din cele 86 femei infectate cu HIV care au nascut in semestrul II 2015 au beneficiat de TARV in vederea reducerii riscului de transmitere materno-fetala a infectiei (97%). Nivelul de realizare a tintei - 102%.</t>
  </si>
  <si>
    <t>3,850 adulti si copii erau in TARV la finele perioadei de raportare, inclusiv 2,681 - pe malul drept si 1,169 - in Transnistria. Nivelul de realizare a tintei - 78%.</t>
  </si>
  <si>
    <t>Sunt suplinite toate functiile de personal.</t>
  </si>
  <si>
    <t xml:space="preserve">Toti cei 87 copii nascuti de femei HIV+ pe parcursul semestrului II 2015 au fost testati la HIV in primele 2 luni de la nastere.
</t>
  </si>
  <si>
    <t>Recomandari</t>
  </si>
  <si>
    <t>Sunt fondurile valorificate in conformitate cu bugetul?</t>
  </si>
  <si>
    <t xml:space="preserve">Sumarul Comentariilor </t>
  </si>
  <si>
    <t>Financiar</t>
  </si>
  <si>
    <t>Sunt achizitiile si recrutarea in conformitate cu graficul stabilit?</t>
  </si>
  <si>
    <t>Sunt tintele programatice atinse?</t>
  </si>
  <si>
    <t>Sumarul Comentariilor</t>
  </si>
  <si>
    <t xml:space="preserve">Care este statutul general al implementarii grantului? </t>
  </si>
  <si>
    <t xml:space="preserve">Decizii si actiuni </t>
  </si>
  <si>
    <t>Indicatori programatici</t>
  </si>
  <si>
    <t>Decizia CNC</t>
  </si>
  <si>
    <t>Recomandarile cheie de la grupurile de supervizare</t>
  </si>
  <si>
    <t>Perioada de raportare curenta</t>
  </si>
  <si>
    <t>Termen limita</t>
  </si>
  <si>
    <t>Persoana responsabila</t>
  </si>
  <si>
    <t>Actiuni spre implementar / Perioada Precedenta</t>
  </si>
  <si>
    <t xml:space="preserve">Actiuni intreprinse </t>
  </si>
  <si>
    <t>Data</t>
  </si>
  <si>
    <t xml:space="preserve">Persoana Responsabila </t>
  </si>
  <si>
    <t>Perioada de raportare precedenta</t>
  </si>
  <si>
    <t>Nr. Grantului :</t>
  </si>
  <si>
    <t>IP "UCIMP DS"</t>
  </si>
  <si>
    <t>Managerul de Portfoliu al Fondului:</t>
  </si>
  <si>
    <t xml:space="preserve">Informatia financiara: </t>
  </si>
  <si>
    <t>Tara:</t>
  </si>
  <si>
    <t>Perioada de raportare:</t>
  </si>
  <si>
    <t>Agentul Local al Fondului:</t>
  </si>
  <si>
    <t>Elaborat de:</t>
  </si>
  <si>
    <t>Data demararii:</t>
  </si>
  <si>
    <t>Recipient Principal:</t>
  </si>
  <si>
    <t>Total Finantare</t>
  </si>
  <si>
    <t>Managerul de Portofoliu al Fondului:</t>
  </si>
  <si>
    <t>Data elaborarii raportului:</t>
  </si>
  <si>
    <t>Pe parcursul anului 2015, 281 din cei 954 PTHS inrolati primar in TARV   au initiat tratamentul antiretroviral cu nivelul de celule CD4 mai mic de 200 celule/mm3, inclusiv  180 barbati si 101 femei, 207 - pe malul drept si 74 - pe malul sting.</t>
  </si>
  <si>
    <t>* Include numai AFR categoriile 4, 5 și 6  (Produse medicale și Echipamente medicale &amp; Medicamente și Produse farmaceutice)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</si>
</sst>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 numFmtId="175" formatCode="[$-409]d\-mmm\-yy;@"/>
  </numFmts>
  <fonts count="165">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sz val="11"/>
      <name val="Calibri"/>
      <family val="2"/>
      <scheme val="minor"/>
    </font>
    <font>
      <sz val="11"/>
      <color rgb="FFFF0000"/>
      <name val="Calibri"/>
      <family val="2"/>
    </font>
    <font>
      <sz val="8"/>
      <name val="Calibri"/>
      <family val="2"/>
      <charset val="204"/>
    </font>
    <font>
      <sz val="11"/>
      <color rgb="FFFF0000"/>
      <name val="Calibri"/>
      <family val="2"/>
      <charset val="204"/>
    </font>
    <font>
      <b/>
      <sz val="11"/>
      <color theme="3" tint="-0.249977111117893"/>
      <name val="Arial"/>
      <family val="2"/>
      <charset val="204"/>
    </font>
    <font>
      <sz val="11"/>
      <color theme="3" tint="-0.249977111117893"/>
      <name val="Arial"/>
      <family val="2"/>
      <charset val="204"/>
    </font>
    <font>
      <b/>
      <sz val="11"/>
      <color theme="3" tint="-0.249977111117893"/>
      <name val="Calibri"/>
      <family val="2"/>
    </font>
    <font>
      <b/>
      <sz val="8"/>
      <color indexed="8"/>
      <name val="Calibri"/>
      <family val="2"/>
      <charset val="204"/>
    </font>
    <font>
      <sz val="9"/>
      <color indexed="8"/>
      <name val="Arial Black"/>
      <family val="2"/>
    </font>
    <font>
      <sz val="9"/>
      <color theme="1"/>
      <name val="Calibri"/>
      <family val="2"/>
      <scheme val="minor"/>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thin">
        <color indexed="64"/>
      </left>
      <right style="medium">
        <color indexed="51"/>
      </right>
      <top/>
      <bottom style="thin">
        <color indexed="64"/>
      </bottom>
      <diagonal/>
    </border>
    <border>
      <left style="thin">
        <color indexed="16"/>
      </left>
      <right style="thin">
        <color indexed="64"/>
      </right>
      <top style="medium">
        <color indexed="51"/>
      </top>
      <bottom style="thin">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8" fillId="0" borderId="0"/>
    <xf numFmtId="43" fontId="138" fillId="0" borderId="0"/>
    <xf numFmtId="43" fontId="138" fillId="0" borderId="0"/>
    <xf numFmtId="43" fontId="138"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8"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8" fillId="0" borderId="9" applyNumberFormat="0" applyFill="0" applyAlignment="0" applyProtection="0"/>
    <xf numFmtId="0" fontId="76" fillId="0" borderId="0" applyNumberFormat="0" applyFill="0" applyBorder="0" applyAlignment="0" applyProtection="0"/>
  </cellStyleXfs>
  <cellXfs count="1009">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8" fillId="0" borderId="0" xfId="49" applyProtection="1"/>
    <xf numFmtId="43" fontId="15" fillId="0" borderId="0" xfId="49" applyFont="1" applyProtection="1"/>
    <xf numFmtId="0" fontId="18" fillId="0" borderId="0" xfId="49" applyNumberFormat="1" applyFont="1" applyBorder="1" applyProtection="1"/>
    <xf numFmtId="43" fontId="138" fillId="0" borderId="0" xfId="51" applyProtection="1"/>
    <xf numFmtId="43" fontId="138" fillId="0" borderId="0" xfId="51" applyFill="1" applyBorder="1" applyAlignment="1" applyProtection="1">
      <alignment horizontal="left"/>
    </xf>
    <xf numFmtId="0" fontId="0" fillId="0" borderId="0" xfId="0" applyFill="1" applyBorder="1" applyProtection="1"/>
    <xf numFmtId="43" fontId="138"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8"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8"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8"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8"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99"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38"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1" fillId="0" borderId="0" xfId="0" applyFont="1" applyFill="1" applyBorder="1" applyAlignment="1" applyProtection="1">
      <alignment horizontal="right"/>
    </xf>
    <xf numFmtId="43" fontId="102" fillId="0" borderId="14" xfId="61" applyFont="1" applyFill="1" applyBorder="1" applyAlignment="1" applyProtection="1">
      <alignment horizontal="left" vertical="center"/>
    </xf>
    <xf numFmtId="0" fontId="103" fillId="0" borderId="0" xfId="0" applyFont="1" applyFill="1" applyBorder="1" applyProtection="1"/>
    <xf numFmtId="0" fontId="101" fillId="0" borderId="0" xfId="0" applyFont="1" applyBorder="1" applyProtection="1"/>
    <xf numFmtId="3" fontId="6" fillId="0" borderId="0" xfId="0" applyNumberFormat="1" applyFont="1" applyAlignment="1" applyProtection="1">
      <alignment horizontal="right"/>
    </xf>
    <xf numFmtId="15" fontId="100"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1"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51" xfId="0" applyFont="1" applyBorder="1" applyAlignment="1" applyProtection="1">
      <alignment horizontal="right"/>
    </xf>
    <xf numFmtId="43" fontId="112" fillId="0" borderId="0" xfId="39" applyFont="1" applyFill="1" applyAlignment="1" applyProtection="1">
      <alignment vertical="center"/>
    </xf>
    <xf numFmtId="0" fontId="113" fillId="0" borderId="0" xfId="0" applyFont="1" applyProtection="1"/>
    <xf numFmtId="0" fontId="113"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1" fillId="0" borderId="0" xfId="0" applyNumberFormat="1" applyFont="1" applyFill="1" applyBorder="1" applyAlignment="1" applyProtection="1">
      <alignment horizontal="center"/>
    </xf>
    <xf numFmtId="0" fontId="0" fillId="0" borderId="0" xfId="0" applyFill="1" applyBorder="1" applyProtection="1">
      <protection locked="0"/>
    </xf>
    <xf numFmtId="0" fontId="98"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105"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15" fontId="109" fillId="0" borderId="42" xfId="0" applyNumberFormat="1" applyFont="1" applyFill="1" applyBorder="1" applyAlignment="1" applyProtection="1">
      <alignment horizontal="center" wrapText="1"/>
    </xf>
    <xf numFmtId="15" fontId="109"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0" fillId="0" borderId="0" xfId="0" applyFill="1" applyBorder="1" applyAlignment="1" applyProtection="1">
      <alignment horizontal="left" vertical="top"/>
      <protection locked="0"/>
    </xf>
    <xf numFmtId="0" fontId="100"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4" fillId="0" borderId="20" xfId="61" applyFont="1" applyFill="1" applyBorder="1" applyAlignment="1" applyProtection="1">
      <alignment vertical="center"/>
    </xf>
    <xf numFmtId="43"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1"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5"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3" fillId="0" borderId="0" xfId="51" applyFont="1" applyFill="1" applyBorder="1" applyProtection="1"/>
    <xf numFmtId="3" fontId="28" fillId="25" borderId="71"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7" xfId="28" applyNumberFormat="1" applyFont="1" applyFill="1" applyBorder="1" applyAlignment="1" applyProtection="1">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0" xfId="28" applyNumberFormat="1" applyFont="1" applyFill="1" applyBorder="1" applyAlignment="1" applyProtection="1">
      <protection locked="0"/>
    </xf>
    <xf numFmtId="3" fontId="1" fillId="25" borderId="80" xfId="28" applyNumberFormat="1" applyFont="1" applyFill="1" applyBorder="1" applyProtection="1">
      <protection locked="0"/>
    </xf>
    <xf numFmtId="49" fontId="25" fillId="0" borderId="81" xfId="0" applyNumberFormat="1" applyFont="1" applyFill="1" applyBorder="1" applyAlignment="1" applyProtection="1">
      <alignment vertical="center" wrapText="1"/>
    </xf>
    <xf numFmtId="0" fontId="91" fillId="0" borderId="82" xfId="0" applyNumberFormat="1" applyFont="1" applyFill="1" applyBorder="1" applyAlignment="1" applyProtection="1">
      <alignment horizontal="center" vertical="center" wrapText="1"/>
    </xf>
    <xf numFmtId="0" fontId="91" fillId="0" borderId="83" xfId="0" applyNumberFormat="1" applyFont="1" applyFill="1" applyBorder="1" applyAlignment="1" applyProtection="1">
      <alignment horizontal="center" vertical="center" wrapText="1"/>
    </xf>
    <xf numFmtId="49" fontId="26" fillId="0" borderId="84" xfId="0" applyNumberFormat="1" applyFont="1" applyFill="1" applyBorder="1" applyAlignment="1" applyProtection="1">
      <alignment wrapText="1"/>
      <protection locked="0"/>
    </xf>
    <xf numFmtId="3" fontId="1" fillId="25" borderId="85" xfId="28" applyNumberFormat="1" applyFont="1" applyFill="1" applyBorder="1" applyProtection="1">
      <protection locked="0"/>
    </xf>
    <xf numFmtId="49" fontId="26" fillId="0" borderId="84" xfId="0" applyNumberFormat="1" applyFont="1" applyFill="1" applyBorder="1" applyAlignment="1" applyProtection="1">
      <protection locked="0"/>
    </xf>
    <xf numFmtId="0" fontId="26"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3" fontId="0" fillId="0" borderId="88"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89" xfId="0" applyFill="1" applyBorder="1"/>
    <xf numFmtId="0" fontId="0" fillId="0" borderId="20" xfId="0" applyBorder="1" applyProtection="1"/>
    <xf numFmtId="43" fontId="39" fillId="24" borderId="90" xfId="61" applyFont="1" applyFill="1" applyBorder="1" applyAlignment="1" applyProtection="1">
      <alignment horizontal="center" vertical="center"/>
    </xf>
    <xf numFmtId="43" fontId="39" fillId="0" borderId="91" xfId="61" applyFont="1" applyFill="1" applyBorder="1" applyAlignment="1" applyProtection="1">
      <alignment vertical="center"/>
    </xf>
    <xf numFmtId="0" fontId="0" fillId="0" borderId="92" xfId="0" applyNumberFormat="1" applyFill="1" applyBorder="1"/>
    <xf numFmtId="15" fontId="27"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167" fontId="0" fillId="0" borderId="10" xfId="0" applyNumberFormat="1" applyFill="1" applyBorder="1" applyAlignment="1" applyProtection="1">
      <alignment horizontal="center"/>
    </xf>
    <xf numFmtId="167" fontId="15" fillId="27" borderId="95" xfId="0" applyNumberFormat="1" applyFont="1" applyFill="1" applyBorder="1" applyAlignment="1" applyProtection="1">
      <alignment horizontal="center"/>
    </xf>
    <xf numFmtId="167" fontId="21" fillId="27" borderId="95"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6" xfId="0" applyFont="1" applyFill="1" applyBorder="1" applyAlignment="1" applyProtection="1">
      <alignment horizontal="center" vertical="center" wrapText="1"/>
    </xf>
    <xf numFmtId="0" fontId="77" fillId="0" borderId="97" xfId="0" applyFont="1" applyFill="1" applyBorder="1" applyAlignment="1" applyProtection="1">
      <alignment horizontal="center"/>
    </xf>
    <xf numFmtId="0" fontId="77" fillId="0" borderId="98" xfId="0" applyFont="1" applyFill="1" applyBorder="1" applyAlignment="1" applyProtection="1">
      <alignment horizontal="center"/>
    </xf>
    <xf numFmtId="0" fontId="77" fillId="0" borderId="99"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81" fillId="0" borderId="102" xfId="0" applyNumberFormat="1" applyFont="1" applyFill="1" applyBorder="1" applyAlignment="1" applyProtection="1">
      <alignment horizontal="center" vertical="center"/>
    </xf>
    <xf numFmtId="0" fontId="81" fillId="0" borderId="103" xfId="0" applyNumberFormat="1" applyFont="1" applyFill="1" applyBorder="1" applyAlignment="1" applyProtection="1">
      <alignment horizontal="center" vertical="center"/>
    </xf>
    <xf numFmtId="0" fontId="81" fillId="0" borderId="104" xfId="0" applyNumberFormat="1" applyFont="1" applyFill="1" applyBorder="1" applyAlignment="1" applyProtection="1">
      <alignment horizontal="center" vertical="center"/>
    </xf>
    <xf numFmtId="0" fontId="77" fillId="0" borderId="105" xfId="0" applyFont="1" applyFill="1" applyBorder="1" applyAlignment="1" applyProtection="1">
      <alignment horizontal="center" vertical="center"/>
    </xf>
    <xf numFmtId="0" fontId="77" fillId="0" borderId="106" xfId="0" applyFont="1" applyFill="1" applyBorder="1" applyAlignment="1" applyProtection="1">
      <alignment horizontal="center" vertical="center"/>
    </xf>
    <xf numFmtId="0" fontId="77" fillId="0" borderId="107" xfId="0"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2" fillId="0" borderId="109" xfId="0" applyFont="1" applyFill="1" applyBorder="1" applyAlignment="1" applyProtection="1">
      <alignment horizontal="center"/>
    </xf>
    <xf numFmtId="164" fontId="14" fillId="19" borderId="106"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4" xfId="0" applyNumberFormat="1" applyFont="1" applyFill="1" applyBorder="1" applyAlignment="1" applyProtection="1">
      <alignment horizontal="justify" wrapText="1"/>
      <protection locked="0"/>
    </xf>
    <xf numFmtId="0" fontId="139" fillId="22" borderId="29" xfId="0" applyFont="1" applyFill="1" applyBorder="1" applyAlignment="1">
      <alignment horizontal="justify" vertical="center" wrapText="1"/>
    </xf>
    <xf numFmtId="0" fontId="140" fillId="22" borderId="46" xfId="0" applyFont="1" applyFill="1" applyBorder="1" applyAlignment="1">
      <alignment horizontal="justify" vertical="center" wrapText="1"/>
    </xf>
    <xf numFmtId="0" fontId="140" fillId="22" borderId="47" xfId="0" applyFont="1" applyFill="1" applyBorder="1" applyAlignment="1">
      <alignment horizontal="justify" vertical="center" wrapText="1"/>
    </xf>
    <xf numFmtId="0" fontId="139" fillId="22" borderId="29" xfId="0" applyFont="1" applyFill="1" applyBorder="1" applyAlignment="1">
      <alignment horizontal="left" vertical="center" wrapText="1"/>
    </xf>
    <xf numFmtId="0" fontId="139" fillId="22" borderId="46" xfId="0" applyFont="1" applyFill="1" applyBorder="1" applyAlignment="1">
      <alignment horizontal="left" vertical="center" wrapText="1"/>
    </xf>
    <xf numFmtId="0" fontId="139" fillId="22" borderId="47" xfId="0" applyFont="1" applyFill="1" applyBorder="1" applyAlignment="1">
      <alignment horizontal="left" vertical="center" wrapText="1"/>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1" fillId="0" borderId="10" xfId="0" applyFont="1" applyFill="1" applyBorder="1" applyAlignment="1" applyProtection="1">
      <alignment horizontal="center"/>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2" fillId="0" borderId="29" xfId="0" applyFont="1" applyBorder="1" applyAlignment="1" applyProtection="1">
      <alignment horizontal="left" vertical="center" wrapText="1"/>
      <protection locked="0"/>
    </xf>
    <xf numFmtId="0" fontId="77" fillId="0" borderId="233" xfId="0" applyFont="1" applyFill="1" applyBorder="1" applyAlignment="1" applyProtection="1">
      <alignment horizontal="center" vertical="center" wrapText="1"/>
    </xf>
    <xf numFmtId="173"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3" fontId="151" fillId="23" borderId="10" xfId="0" applyNumberFormat="1" applyFont="1" applyFill="1" applyBorder="1" applyAlignment="1" applyProtection="1">
      <alignment horizontal="center" vertical="center"/>
      <protection locked="0"/>
    </xf>
    <xf numFmtId="173" fontId="151" fillId="28" borderId="10" xfId="0" applyNumberFormat="1" applyFont="1" applyFill="1" applyBorder="1" applyAlignment="1" applyProtection="1">
      <alignment horizontal="center" vertical="center"/>
      <protection locked="0"/>
    </xf>
    <xf numFmtId="3" fontId="151"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6" xfId="28" applyNumberFormat="1" applyFont="1" applyFill="1" applyBorder="1" applyAlignment="1" applyProtection="1"/>
    <xf numFmtId="4" fontId="6" fillId="0" borderId="78" xfId="28" applyNumberFormat="1" applyFont="1" applyFill="1" applyBorder="1" applyAlignment="1" applyProtection="1"/>
    <xf numFmtId="3" fontId="152" fillId="28" borderId="10" xfId="0" applyNumberFormat="1" applyFont="1" applyFill="1" applyBorder="1" applyAlignment="1" applyProtection="1">
      <alignment horizontal="center" vertical="center"/>
      <protection locked="0"/>
    </xf>
    <xf numFmtId="3" fontId="151" fillId="23"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3" fillId="0" borderId="0" xfId="0" applyFont="1" applyFill="1" applyAlignment="1" applyProtection="1">
      <alignment horizontal="right"/>
    </xf>
    <xf numFmtId="0" fontId="0" fillId="0" borderId="0" xfId="0" applyFill="1" applyProtection="1"/>
    <xf numFmtId="0" fontId="12" fillId="0" borderId="0" xfId="0" applyFont="1" applyFill="1"/>
    <xf numFmtId="0" fontId="141" fillId="37" borderId="10" xfId="0" applyFont="1" applyFill="1" applyBorder="1" applyAlignment="1" applyProtection="1">
      <alignment horizontal="center"/>
    </xf>
    <xf numFmtId="0" fontId="21" fillId="37" borderId="0" xfId="0" applyFont="1" applyFill="1"/>
    <xf numFmtId="0" fontId="0" fillId="37" borderId="0" xfId="0" applyFill="1"/>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2" fontId="151" fillId="22" borderId="10" xfId="0" applyNumberFormat="1" applyFont="1" applyFill="1" applyBorder="1" applyAlignment="1" applyProtection="1">
      <alignment horizontal="center" vertical="center"/>
      <protection locked="0"/>
    </xf>
    <xf numFmtId="2" fontId="151"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43" fontId="138" fillId="0" borderId="175" xfId="61" applyFill="1" applyBorder="1" applyAlignment="1" applyProtection="1">
      <alignment vertical="center"/>
    </xf>
    <xf numFmtId="174" fontId="67" fillId="28" borderId="10" xfId="0" applyNumberFormat="1" applyFont="1" applyFill="1" applyBorder="1" applyAlignment="1" applyProtection="1">
      <alignment vertical="center"/>
      <protection locked="0"/>
    </xf>
    <xf numFmtId="174" fontId="151" fillId="28" borderId="10" xfId="0" applyNumberFormat="1" applyFont="1" applyFill="1" applyBorder="1" applyAlignment="1" applyProtection="1">
      <alignment vertical="center"/>
      <protection locked="0"/>
    </xf>
    <xf numFmtId="174" fontId="67" fillId="23" borderId="10" xfId="0" applyNumberFormat="1" applyFont="1" applyFill="1" applyBorder="1" applyAlignment="1" applyProtection="1">
      <alignment horizontal="right" vertical="center"/>
      <protection locked="0"/>
    </xf>
    <xf numFmtId="174" fontId="151" fillId="23" borderId="10" xfId="0" applyNumberFormat="1" applyFont="1" applyFill="1" applyBorder="1" applyAlignment="1" applyProtection="1">
      <alignment vertical="center"/>
      <protection locked="0"/>
    </xf>
    <xf numFmtId="174" fontId="151" fillId="23" borderId="10" xfId="0" applyNumberFormat="1" applyFont="1" applyFill="1" applyBorder="1" applyAlignment="1" applyProtection="1">
      <alignment horizontal="right" vertical="center"/>
      <protection locked="0"/>
    </xf>
    <xf numFmtId="174" fontId="28" fillId="0" borderId="10" xfId="0" applyNumberFormat="1" applyFont="1" applyBorder="1" applyAlignment="1" applyProtection="1">
      <alignment horizontal="center" vertical="center" wrapText="1"/>
    </xf>
    <xf numFmtId="174" fontId="67" fillId="23" borderId="10" xfId="0" applyNumberFormat="1" applyFont="1" applyFill="1" applyBorder="1" applyAlignment="1" applyProtection="1">
      <alignment horizontal="center" vertical="center"/>
      <protection locked="0"/>
    </xf>
    <xf numFmtId="174" fontId="151" fillId="23" borderId="10" xfId="0" applyNumberFormat="1" applyFont="1" applyFill="1" applyBorder="1" applyAlignment="1" applyProtection="1">
      <alignment horizontal="center" vertical="center"/>
      <protection locked="0"/>
    </xf>
    <xf numFmtId="174" fontId="151" fillId="28" borderId="10" xfId="0" applyNumberFormat="1" applyFont="1" applyFill="1" applyBorder="1" applyAlignment="1" applyProtection="1">
      <alignment horizontal="center" vertical="center"/>
      <protection locked="0"/>
    </xf>
    <xf numFmtId="175" fontId="1" fillId="0" borderId="10" xfId="58" applyNumberFormat="1" applyFont="1" applyFill="1" applyBorder="1" applyAlignment="1" applyProtection="1">
      <alignment horizontal="center"/>
      <protection locked="0"/>
    </xf>
    <xf numFmtId="164" fontId="161" fillId="19" borderId="79" xfId="0" applyNumberFormat="1" applyFont="1" applyFill="1" applyBorder="1" applyAlignment="1" applyProtection="1">
      <alignment horizontal="center"/>
      <protection locked="0"/>
    </xf>
    <xf numFmtId="3" fontId="67" fillId="23" borderId="109" xfId="0" applyNumberFormat="1" applyFont="1" applyFill="1" applyBorder="1" applyAlignment="1" applyProtection="1">
      <alignment vertical="center"/>
      <protection locked="0"/>
    </xf>
    <xf numFmtId="3" fontId="67" fillId="23" borderId="237" xfId="0" applyNumberFormat="1" applyFont="1" applyFill="1" applyBorder="1" applyAlignment="1" applyProtection="1">
      <alignment vertical="center"/>
      <protection locked="0"/>
    </xf>
    <xf numFmtId="164" fontId="14" fillId="0" borderId="0"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protection locked="0"/>
    </xf>
    <xf numFmtId="174" fontId="67"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right" vertical="center"/>
      <protection locked="0"/>
    </xf>
    <xf numFmtId="3" fontId="151" fillId="0" borderId="0" xfId="0" applyNumberFormat="1" applyFont="1" applyFill="1" applyBorder="1" applyAlignment="1" applyProtection="1">
      <alignment horizontal="right" vertical="center"/>
      <protection locked="0"/>
    </xf>
    <xf numFmtId="17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horizontal="center" vertical="center"/>
      <protection locked="0"/>
    </xf>
    <xf numFmtId="174" fontId="67"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vertical="center"/>
      <protection locked="0"/>
    </xf>
    <xf numFmtId="164" fontId="161" fillId="19" borderId="238" xfId="0" applyNumberFormat="1" applyFont="1" applyFill="1" applyBorder="1" applyAlignment="1" applyProtection="1">
      <alignment horizontal="center"/>
      <protection locked="0"/>
    </xf>
    <xf numFmtId="164" fontId="14" fillId="19" borderId="108"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xf>
    <xf numFmtId="10" fontId="67" fillId="0" borderId="0" xfId="0" applyNumberFormat="1" applyFont="1" applyFill="1" applyBorder="1" applyAlignment="1" applyProtection="1">
      <alignment vertical="center"/>
    </xf>
    <xf numFmtId="174" fontId="67" fillId="0" borderId="0" xfId="0" applyNumberFormat="1" applyFont="1" applyFill="1" applyBorder="1" applyAlignment="1" applyProtection="1">
      <alignment vertical="center"/>
    </xf>
    <xf numFmtId="9" fontId="67" fillId="28" borderId="10" xfId="0" applyNumberFormat="1" applyFont="1" applyFill="1" applyBorder="1" applyAlignment="1" applyProtection="1">
      <alignment horizontal="center" vertical="center"/>
      <protection locked="0"/>
    </xf>
    <xf numFmtId="3" fontId="67" fillId="0" borderId="10" xfId="0" applyNumberFormat="1" applyFont="1" applyFill="1" applyBorder="1" applyAlignment="1" applyProtection="1">
      <alignment horizontal="center" vertical="center"/>
    </xf>
    <xf numFmtId="9" fontId="67" fillId="0" borderId="10" xfId="0" applyNumberFormat="1" applyFont="1" applyFill="1" applyBorder="1" applyAlignment="1" applyProtection="1">
      <alignment horizontal="center" vertical="center"/>
    </xf>
    <xf numFmtId="3" fontId="67" fillId="29" borderId="10" xfId="0" applyNumberFormat="1" applyFont="1" applyFill="1" applyBorder="1" applyAlignment="1" applyProtection="1">
      <alignment horizontal="center" vertical="center"/>
    </xf>
    <xf numFmtId="174" fontId="67" fillId="29" borderId="10" xfId="0" applyNumberFormat="1" applyFont="1" applyFill="1" applyBorder="1" applyAlignment="1" applyProtection="1">
      <alignment horizontal="center" vertical="center"/>
    </xf>
    <xf numFmtId="3" fontId="67" fillId="0" borderId="94" xfId="0" applyNumberFormat="1" applyFont="1" applyFill="1" applyBorder="1" applyAlignment="1" applyProtection="1">
      <alignment horizontal="center" vertical="center"/>
    </xf>
    <xf numFmtId="9" fontId="67" fillId="29" borderId="10" xfId="0" applyNumberFormat="1" applyFont="1" applyFill="1" applyBorder="1" applyAlignment="1" applyProtection="1">
      <alignment horizontal="center" vertical="center"/>
    </xf>
    <xf numFmtId="9" fontId="67" fillId="0" borderId="94" xfId="0" applyNumberFormat="1" applyFont="1" applyFill="1" applyBorder="1" applyAlignment="1" applyProtection="1">
      <alignment horizontal="center" vertical="center"/>
    </xf>
    <xf numFmtId="0" fontId="32" fillId="25" borderId="58" xfId="0" applyFont="1" applyFill="1" applyBorder="1" applyAlignment="1" applyProtection="1">
      <alignment horizontal="center"/>
    </xf>
    <xf numFmtId="0" fontId="32" fillId="25" borderId="61" xfId="0" applyFont="1" applyFill="1" applyBorder="1" applyAlignment="1" applyProtection="1">
      <alignment horizontal="center"/>
    </xf>
    <xf numFmtId="172" fontId="34" fillId="0" borderId="0" xfId="0" applyNumberFormat="1" applyFont="1" applyFill="1" applyBorder="1" applyAlignment="1" applyProtection="1">
      <alignment horizontal="justify" vertical="center" wrapText="1"/>
      <protection locked="0"/>
    </xf>
    <xf numFmtId="0" fontId="0" fillId="0" borderId="0" xfId="0" applyFill="1" applyBorder="1" applyAlignment="1">
      <alignment horizontal="left"/>
    </xf>
    <xf numFmtId="0" fontId="34" fillId="0" borderId="0" xfId="0" applyFont="1" applyFill="1" applyBorder="1" applyAlignment="1" applyProtection="1">
      <alignment horizontal="left" wrapText="1"/>
      <protection locked="0"/>
    </xf>
    <xf numFmtId="0" fontId="0" fillId="0" borderId="0" xfId="0" applyFill="1" applyBorder="1" applyAlignment="1">
      <alignment horizontal="left" wrapText="1"/>
    </xf>
    <xf numFmtId="49" fontId="21" fillId="20" borderId="29" xfId="0" applyNumberFormat="1" applyFont="1" applyFill="1" applyBorder="1" applyAlignment="1" applyProtection="1"/>
    <xf numFmtId="174" fontId="28" fillId="0" borderId="10" xfId="0" quotePrefix="1" applyNumberFormat="1" applyFont="1" applyBorder="1" applyAlignment="1" applyProtection="1">
      <alignment horizontal="center" vertical="center" wrapText="1"/>
    </xf>
    <xf numFmtId="174" fontId="67" fillId="28" borderId="10" xfId="0" applyNumberFormat="1" applyFont="1" applyFill="1" applyBorder="1" applyAlignment="1" applyProtection="1">
      <alignment horizontal="center" vertical="center"/>
      <protection locked="0"/>
    </xf>
    <xf numFmtId="9" fontId="67" fillId="23" borderId="10" xfId="0" applyNumberFormat="1" applyFont="1" applyFill="1" applyBorder="1" applyAlignment="1" applyProtection="1">
      <alignment horizontal="center" vertical="center"/>
      <protection locked="0"/>
    </xf>
    <xf numFmtId="9" fontId="151" fillId="23" borderId="10" xfId="0" applyNumberFormat="1" applyFont="1" applyFill="1" applyBorder="1" applyAlignment="1" applyProtection="1">
      <alignment horizontal="center" vertical="center"/>
      <protection locked="0"/>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5" fillId="0" borderId="29" xfId="0" applyFont="1" applyFill="1" applyBorder="1" applyAlignment="1" applyProtection="1">
      <alignment vertical="center" wrapText="1"/>
      <protection locked="0"/>
    </xf>
    <xf numFmtId="0" fontId="140" fillId="0" borderId="46" xfId="0" applyFont="1" applyFill="1" applyBorder="1" applyAlignment="1" applyProtection="1">
      <alignment vertical="center" wrapText="1"/>
      <protection locked="0"/>
    </xf>
    <xf numFmtId="0" fontId="140" fillId="0" borderId="47" xfId="0" applyFont="1" applyFill="1" applyBorder="1" applyAlignment="1" applyProtection="1">
      <alignment vertical="center" wrapText="1"/>
      <protection locked="0"/>
    </xf>
    <xf numFmtId="0" fontId="142" fillId="0" borderId="29" xfId="0" applyFont="1" applyBorder="1" applyAlignment="1" applyProtection="1">
      <alignment horizontal="left" vertical="center" wrapText="1"/>
      <protection locked="0"/>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5" fillId="0" borderId="29" xfId="0" applyFont="1" applyBorder="1" applyAlignment="1" applyProtection="1">
      <alignment vertical="center" wrapText="1"/>
      <protection locked="0"/>
    </xf>
    <xf numFmtId="0" fontId="140" fillId="0" borderId="46" xfId="0" applyFont="1" applyBorder="1" applyAlignment="1" applyProtection="1">
      <alignment vertical="center" wrapText="1"/>
      <protection locked="0"/>
    </xf>
    <xf numFmtId="0" fontId="140" fillId="0" borderId="47" xfId="0" applyFont="1" applyBorder="1" applyAlignment="1" applyProtection="1">
      <alignment vertical="center" wrapText="1"/>
      <protection locked="0"/>
    </xf>
    <xf numFmtId="0" fontId="139" fillId="0" borderId="29" xfId="0" applyFont="1" applyFill="1" applyBorder="1" applyAlignment="1" applyProtection="1">
      <alignment horizontal="justify" vertical="center" wrapText="1"/>
      <protection locked="0"/>
    </xf>
    <xf numFmtId="0" fontId="140" fillId="0" borderId="46" xfId="0" applyFont="1" applyFill="1" applyBorder="1" applyAlignment="1" applyProtection="1">
      <alignment horizontal="justify" vertical="center" wrapText="1"/>
      <protection locked="0"/>
    </xf>
    <xf numFmtId="0" fontId="140" fillId="0" borderId="47" xfId="0" applyFont="1" applyFill="1" applyBorder="1" applyAlignment="1" applyProtection="1">
      <alignment horizontal="justify" vertical="center" wrapText="1"/>
      <protection locked="0"/>
    </xf>
    <xf numFmtId="0" fontId="139" fillId="0" borderId="29" xfId="0" applyFont="1" applyBorder="1" applyAlignment="1" applyProtection="1">
      <alignment horizontal="center" vertical="center" wrapText="1"/>
      <protection locked="0"/>
    </xf>
    <xf numFmtId="0" fontId="139" fillId="0" borderId="46" xfId="0" applyFont="1" applyBorder="1" applyAlignment="1" applyProtection="1">
      <alignment horizontal="center" vertical="center" wrapText="1"/>
      <protection locked="0"/>
    </xf>
    <xf numFmtId="0" fontId="139" fillId="0" borderId="47" xfId="0" applyFont="1" applyBorder="1" applyAlignment="1" applyProtection="1">
      <alignment horizontal="center" vertical="center" wrapText="1"/>
      <protection locked="0"/>
    </xf>
    <xf numFmtId="0" fontId="139" fillId="0" borderId="29" xfId="0" applyFont="1" applyBorder="1" applyAlignment="1" applyProtection="1">
      <alignment horizontal="left" vertical="center" wrapText="1"/>
      <protection locked="0"/>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137" fillId="0" borderId="29" xfId="0" applyFont="1" applyBorder="1" applyAlignment="1" applyProtection="1">
      <alignment horizontal="lef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42" fillId="0" borderId="29" xfId="0" applyFont="1" applyBorder="1" applyAlignment="1" applyProtection="1">
      <alignment horizontal="justify" vertical="center" wrapText="1"/>
      <protection locked="0"/>
    </xf>
    <xf numFmtId="0" fontId="140" fillId="0" borderId="46" xfId="0" applyFont="1" applyBorder="1" applyAlignment="1" applyProtection="1">
      <alignment horizontal="justify" vertical="center" wrapText="1"/>
      <protection locked="0"/>
    </xf>
    <xf numFmtId="0" fontId="140" fillId="0" borderId="47" xfId="0" applyFont="1" applyBorder="1" applyAlignment="1" applyProtection="1">
      <alignment horizontal="justify" vertical="center" wrapText="1"/>
      <protection locked="0"/>
    </xf>
    <xf numFmtId="0" fontId="121" fillId="0" borderId="67" xfId="0" applyFont="1" applyBorder="1" applyAlignment="1">
      <alignment horizontal="justify" vertical="center" wrapText="1"/>
    </xf>
    <xf numFmtId="0" fontId="121" fillId="0" borderId="106" xfId="0" applyFont="1" applyBorder="1" applyAlignment="1">
      <alignment horizontal="justify" vertical="center" wrapText="1"/>
    </xf>
    <xf numFmtId="0" fontId="121" fillId="0" borderId="108" xfId="0" applyFont="1" applyBorder="1" applyAlignment="1">
      <alignment horizontal="justify" vertical="center" wrapText="1"/>
    </xf>
    <xf numFmtId="0" fontId="137" fillId="0" borderId="29" xfId="0" applyNumberFormat="1" applyFont="1" applyBorder="1" applyAlignment="1" applyProtection="1">
      <alignment horizontal="left" vertical="center" wrapText="1"/>
      <protection locked="0"/>
    </xf>
    <xf numFmtId="0" fontId="139" fillId="0" borderId="46" xfId="0" applyNumberFormat="1" applyFont="1" applyBorder="1" applyAlignment="1" applyProtection="1">
      <alignment horizontal="left" vertical="center" wrapText="1"/>
      <protection locked="0"/>
    </xf>
    <xf numFmtId="0" fontId="139" fillId="0" borderId="47" xfId="0" applyNumberFormat="1" applyFont="1" applyBorder="1" applyAlignment="1" applyProtection="1">
      <alignment horizontal="left" vertical="center" wrapText="1"/>
      <protection locked="0"/>
    </xf>
    <xf numFmtId="0" fontId="140" fillId="22" borderId="29" xfId="0" applyFont="1" applyFill="1" applyBorder="1" applyAlignment="1">
      <alignment vertical="center" wrapText="1"/>
    </xf>
    <xf numFmtId="0" fontId="140" fillId="22" borderId="46" xfId="0" applyFont="1" applyFill="1" applyBorder="1" applyAlignment="1">
      <alignment vertical="center" wrapText="1"/>
    </xf>
    <xf numFmtId="0" fontId="140" fillId="22" borderId="47" xfId="0" applyFont="1" applyFill="1" applyBorder="1" applyAlignment="1">
      <alignment vertical="center" wrapText="1"/>
    </xf>
    <xf numFmtId="0" fontId="136" fillId="0" borderId="29" xfId="0" applyFont="1" applyFill="1" applyBorder="1" applyAlignment="1" applyProtection="1">
      <alignment vertical="center" wrapText="1"/>
      <protection locked="0"/>
    </xf>
    <xf numFmtId="0" fontId="137" fillId="0" borderId="29" xfId="0" applyFont="1" applyBorder="1" applyAlignment="1" applyProtection="1">
      <alignment horizontal="justify" vertical="center" wrapText="1"/>
      <protection locked="0"/>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121" fillId="0" borderId="29" xfId="0" applyFont="1" applyBorder="1" applyAlignment="1">
      <alignment horizontal="justify" vertical="center" wrapText="1"/>
    </xf>
    <xf numFmtId="0" fontId="121" fillId="0" borderId="46" xfId="0" applyFont="1" applyBorder="1" applyAlignment="1">
      <alignment horizontal="justify" vertical="center" wrapText="1"/>
    </xf>
    <xf numFmtId="0" fontId="121" fillId="0" borderId="47" xfId="0" applyFont="1" applyBorder="1" applyAlignment="1">
      <alignment horizontal="justify" vertical="center" wrapText="1"/>
    </xf>
    <xf numFmtId="0" fontId="121" fillId="0" borderId="29" xfId="0" applyFont="1" applyBorder="1" applyAlignment="1">
      <alignment horizontal="left" vertical="center" wrapText="1"/>
    </xf>
    <xf numFmtId="0" fontId="118" fillId="0" borderId="46" xfId="0" applyFont="1" applyBorder="1" applyAlignment="1">
      <alignment horizontal="left" vertical="center" wrapText="1"/>
    </xf>
    <xf numFmtId="0" fontId="118" fillId="0" borderId="47"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7"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86" fillId="0" borderId="0" xfId="0" applyFont="1" applyAlignment="1">
      <alignment horizontal="center"/>
    </xf>
    <xf numFmtId="0" fontId="143" fillId="22" borderId="29" xfId="0" applyFont="1" applyFill="1" applyBorder="1" applyAlignment="1">
      <alignment horizontal="center" vertical="center" wrapText="1"/>
    </xf>
    <xf numFmtId="0" fontId="143" fillId="22" borderId="46" xfId="0" applyFont="1" applyFill="1" applyBorder="1" applyAlignment="1">
      <alignment horizontal="center" vertical="center"/>
    </xf>
    <xf numFmtId="0" fontId="143" fillId="22" borderId="47" xfId="0" applyFont="1" applyFill="1" applyBorder="1" applyAlignment="1">
      <alignment horizontal="center" vertical="center"/>
    </xf>
    <xf numFmtId="0" fontId="144" fillId="22" borderId="29" xfId="0" applyFont="1" applyFill="1" applyBorder="1" applyAlignment="1">
      <alignment horizontal="center" vertical="center"/>
    </xf>
    <xf numFmtId="0" fontId="144" fillId="22" borderId="46" xfId="0" applyFont="1" applyFill="1" applyBorder="1" applyAlignment="1">
      <alignment horizontal="center" vertical="center"/>
    </xf>
    <xf numFmtId="0" fontId="144"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5" fillId="0" borderId="46" xfId="0" applyFont="1" applyFill="1" applyBorder="1" applyAlignment="1" applyProtection="1">
      <alignment vertical="center" wrapText="1"/>
      <protection locked="0"/>
    </xf>
    <xf numFmtId="0" fontId="145" fillId="0" borderId="47" xfId="0" applyFont="1" applyFill="1" applyBorder="1" applyAlignment="1" applyProtection="1">
      <alignmen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141" fillId="22" borderId="234" xfId="0" applyNumberFormat="1" applyFont="1" applyFill="1" applyBorder="1" applyAlignment="1" applyProtection="1">
      <alignment horizontal="center" vertical="center" wrapText="1"/>
      <protection locked="0"/>
    </xf>
    <xf numFmtId="0" fontId="141" fillId="22" borderId="107" xfId="0" applyNumberFormat="1" applyFont="1" applyFill="1" applyBorder="1" applyAlignment="1" applyProtection="1">
      <alignment horizontal="center" vertical="center" wrapText="1"/>
      <protection locked="0"/>
    </xf>
    <xf numFmtId="0" fontId="141" fillId="22" borderId="47" xfId="0" applyNumberFormat="1" applyFont="1" applyFill="1" applyBorder="1" applyAlignment="1" applyProtection="1">
      <alignment horizontal="center" vertical="center" wrapText="1"/>
      <protection locked="0"/>
    </xf>
    <xf numFmtId="0" fontId="0" fillId="19" borderId="140" xfId="0" applyFill="1" applyBorder="1" applyAlignment="1" applyProtection="1">
      <alignment horizontal="center" vertical="center" textRotation="90"/>
    </xf>
    <xf numFmtId="43" fontId="14" fillId="0" borderId="141" xfId="0" applyNumberFormat="1" applyFont="1" applyBorder="1" applyAlignment="1" applyProtection="1">
      <alignment horizontal="center"/>
    </xf>
    <xf numFmtId="0" fontId="14" fillId="0" borderId="142" xfId="0" applyFont="1" applyBorder="1" applyAlignment="1" applyProtection="1">
      <alignment horizontal="center"/>
    </xf>
    <xf numFmtId="0" fontId="14" fillId="0" borderId="143" xfId="0" applyFont="1" applyBorder="1" applyAlignment="1" applyProtection="1">
      <alignment horizontal="center"/>
    </xf>
    <xf numFmtId="49" fontId="67" fillId="28" borderId="235" xfId="0" applyNumberFormat="1" applyFont="1" applyFill="1" applyBorder="1" applyAlignment="1" applyProtection="1">
      <alignment horizontal="left" vertical="center" wrapText="1"/>
      <protection locked="0"/>
    </xf>
    <xf numFmtId="49" fontId="67" fillId="28" borderId="111" xfId="0" applyNumberFormat="1" applyFont="1" applyFill="1" applyBorder="1" applyAlignment="1" applyProtection="1">
      <alignment horizontal="left" vertical="center" wrapText="1"/>
      <protection locked="0"/>
    </xf>
    <xf numFmtId="49" fontId="67" fillId="28" borderId="236" xfId="0" applyNumberFormat="1" applyFont="1" applyFill="1" applyBorder="1" applyAlignment="1" applyProtection="1">
      <alignment horizontal="left" vertical="center" wrapText="1"/>
      <protection locked="0"/>
    </xf>
    <xf numFmtId="49" fontId="67" fillId="28" borderId="105" xfId="0" applyNumberFormat="1" applyFont="1" applyFill="1" applyBorder="1" applyAlignment="1" applyProtection="1">
      <alignment horizontal="left" vertical="center" wrapText="1"/>
      <protection locked="0"/>
    </xf>
    <xf numFmtId="49" fontId="67" fillId="28" borderId="106" xfId="0" applyNumberFormat="1" applyFont="1" applyFill="1" applyBorder="1" applyAlignment="1" applyProtection="1">
      <alignment horizontal="left" vertical="center" wrapText="1"/>
      <protection locked="0"/>
    </xf>
    <xf numFmtId="49" fontId="67" fillId="28" borderId="110" xfId="0" applyNumberFormat="1" applyFont="1" applyFill="1" applyBorder="1" applyAlignment="1" applyProtection="1">
      <alignment horizontal="left" vertical="center" wrapText="1"/>
      <protection locked="0"/>
    </xf>
    <xf numFmtId="0" fontId="26" fillId="0" borderId="144" xfId="0" applyFont="1" applyBorder="1" applyAlignment="1" applyProtection="1">
      <alignment horizontal="center" wrapText="1"/>
    </xf>
    <xf numFmtId="0" fontId="26" fillId="0" borderId="145" xfId="0" applyFont="1" applyBorder="1" applyAlignment="1" applyProtection="1">
      <alignment horizontal="center" wrapText="1"/>
    </xf>
    <xf numFmtId="0" fontId="26" fillId="0" borderId="146" xfId="0" applyFont="1" applyBorder="1" applyAlignment="1" applyProtection="1">
      <alignment horizontal="center" wrapText="1"/>
    </xf>
    <xf numFmtId="49" fontId="141" fillId="23" borderId="119" xfId="0" applyNumberFormat="1" applyFont="1" applyFill="1" applyBorder="1" applyAlignment="1" applyProtection="1">
      <alignment horizontal="center" vertical="center" wrapText="1"/>
      <protection locked="0"/>
    </xf>
    <xf numFmtId="49" fontId="141" fillId="23" borderId="120" xfId="0" applyNumberFormat="1" applyFont="1" applyFill="1" applyBorder="1" applyAlignment="1" applyProtection="1">
      <alignment horizontal="center" vertical="center" wrapText="1"/>
      <protection locked="0"/>
    </xf>
    <xf numFmtId="49" fontId="141" fillId="23" borderId="127" xfId="0" applyNumberFormat="1" applyFont="1" applyFill="1" applyBorder="1" applyAlignment="1" applyProtection="1">
      <alignment horizontal="left" vertical="center" wrapText="1"/>
      <protection locked="0"/>
    </xf>
    <xf numFmtId="49" fontId="141" fillId="23" borderId="10" xfId="0" applyNumberFormat="1" applyFont="1" applyFill="1" applyBorder="1" applyAlignment="1" applyProtection="1">
      <alignment horizontal="left" vertical="center" wrapText="1"/>
      <protection locked="0"/>
    </xf>
    <xf numFmtId="49" fontId="141" fillId="23" borderId="29" xfId="0" applyNumberFormat="1" applyFont="1" applyFill="1" applyBorder="1" applyAlignment="1" applyProtection="1">
      <alignment horizontal="left" vertical="center" wrapText="1"/>
      <protection locked="0"/>
    </xf>
    <xf numFmtId="49" fontId="141" fillId="28" borderId="119" xfId="0" applyNumberFormat="1" applyFont="1" applyFill="1" applyBorder="1" applyAlignment="1" applyProtection="1">
      <alignment horizontal="center" vertical="center" wrapText="1"/>
      <protection locked="0"/>
    </xf>
    <xf numFmtId="49" fontId="141" fillId="28" borderId="120" xfId="0" applyNumberFormat="1" applyFont="1" applyFill="1" applyBorder="1" applyAlignment="1" applyProtection="1">
      <alignment horizontal="center" vertical="center" wrapText="1"/>
      <protection locked="0"/>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141" fillId="23" borderId="115" xfId="0" applyNumberFormat="1" applyFont="1" applyFill="1" applyBorder="1" applyAlignment="1" applyProtection="1">
      <alignment horizontal="center" vertical="center" wrapText="1"/>
      <protection locked="0"/>
    </xf>
    <xf numFmtId="49" fontId="67" fillId="33" borderId="127" xfId="0" applyNumberFormat="1" applyFont="1" applyFill="1" applyBorder="1" applyAlignment="1" applyProtection="1">
      <alignment horizontal="left" vertical="center" wrapText="1"/>
      <protection locked="0"/>
    </xf>
    <xf numFmtId="49" fontId="141" fillId="33" borderId="10" xfId="0" applyNumberFormat="1" applyFont="1" applyFill="1" applyBorder="1" applyAlignment="1" applyProtection="1">
      <alignment horizontal="left" vertical="center" wrapText="1"/>
      <protection locked="0"/>
    </xf>
    <xf numFmtId="49" fontId="141" fillId="33" borderId="29" xfId="0" applyNumberFormat="1" applyFont="1" applyFill="1" applyBorder="1" applyAlignment="1" applyProtection="1">
      <alignment horizontal="left" vertical="center" wrapText="1"/>
      <protection locked="0"/>
    </xf>
    <xf numFmtId="49" fontId="141" fillId="33" borderId="127" xfId="0" applyNumberFormat="1" applyFont="1" applyFill="1" applyBorder="1" applyAlignment="1" applyProtection="1">
      <alignment horizontal="left" vertical="center" wrapText="1"/>
      <protection locked="0"/>
    </xf>
    <xf numFmtId="43" fontId="15" fillId="36" borderId="10" xfId="58" applyFont="1" applyFill="1" applyBorder="1" applyAlignment="1" applyProtection="1">
      <alignment horizontal="center"/>
      <protection locked="0"/>
    </xf>
    <xf numFmtId="0" fontId="113" fillId="0" borderId="0" xfId="0" applyFont="1" applyAlignment="1" applyProtection="1">
      <alignment horizontal="right"/>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3" fillId="0" borderId="0" xfId="0" applyFont="1" applyBorder="1" applyAlignment="1" applyProtection="1">
      <alignment horizontal="right"/>
    </xf>
    <xf numFmtId="0" fontId="113" fillId="0" borderId="139" xfId="0" applyFont="1" applyBorder="1" applyAlignment="1" applyProtection="1">
      <alignment horizontal="right"/>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0" fillId="0" borderId="129" xfId="0" applyBorder="1" applyAlignment="1" applyProtection="1">
      <alignment horizontal="center"/>
    </xf>
    <xf numFmtId="0" fontId="0" fillId="0" borderId="21" xfId="0" applyBorder="1" applyAlignment="1" applyProtection="1">
      <alignment horizontal="center"/>
    </xf>
    <xf numFmtId="0" fontId="84" fillId="0" borderId="130" xfId="0" applyFont="1" applyBorder="1" applyAlignment="1" applyProtection="1">
      <alignment horizontal="right"/>
    </xf>
    <xf numFmtId="0" fontId="122" fillId="0" borderId="130" xfId="0" applyFont="1" applyBorder="1" applyAlignment="1"/>
    <xf numFmtId="0" fontId="67" fillId="0" borderId="47" xfId="0" applyFont="1" applyFill="1" applyBorder="1" applyAlignment="1" applyProtection="1">
      <alignment horizontal="center" vertical="center" wrapText="1"/>
    </xf>
    <xf numFmtId="0" fontId="67" fillId="29" borderId="47" xfId="0" applyFont="1" applyFill="1" applyBorder="1" applyAlignment="1" applyProtection="1">
      <alignment horizontal="center" vertical="center" wrapText="1"/>
    </xf>
    <xf numFmtId="43" fontId="61" fillId="31" borderId="0" xfId="39" applyFont="1" applyFill="1" applyAlignment="1" applyProtection="1">
      <alignment horizontal="center" vertical="center"/>
    </xf>
    <xf numFmtId="0" fontId="113" fillId="0" borderId="51" xfId="0" applyFont="1" applyBorder="1" applyAlignment="1" applyProtection="1">
      <alignment horizontal="right"/>
    </xf>
    <xf numFmtId="3" fontId="155" fillId="35" borderId="29" xfId="0" applyNumberFormat="1" applyFont="1" applyFill="1" applyBorder="1" applyAlignment="1" applyProtection="1">
      <alignment horizontal="center"/>
      <protection locked="0"/>
    </xf>
    <xf numFmtId="3" fontId="155"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6" fillId="0" borderId="10" xfId="58" applyNumberFormat="1" applyFont="1" applyFill="1" applyBorder="1" applyAlignment="1" applyProtection="1">
      <alignment horizontal="center"/>
      <protection locked="0"/>
    </xf>
    <xf numFmtId="15" fontId="138" fillId="0" borderId="10" xfId="58" applyNumberFormat="1" applyFill="1" applyBorder="1" applyAlignment="1" applyProtection="1">
      <alignment horizontal="center"/>
      <protection locked="0"/>
    </xf>
    <xf numFmtId="0" fontId="67" fillId="29" borderId="137"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38" xfId="0" applyFont="1" applyFill="1" applyBorder="1" applyAlignment="1" applyProtection="1">
      <alignment horizontal="left" vertical="center" wrapText="1"/>
    </xf>
    <xf numFmtId="49" fontId="141" fillId="22" borderId="235" xfId="0" applyNumberFormat="1" applyFont="1" applyFill="1" applyBorder="1" applyAlignment="1" applyProtection="1">
      <alignment horizontal="left" vertical="center" wrapText="1"/>
      <protection locked="0"/>
    </xf>
    <xf numFmtId="49" fontId="141" fillId="22" borderId="111" xfId="0" applyNumberFormat="1" applyFont="1" applyFill="1" applyBorder="1" applyAlignment="1" applyProtection="1">
      <alignment horizontal="left" vertical="center" wrapText="1"/>
      <protection locked="0"/>
    </xf>
    <xf numFmtId="49" fontId="141" fillId="22" borderId="236" xfId="0" applyNumberFormat="1" applyFont="1" applyFill="1" applyBorder="1" applyAlignment="1" applyProtection="1">
      <alignment horizontal="left" vertical="center" wrapText="1"/>
      <protection locked="0"/>
    </xf>
    <xf numFmtId="49" fontId="141" fillId="22" borderId="105" xfId="0" applyNumberFormat="1" applyFont="1" applyFill="1" applyBorder="1" applyAlignment="1" applyProtection="1">
      <alignment horizontal="left" vertical="center" wrapText="1"/>
      <protection locked="0"/>
    </xf>
    <xf numFmtId="49" fontId="141" fillId="22" borderId="106" xfId="0" applyNumberFormat="1" applyFont="1" applyFill="1" applyBorder="1" applyAlignment="1" applyProtection="1">
      <alignment horizontal="left" vertical="center" wrapText="1"/>
      <protection locked="0"/>
    </xf>
    <xf numFmtId="49" fontId="141" fillId="22" borderId="110" xfId="0" applyNumberFormat="1" applyFont="1" applyFill="1" applyBorder="1" applyAlignment="1" applyProtection="1">
      <alignment horizontal="left" vertical="center" wrapText="1"/>
      <protection locked="0"/>
    </xf>
    <xf numFmtId="0" fontId="141" fillId="22" borderId="115" xfId="0" applyNumberFormat="1" applyFont="1" applyFill="1" applyBorder="1" applyAlignment="1" applyProtection="1">
      <alignment horizontal="center" vertical="center" wrapText="1"/>
      <protection locked="0"/>
    </xf>
    <xf numFmtId="49" fontId="141" fillId="28"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4" xfId="0" applyFont="1" applyFill="1" applyBorder="1" applyAlignment="1" applyProtection="1">
      <alignment horizontal="center" vertic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0" fontId="141" fillId="28" borderId="234" xfId="0" applyNumberFormat="1" applyFont="1" applyFill="1" applyBorder="1" applyAlignment="1" applyProtection="1">
      <alignment horizontal="center" vertical="center" wrapText="1"/>
      <protection locked="0"/>
    </xf>
    <xf numFmtId="0" fontId="141" fillId="28" borderId="107" xfId="0" applyNumberFormat="1" applyFont="1" applyFill="1" applyBorder="1" applyAlignment="1" applyProtection="1">
      <alignment horizontal="center" vertical="center" wrapText="1"/>
      <protection locked="0"/>
    </xf>
    <xf numFmtId="0" fontId="0" fillId="32" borderId="121" xfId="0" applyFill="1" applyBorder="1" applyAlignment="1" applyProtection="1">
      <alignment horizontal="center"/>
    </xf>
    <xf numFmtId="0" fontId="0" fillId="32" borderId="122" xfId="0" applyFill="1" applyBorder="1" applyAlignment="1" applyProtection="1">
      <alignment horizontal="center"/>
    </xf>
    <xf numFmtId="0" fontId="0" fillId="32" borderId="123"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28"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29" borderId="115" xfId="0" applyFont="1" applyFill="1" applyBorder="1" applyAlignment="1" applyProtection="1">
      <alignment horizontal="center" vertical="center" wrapText="1"/>
    </xf>
    <xf numFmtId="0" fontId="141" fillId="28" borderId="115" xfId="0" applyNumberFormat="1" applyFont="1" applyFill="1" applyBorder="1" applyAlignment="1" applyProtection="1">
      <alignment horizontal="center" vertical="center" wrapText="1"/>
      <protection locked="0"/>
    </xf>
    <xf numFmtId="0" fontId="67" fillId="0" borderId="134"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43" fontId="104" fillId="31" borderId="0" xfId="39" applyFont="1" applyFill="1" applyAlignment="1" applyProtection="1">
      <alignment horizontal="center" vertical="center"/>
    </xf>
    <xf numFmtId="43" fontId="24" fillId="24" borderId="43" xfId="58" applyFont="1" applyFill="1" applyBorder="1" applyAlignment="1" applyProtection="1">
      <alignment horizont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1" fillId="0" borderId="43"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6"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7" fillId="0" borderId="148" xfId="0" applyFont="1" applyFill="1" applyBorder="1" applyAlignment="1" applyProtection="1">
      <alignment horizontal="left" wrapText="1"/>
    </xf>
    <xf numFmtId="0" fontId="117" fillId="0" borderId="149" xfId="0" applyFont="1" applyFill="1" applyBorder="1" applyAlignment="1" applyProtection="1">
      <alignment horizontal="left" wrapText="1"/>
    </xf>
    <xf numFmtId="0" fontId="117" fillId="0" borderId="147" xfId="0" applyFont="1" applyFill="1" applyBorder="1" applyAlignment="1" applyProtection="1">
      <alignment horizontal="left" wrapText="1"/>
    </xf>
    <xf numFmtId="0" fontId="117" fillId="0" borderId="95" xfId="0" applyFont="1" applyFill="1" applyBorder="1" applyAlignment="1" applyProtection="1">
      <alignment horizontal="left" wrapText="1"/>
    </xf>
    <xf numFmtId="0" fontId="0" fillId="0" borderId="150" xfId="0" applyBorder="1" applyAlignment="1" applyProtection="1">
      <alignment horizontal="center"/>
    </xf>
    <xf numFmtId="0" fontId="0" fillId="0" borderId="65" xfId="0" applyBorder="1" applyAlignment="1" applyProtection="1">
      <alignment horizontal="center"/>
    </xf>
    <xf numFmtId="0" fontId="110" fillId="0" borderId="0" xfId="0" applyFont="1" applyAlignment="1" applyProtection="1">
      <alignment horizontal="center"/>
    </xf>
    <xf numFmtId="43" fontId="109" fillId="0" borderId="121" xfId="0" applyNumberFormat="1" applyFont="1" applyBorder="1" applyAlignment="1" applyProtection="1">
      <alignment horizontal="center" vertical="center" wrapText="1"/>
    </xf>
    <xf numFmtId="43" fontId="109" fillId="0" borderId="122" xfId="0" applyNumberFormat="1" applyFont="1" applyBorder="1" applyAlignment="1" applyProtection="1">
      <alignment horizontal="center" vertical="center" wrapText="1"/>
    </xf>
    <xf numFmtId="43" fontId="109" fillId="0" borderId="123" xfId="0" applyNumberFormat="1" applyFont="1" applyBorder="1" applyAlignment="1" applyProtection="1">
      <alignment horizontal="center" vertical="center"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0" fillId="22" borderId="29" xfId="0" applyFont="1" applyFill="1" applyBorder="1" applyAlignment="1" applyProtection="1">
      <alignment horizontal="left" vertical="top" wrapText="1"/>
      <protection locked="0"/>
    </xf>
    <xf numFmtId="0" fontId="146" fillId="0" borderId="46" xfId="0" applyFont="1" applyBorder="1" applyAlignment="1">
      <alignment vertical="top"/>
    </xf>
    <xf numFmtId="0" fontId="146"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14" fillId="0" borderId="0" xfId="0" applyFont="1" applyBorder="1" applyAlignment="1">
      <alignment horizontal="center"/>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0" fillId="0" borderId="0" xfId="0" applyFont="1" applyAlignment="1">
      <alignment horizontal="center"/>
    </xf>
    <xf numFmtId="43" fontId="35" fillId="0" borderId="0" xfId="0" applyNumberFormat="1" applyFont="1" applyAlignment="1">
      <alignment horizontal="left" wrapText="1"/>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9" fontId="148" fillId="0" borderId="10" xfId="0" applyNumberFormat="1" applyFont="1" applyBorder="1" applyAlignment="1" applyProtection="1">
      <alignment vertical="center" wrapText="1"/>
    </xf>
    <xf numFmtId="0" fontId="148" fillId="0" borderId="10"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9" fontId="157" fillId="22" borderId="10" xfId="56" applyFont="1" applyFill="1" applyBorder="1" applyAlignment="1" applyProtection="1">
      <alignment horizontal="justify" vertical="center" wrapText="1"/>
      <protection locked="0"/>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20" borderId="151"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1"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131"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0" fontId="34" fillId="20" borderId="0" xfId="0" applyFont="1" applyFill="1" applyAlignment="1" applyProtection="1">
      <alignment horizontal="center" vertical="center" wrapText="1"/>
    </xf>
    <xf numFmtId="49" fontId="148" fillId="0" borderId="29" xfId="0" applyNumberFormat="1" applyFont="1" applyBorder="1" applyAlignment="1" applyProtection="1">
      <alignment vertical="center" wrapText="1"/>
    </xf>
    <xf numFmtId="0" fontId="148" fillId="0" borderId="46" xfId="0" applyFont="1" applyBorder="1" applyAlignment="1" applyProtection="1">
      <alignment vertical="center" wrapText="1"/>
    </xf>
    <xf numFmtId="0" fontId="148" fillId="0" borderId="47"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148" fillId="0" borderId="29" xfId="0" applyFont="1" applyBorder="1" applyAlignment="1" applyProtection="1">
      <alignment vertical="center"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47" fillId="0" borderId="111" xfId="0" applyFont="1" applyBorder="1" applyAlignment="1" applyProtection="1">
      <alignment horizontal="left" vertical="center" wrapText="1"/>
    </xf>
    <xf numFmtId="43" fontId="110" fillId="0" borderId="0" xfId="0" applyNumberFormat="1" applyFont="1" applyAlignment="1" applyProtection="1">
      <alignment horizontal="center"/>
    </xf>
    <xf numFmtId="43" fontId="33" fillId="0" borderId="0" xfId="0" applyNumberFormat="1" applyFont="1" applyAlignment="1" applyProtection="1">
      <alignment horizontal="center"/>
    </xf>
    <xf numFmtId="43" fontId="21" fillId="0" borderId="0" xfId="59" applyFont="1" applyFill="1" applyBorder="1" applyAlignment="1" applyProtection="1">
      <alignment horizontal="center"/>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7" fillId="0" borderId="111" xfId="0" applyFont="1" applyBorder="1" applyAlignment="1" applyProtection="1">
      <alignment horizontal="justify" vertical="center"/>
    </xf>
    <xf numFmtId="0" fontId="0" fillId="0" borderId="46" xfId="0" applyBorder="1" applyAlignment="1">
      <alignment horizontal="justify" vertical="top" wrapText="1"/>
    </xf>
    <xf numFmtId="0" fontId="0" fillId="0" borderId="47" xfId="0" applyBorder="1" applyAlignment="1">
      <alignment horizontal="justify" vertical="top" wrapText="1"/>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1" xfId="0" applyFont="1" applyFill="1" applyBorder="1" applyAlignment="1" applyProtection="1">
      <alignment horizont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9" fontId="2" fillId="0" borderId="184" xfId="56" applyNumberFormat="1" applyFont="1" applyFill="1" applyBorder="1" applyAlignment="1" applyProtection="1">
      <alignment horizontal="left" vertical="center" wrapText="1"/>
    </xf>
    <xf numFmtId="0" fontId="2" fillId="0" borderId="173" xfId="56" applyNumberFormat="1" applyFont="1" applyFill="1" applyBorder="1" applyAlignment="1" applyProtection="1">
      <alignment horizontal="left" vertical="center" wrapText="1"/>
    </xf>
    <xf numFmtId="0" fontId="2" fillId="0" borderId="185" xfId="56" applyNumberFormat="1" applyFont="1" applyFill="1" applyBorder="1" applyAlignment="1" applyProtection="1">
      <alignment horizontal="left" vertical="center" wrapText="1"/>
    </xf>
    <xf numFmtId="0" fontId="60" fillId="22" borderId="199" xfId="0" applyFont="1" applyFill="1" applyBorder="1" applyAlignment="1" applyProtection="1">
      <alignment horizontal="center" vertical="center"/>
    </xf>
    <xf numFmtId="0" fontId="60" fillId="22" borderId="200" xfId="0" applyFont="1" applyFill="1" applyBorder="1" applyAlignment="1" applyProtection="1">
      <alignment horizontal="center" vertical="center"/>
    </xf>
    <xf numFmtId="0" fontId="60" fillId="22" borderId="201" xfId="0" applyFont="1" applyFill="1" applyBorder="1" applyAlignment="1" applyProtection="1">
      <alignment horizontal="center" vertical="center"/>
    </xf>
    <xf numFmtId="0" fontId="80" fillId="0" borderId="202" xfId="0"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center" wrapText="1"/>
    </xf>
    <xf numFmtId="0" fontId="80" fillId="0" borderId="204" xfId="0" applyNumberFormat="1" applyFont="1" applyFill="1" applyBorder="1" applyAlignment="1" applyProtection="1">
      <alignment horizontal="left"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80" fillId="0" borderId="179" xfId="0" applyNumberFormat="1" applyFont="1" applyFill="1" applyBorder="1" applyAlignment="1" applyProtection="1">
      <alignment horizontal="left" vertical="top" wrapText="1"/>
    </xf>
    <xf numFmtId="0" fontId="80" fillId="0" borderId="180" xfId="0" applyNumberFormat="1" applyFont="1" applyFill="1" applyBorder="1" applyAlignment="1" applyProtection="1">
      <alignment horizontal="left" vertical="top" wrapText="1"/>
    </xf>
    <xf numFmtId="0" fontId="2" fillId="22" borderId="152" xfId="0" applyFont="1" applyFill="1" applyBorder="1" applyAlignment="1" applyProtection="1">
      <alignment horizontal="left" vertical="top" wrapText="1"/>
      <protection locked="0"/>
    </xf>
    <xf numFmtId="0" fontId="2" fillId="22" borderId="153" xfId="0" applyFont="1" applyFill="1" applyBorder="1" applyAlignment="1" applyProtection="1">
      <alignment horizontal="left" vertical="top" wrapText="1"/>
      <protection locked="0"/>
    </xf>
    <xf numFmtId="0" fontId="2" fillId="22" borderId="154" xfId="0" applyFont="1" applyFill="1" applyBorder="1" applyAlignment="1" applyProtection="1">
      <alignment horizontal="left" vertical="top" wrapText="1"/>
      <protection locked="0"/>
    </xf>
    <xf numFmtId="0" fontId="80" fillId="0" borderId="195" xfId="0" applyNumberFormat="1" applyFont="1" applyFill="1" applyBorder="1" applyAlignment="1" applyProtection="1">
      <alignment horizontal="left" vertical="top" wrapText="1"/>
    </xf>
    <xf numFmtId="0" fontId="80" fillId="0" borderId="196"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2" fillId="0" borderId="184" xfId="56" applyNumberFormat="1" applyFont="1" applyFill="1" applyBorder="1" applyAlignment="1" applyProtection="1">
      <alignment horizontal="left" vertical="center" wrapText="1"/>
    </xf>
    <xf numFmtId="0" fontId="80" fillId="0" borderId="197" xfId="0" applyNumberFormat="1" applyFont="1" applyFill="1" applyBorder="1" applyAlignment="1" applyProtection="1">
      <alignment horizontal="left" vertical="top" wrapText="1"/>
    </xf>
    <xf numFmtId="0" fontId="80" fillId="0" borderId="198" xfId="0" applyNumberFormat="1" applyFont="1" applyFill="1" applyBorder="1" applyAlignment="1" applyProtection="1">
      <alignment horizontal="left" vertical="top"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49" fontId="2" fillId="25" borderId="181"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49" fontId="2" fillId="25" borderId="183" xfId="0" applyNumberFormat="1" applyFont="1" applyFill="1" applyBorder="1" applyAlignment="1" applyProtection="1">
      <alignment horizontal="center" vertical="center"/>
      <protection locked="0"/>
    </xf>
    <xf numFmtId="0" fontId="124" fillId="24" borderId="190" xfId="0" applyFont="1" applyFill="1" applyBorder="1" applyAlignment="1" applyProtection="1">
      <alignment horizontal="center" vertical="center"/>
    </xf>
    <xf numFmtId="0" fontId="124" fillId="24" borderId="191" xfId="0" applyFont="1" applyFill="1" applyBorder="1" applyAlignment="1" applyProtection="1">
      <alignment horizontal="center" vertical="center"/>
    </xf>
    <xf numFmtId="0" fontId="0" fillId="0" borderId="191" xfId="0" applyBorder="1" applyAlignment="1">
      <alignment horizontal="center" vertical="center"/>
    </xf>
    <xf numFmtId="0" fontId="124" fillId="24" borderId="192" xfId="0" applyFont="1" applyFill="1" applyBorder="1" applyAlignment="1" applyProtection="1">
      <alignment horizontal="center" vertical="center"/>
    </xf>
    <xf numFmtId="0" fontId="124" fillId="24" borderId="193" xfId="0" applyFont="1" applyFill="1" applyBorder="1" applyAlignment="1" applyProtection="1">
      <alignment horizontal="center" vertical="center"/>
    </xf>
    <xf numFmtId="0" fontId="124" fillId="24" borderId="194" xfId="0" applyFont="1" applyFill="1" applyBorder="1" applyAlignment="1" applyProtection="1">
      <alignment horizontal="center" vertical="center"/>
    </xf>
    <xf numFmtId="0" fontId="110" fillId="0" borderId="0" xfId="0" applyFont="1" applyBorder="1" applyAlignment="1" applyProtection="1">
      <alignment horizontal="center"/>
    </xf>
    <xf numFmtId="43" fontId="15" fillId="30" borderId="0" xfId="59" applyFont="1" applyFill="1" applyBorder="1" applyAlignment="1" applyProtection="1">
      <alignment horizontal="center"/>
    </xf>
    <xf numFmtId="0" fontId="60" fillId="25" borderId="158" xfId="0" applyFont="1" applyFill="1" applyBorder="1" applyAlignment="1" applyProtection="1">
      <alignment horizontal="center" vertical="center"/>
    </xf>
    <xf numFmtId="0" fontId="60" fillId="25" borderId="159" xfId="0" applyFont="1" applyFill="1" applyBorder="1" applyAlignment="1" applyProtection="1">
      <alignment horizontal="center" vertical="center"/>
    </xf>
    <xf numFmtId="0" fontId="60" fillId="25" borderId="160" xfId="0" applyFont="1" applyFill="1" applyBorder="1" applyAlignment="1" applyProtection="1">
      <alignment horizontal="center" vertical="center"/>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78" fillId="0" borderId="170" xfId="0" applyFont="1" applyFill="1" applyBorder="1" applyAlignment="1" applyProtection="1">
      <alignment horizontal="center"/>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49" fontId="2" fillId="25" borderId="175"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0" fontId="80" fillId="0" borderId="177" xfId="0" applyNumberFormat="1" applyFont="1" applyFill="1" applyBorder="1" applyAlignment="1" applyProtection="1">
      <alignment horizontal="left" vertical="top" wrapText="1"/>
    </xf>
    <xf numFmtId="0" fontId="80" fillId="0" borderId="178" xfId="0" applyNumberFormat="1" applyFont="1" applyFill="1" applyBorder="1" applyAlignment="1" applyProtection="1">
      <alignment horizontal="left" vertical="top" wrapText="1"/>
    </xf>
    <xf numFmtId="0" fontId="21" fillId="0" borderId="21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232"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31"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05" xfId="53" applyNumberFormat="1" applyFont="1" applyFill="1" applyBorder="1" applyAlignment="1">
      <alignment horizontal="center" vertical="center" wrapText="1"/>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39" xfId="0" applyFont="1" applyFill="1" applyBorder="1" applyAlignment="1" applyProtection="1">
      <alignment horizontal="left"/>
      <protection locked="0"/>
    </xf>
    <xf numFmtId="0" fontId="21" fillId="0" borderId="231" xfId="0" applyFont="1" applyFill="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173"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163" fillId="21" borderId="219" xfId="0" applyFont="1" applyFill="1" applyBorder="1" applyAlignment="1">
      <alignment horizontal="center" vertical="center" textRotation="90"/>
    </xf>
    <xf numFmtId="0" fontId="164" fillId="21" borderId="92" xfId="0" applyFont="1" applyFill="1" applyBorder="1" applyAlignment="1">
      <alignment horizontal="center" vertical="center" textRotation="90"/>
    </xf>
    <xf numFmtId="0" fontId="164" fillId="21" borderId="109" xfId="0" applyFont="1" applyFill="1" applyBorder="1" applyAlignment="1">
      <alignment horizontal="center" vertical="center" textRotation="90"/>
    </xf>
    <xf numFmtId="0" fontId="21" fillId="0" borderId="173" xfId="0" applyFont="1" applyFill="1" applyBorder="1" applyAlignment="1" applyProtection="1">
      <alignment horizontal="left" vertical="center" wrapText="1"/>
      <protection locked="0"/>
    </xf>
    <xf numFmtId="0" fontId="21" fillId="0" borderId="206" xfId="0" applyFont="1" applyFill="1" applyBorder="1" applyAlignment="1" applyProtection="1">
      <alignment horizontal="left" vertical="center" wrapText="1"/>
      <protection locked="0"/>
    </xf>
    <xf numFmtId="0" fontId="21" fillId="0" borderId="209"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77" fillId="21" borderId="220" xfId="53" applyNumberFormat="1" applyFont="1" applyFill="1" applyBorder="1" applyAlignment="1">
      <alignment horizontal="center" vertical="center" wrapText="1"/>
    </xf>
    <xf numFmtId="0" fontId="77" fillId="21" borderId="221" xfId="53" applyNumberFormat="1" applyFont="1" applyFill="1" applyBorder="1" applyAlignment="1">
      <alignment horizontal="center" vertical="center" wrapText="1"/>
    </xf>
    <xf numFmtId="0" fontId="77" fillId="21" borderId="222" xfId="53" applyNumberFormat="1" applyFont="1" applyFill="1" applyBorder="1" applyAlignment="1">
      <alignment horizontal="center" vertical="center" wrapText="1"/>
    </xf>
    <xf numFmtId="0" fontId="158" fillId="0" borderId="173" xfId="0" applyFont="1" applyFill="1" applyBorder="1" applyAlignment="1" applyProtection="1">
      <alignment horizontal="left" vertical="center" wrapText="1"/>
      <protection locked="0"/>
    </xf>
    <xf numFmtId="0" fontId="156" fillId="0" borderId="173" xfId="0" applyFont="1" applyFill="1" applyBorder="1" applyAlignment="1" applyProtection="1">
      <alignment horizontal="left" vertical="center" wrapText="1"/>
      <protection locked="0"/>
    </xf>
    <xf numFmtId="0" fontId="156" fillId="0" borderId="206" xfId="0" applyFont="1" applyFill="1" applyBorder="1" applyAlignment="1" applyProtection="1">
      <alignment horizontal="left" vertical="center" wrapText="1"/>
      <protection locked="0"/>
    </xf>
    <xf numFmtId="0" fontId="155" fillId="22" borderId="112" xfId="0" applyFont="1" applyFill="1" applyBorder="1" applyAlignment="1" applyProtection="1">
      <alignment horizontal="left" wrapText="1"/>
      <protection locked="0"/>
    </xf>
    <xf numFmtId="0" fontId="155" fillId="22" borderId="111" xfId="0" applyFont="1" applyFill="1" applyBorder="1" applyAlignment="1" applyProtection="1">
      <alignment horizontal="left" wrapText="1"/>
      <protection locked="0"/>
    </xf>
    <xf numFmtId="0" fontId="155" fillId="22" borderId="113" xfId="0" applyFont="1" applyFill="1" applyBorder="1" applyAlignment="1" applyProtection="1">
      <alignment horizontal="left" wrapText="1"/>
      <protection locked="0"/>
    </xf>
    <xf numFmtId="0" fontId="155" fillId="22" borderId="67" xfId="0" applyFont="1" applyFill="1" applyBorder="1" applyAlignment="1" applyProtection="1">
      <alignment horizontal="left" wrapText="1"/>
      <protection locked="0"/>
    </xf>
    <xf numFmtId="0" fontId="155" fillId="22" borderId="106" xfId="0" applyFont="1" applyFill="1" applyBorder="1" applyAlignment="1" applyProtection="1">
      <alignment horizontal="left" wrapText="1"/>
      <protection locked="0"/>
    </xf>
    <xf numFmtId="0" fontId="155" fillId="22" borderId="108" xfId="0" applyFont="1" applyFill="1" applyBorder="1" applyAlignment="1" applyProtection="1">
      <alignment horizontal="left" wrapText="1"/>
      <protection locked="0"/>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77" fillId="21" borderId="218" xfId="53" applyNumberFormat="1" applyFont="1" applyFill="1" applyBorder="1" applyAlignment="1">
      <alignment horizontal="center" vertical="center" wrapText="1"/>
    </xf>
    <xf numFmtId="0" fontId="24" fillId="0" borderId="0" xfId="0" applyFont="1" applyAlignment="1">
      <alignment horizontal="center"/>
    </xf>
    <xf numFmtId="0" fontId="21" fillId="0" borderId="223" xfId="0" applyFont="1" applyFill="1" applyBorder="1" applyAlignment="1" applyProtection="1">
      <alignment horizontal="left"/>
      <protection locked="0"/>
    </xf>
    <xf numFmtId="0" fontId="21" fillId="0" borderId="225" xfId="0" applyFont="1" applyFill="1" applyBorder="1" applyAlignment="1" applyProtection="1">
      <alignment horizontal="left" vertical="top" wrapText="1"/>
      <protection locked="0"/>
    </xf>
    <xf numFmtId="0" fontId="21" fillId="0" borderId="226" xfId="0" applyFont="1" applyFill="1" applyBorder="1" applyAlignment="1" applyProtection="1">
      <alignment horizontal="left" vertical="top" wrapText="1"/>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07" xfId="0" applyFont="1" applyFill="1" applyBorder="1" applyAlignment="1" applyProtection="1">
      <alignment horizontal="left" vertical="center" wrapText="1"/>
      <protection locked="0"/>
    </xf>
    <xf numFmtId="0" fontId="21" fillId="0" borderId="208" xfId="0" applyFont="1" applyFill="1" applyBorder="1" applyAlignment="1" applyProtection="1">
      <alignment horizontal="left" vertical="center" wrapText="1"/>
      <protection locked="0"/>
    </xf>
    <xf numFmtId="0" fontId="21" fillId="0" borderId="209" xfId="0" applyFont="1" applyBorder="1" applyAlignment="1" applyProtection="1">
      <alignment horizontal="left"/>
      <protection locked="0"/>
    </xf>
    <xf numFmtId="43" fontId="17" fillId="31" borderId="0" xfId="39" applyFont="1" applyFill="1" applyAlignment="1">
      <alignment horizontal="center" vertical="center"/>
    </xf>
    <xf numFmtId="0" fontId="33" fillId="0" borderId="0" xfId="0" applyFont="1" applyAlignment="1">
      <alignment horizont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5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273474.51</c:v>
                </c:pt>
                <c:pt idx="1">
                  <c:v>1494677.91</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1558295</c:v>
                </c:pt>
                <c:pt idx="1">
                  <c:v>1558295</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12557384"/>
        <c:axId val="312562088"/>
      </c:barChart>
      <c:catAx>
        <c:axId val="31255738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312562088"/>
        <c:crosses val="autoZero"/>
        <c:auto val="1"/>
        <c:lblAlgn val="ctr"/>
        <c:lblOffset val="100"/>
        <c:tickLblSkip val="1"/>
        <c:tickMarkSkip val="1"/>
        <c:noMultiLvlLbl val="0"/>
      </c:catAx>
      <c:valAx>
        <c:axId val="3125620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31255738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datelor'!$G$124</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datelor'!$H$124:$S$124</c:f>
              <c:numCache>
                <c:formatCode>0.0%</c:formatCode>
                <c:ptCount val="12"/>
                <c:pt idx="1">
                  <c:v>0.27</c:v>
                </c:pt>
                <c:pt idx="3">
                  <c:v>0.3</c:v>
                </c:pt>
                <c:pt idx="5">
                  <c:v>0.33</c:v>
                </c:pt>
              </c:numCache>
            </c:numRef>
          </c:val>
        </c:ser>
        <c:ser>
          <c:idx val="1"/>
          <c:order val="1"/>
          <c:tx>
            <c:strRef>
              <c:f>'Introducerea datelor'!$G$125</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datelor'!$H$125:$S$125</c:f>
              <c:numCache>
                <c:formatCode>0.0%</c:formatCode>
                <c:ptCount val="12"/>
                <c:pt idx="1">
                  <c:v>0.21</c:v>
                </c:pt>
              </c:numCache>
            </c:numRef>
          </c:val>
        </c:ser>
        <c:dLbls>
          <c:showLegendKey val="0"/>
          <c:showVal val="0"/>
          <c:showCatName val="0"/>
          <c:showSerName val="0"/>
          <c:showPercent val="0"/>
          <c:showBubbleSize val="0"/>
        </c:dLbls>
        <c:gapWidth val="150"/>
        <c:axId val="342925048"/>
        <c:axId val="342928184"/>
      </c:barChart>
      <c:catAx>
        <c:axId val="342925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42928184"/>
        <c:crosses val="autoZero"/>
        <c:auto val="1"/>
        <c:lblAlgn val="ctr"/>
        <c:lblOffset val="100"/>
        <c:tickLblSkip val="1"/>
        <c:tickMarkSkip val="1"/>
        <c:noMultiLvlLbl val="0"/>
      </c:catAx>
      <c:valAx>
        <c:axId val="342928184"/>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42925048"/>
        <c:crosses val="autoZero"/>
        <c:crossBetween val="between"/>
      </c:valAx>
      <c:spPr>
        <a:noFill/>
        <a:ln w="25400">
          <a:noFill/>
        </a:ln>
      </c:spPr>
    </c:plotArea>
    <c:legend>
      <c:legendPos val="r"/>
      <c:layout>
        <c:manualLayout>
          <c:xMode val="edge"/>
          <c:yMode val="edge"/>
          <c:x val="0.41868471128608925"/>
          <c:y val="0.9229454651501896"/>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datelor'!$H$118:$S$118</c:f>
              <c:numCache>
                <c:formatCode>0.0%</c:formatCode>
                <c:ptCount val="12"/>
                <c:pt idx="1">
                  <c:v>0.83</c:v>
                </c:pt>
                <c:pt idx="3">
                  <c:v>0.84</c:v>
                </c:pt>
                <c:pt idx="5" formatCode="#,##0">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datelor'!$H$119:$S$119</c:f>
              <c:numCache>
                <c:formatCode>0.0%</c:formatCode>
                <c:ptCount val="12"/>
                <c:pt idx="1">
                  <c:v>0.84</c:v>
                </c:pt>
              </c:numCache>
            </c:numRef>
          </c:val>
        </c:ser>
        <c:dLbls>
          <c:showLegendKey val="0"/>
          <c:showVal val="0"/>
          <c:showCatName val="0"/>
          <c:showSerName val="0"/>
          <c:showPercent val="0"/>
          <c:showBubbleSize val="0"/>
        </c:dLbls>
        <c:gapWidth val="150"/>
        <c:axId val="342927008"/>
        <c:axId val="342928576"/>
      </c:barChart>
      <c:catAx>
        <c:axId val="34292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42928576"/>
        <c:crosses val="autoZero"/>
        <c:auto val="1"/>
        <c:lblAlgn val="ctr"/>
        <c:lblOffset val="100"/>
        <c:tickLblSkip val="1"/>
        <c:tickMarkSkip val="1"/>
        <c:noMultiLvlLbl val="0"/>
      </c:catAx>
      <c:valAx>
        <c:axId val="342928576"/>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42927008"/>
        <c:crosses val="autoZero"/>
        <c:crossBetween val="between"/>
      </c:valAx>
      <c:spPr>
        <a:noFill/>
        <a:ln w="25400">
          <a:noFill/>
        </a:ln>
      </c:spPr>
    </c:plotArea>
    <c:legend>
      <c:legendPos val="r"/>
      <c:layout>
        <c:manualLayout>
          <c:xMode val="edge"/>
          <c:yMode val="edge"/>
          <c:x val="0.41657198790745215"/>
          <c:y val="0.91237111416118866"/>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273474.51</c:v>
                </c:pt>
                <c:pt idx="1">
                  <c:v>1494677.91</c:v>
                </c:pt>
                <c:pt idx="2">
                  <c:v>0</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1558295</c:v>
                </c:pt>
                <c:pt idx="1">
                  <c:v>1558295</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42924264"/>
        <c:axId val="342921128"/>
      </c:areaChart>
      <c:catAx>
        <c:axId val="342924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42921128"/>
        <c:crosses val="autoZero"/>
        <c:auto val="1"/>
        <c:lblAlgn val="ctr"/>
        <c:lblOffset val="100"/>
        <c:tickLblSkip val="8"/>
        <c:tickMarkSkip val="1"/>
        <c:noMultiLvlLbl val="0"/>
      </c:catAx>
      <c:valAx>
        <c:axId val="34292112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429242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1558295</c:v>
                </c:pt>
                <c:pt idx="1">
                  <c:v>248034.44</c:v>
                </c:pt>
                <c:pt idx="2">
                  <c:v>0</c:v>
                </c:pt>
                <c:pt idx="3">
                  <c:v>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0</c:v>
                </c:pt>
                <c:pt idx="1">
                  <c:v>920366.04</c:v>
                </c:pt>
                <c:pt idx="2">
                  <c:v>0</c:v>
                </c:pt>
                <c:pt idx="3">
                  <c:v>0</c:v>
                </c:pt>
              </c:numCache>
            </c:numRef>
          </c:val>
        </c:ser>
        <c:dLbls>
          <c:showLegendKey val="0"/>
          <c:showVal val="0"/>
          <c:showCatName val="0"/>
          <c:showSerName val="0"/>
          <c:showPercent val="0"/>
          <c:showBubbleSize val="0"/>
        </c:dLbls>
        <c:gapWidth val="150"/>
        <c:overlap val="100"/>
        <c:axId val="312561696"/>
        <c:axId val="312555816"/>
      </c:barChart>
      <c:catAx>
        <c:axId val="3125616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312555816"/>
        <c:crossesAt val="0"/>
        <c:auto val="1"/>
        <c:lblAlgn val="ctr"/>
        <c:lblOffset val="100"/>
        <c:noMultiLvlLbl val="0"/>
      </c:catAx>
      <c:valAx>
        <c:axId val="31255581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31256169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datelor'!$C$39:$C$43</c:f>
              <c:numCache>
                <c:formatCode>#,##0</c:formatCode>
                <c:ptCount val="5"/>
                <c:pt idx="0">
                  <c:v>29664.68</c:v>
                </c:pt>
                <c:pt idx="1">
                  <c:v>1276448.05</c:v>
                </c:pt>
                <c:pt idx="2">
                  <c:v>50049.919999999998</c:v>
                </c:pt>
                <c:pt idx="3">
                  <c:v>138515.26</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datelor'!$D$39:$D$43</c:f>
              <c:numCache>
                <c:formatCode>#,##0</c:formatCode>
                <c:ptCount val="5"/>
                <c:pt idx="0">
                  <c:v>13143.08</c:v>
                </c:pt>
                <c:pt idx="1">
                  <c:v>582442.73</c:v>
                </c:pt>
                <c:pt idx="2">
                  <c:v>21491.16</c:v>
                </c:pt>
                <c:pt idx="3">
                  <c:v>149759.78</c:v>
                </c:pt>
                <c:pt idx="4">
                  <c:v>401563.73000000004</c:v>
                </c:pt>
              </c:numCache>
            </c:numRef>
          </c:val>
        </c:ser>
        <c:dLbls>
          <c:showLegendKey val="0"/>
          <c:showVal val="0"/>
          <c:showCatName val="0"/>
          <c:showSerName val="0"/>
          <c:showPercent val="0"/>
          <c:showBubbleSize val="0"/>
        </c:dLbls>
        <c:gapWidth val="150"/>
        <c:axId val="343452104"/>
        <c:axId val="343446616"/>
      </c:barChart>
      <c:catAx>
        <c:axId val="343452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43446616"/>
        <c:crosses val="autoZero"/>
        <c:auto val="1"/>
        <c:lblAlgn val="ctr"/>
        <c:lblOffset val="100"/>
        <c:tickMarkSkip val="1"/>
        <c:noMultiLvlLbl val="0"/>
      </c:catAx>
      <c:valAx>
        <c:axId val="3434466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4345210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5</c:v>
                </c:pt>
              </c:numCache>
            </c:numRef>
          </c:val>
        </c:ser>
        <c:dLbls>
          <c:showLegendKey val="0"/>
          <c:showVal val="0"/>
          <c:showCatName val="0"/>
          <c:showSerName val="0"/>
          <c:showPercent val="0"/>
          <c:showBubbleSize val="0"/>
        </c:dLbls>
        <c:gapWidth val="79"/>
        <c:overlap val="100"/>
        <c:axId val="343447008"/>
        <c:axId val="343445440"/>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343449360"/>
        <c:axId val="343451712"/>
      </c:barChart>
      <c:catAx>
        <c:axId val="343447008"/>
        <c:scaling>
          <c:orientation val="minMax"/>
        </c:scaling>
        <c:delete val="1"/>
        <c:axPos val="l"/>
        <c:majorTickMark val="out"/>
        <c:minorTickMark val="none"/>
        <c:tickLblPos val="none"/>
        <c:crossAx val="343445440"/>
        <c:crosses val="autoZero"/>
        <c:auto val="1"/>
        <c:lblAlgn val="ctr"/>
        <c:lblOffset val="100"/>
        <c:noMultiLvlLbl val="0"/>
      </c:catAx>
      <c:valAx>
        <c:axId val="3434454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43447008"/>
        <c:crosses val="max"/>
        <c:crossBetween val="between"/>
      </c:valAx>
      <c:catAx>
        <c:axId val="343449360"/>
        <c:scaling>
          <c:orientation val="minMax"/>
        </c:scaling>
        <c:delete val="1"/>
        <c:axPos val="l"/>
        <c:majorTickMark val="out"/>
        <c:minorTickMark val="none"/>
        <c:tickLblPos val="none"/>
        <c:crossAx val="343451712"/>
        <c:crosses val="autoZero"/>
        <c:auto val="0"/>
        <c:lblAlgn val="ctr"/>
        <c:lblOffset val="100"/>
        <c:noMultiLvlLbl val="0"/>
      </c:catAx>
      <c:valAx>
        <c:axId val="343451712"/>
        <c:scaling>
          <c:orientation val="minMax"/>
        </c:scaling>
        <c:delete val="0"/>
        <c:axPos val="b"/>
        <c:numFmt formatCode="0%" sourceLinked="1"/>
        <c:majorTickMark val="none"/>
        <c:minorTickMark val="none"/>
        <c:tickLblPos val="none"/>
        <c:spPr>
          <a:ln w="3175">
            <a:solidFill>
              <a:srgbClr val="000000"/>
            </a:solidFill>
            <a:prstDash val="solid"/>
          </a:ln>
        </c:spPr>
        <c:crossAx val="343449360"/>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0</c:v>
                </c:pt>
              </c:numCache>
            </c:numRef>
          </c:val>
        </c:ser>
        <c:dLbls>
          <c:showLegendKey val="0"/>
          <c:showVal val="0"/>
          <c:showCatName val="0"/>
          <c:showSerName val="0"/>
          <c:showPercent val="0"/>
          <c:showBubbleSize val="0"/>
        </c:dLbls>
        <c:gapWidth val="150"/>
        <c:overlap val="-20"/>
        <c:axId val="343448184"/>
        <c:axId val="343450536"/>
      </c:barChart>
      <c:catAx>
        <c:axId val="343448184"/>
        <c:scaling>
          <c:orientation val="minMax"/>
        </c:scaling>
        <c:delete val="0"/>
        <c:axPos val="b"/>
        <c:majorTickMark val="none"/>
        <c:minorTickMark val="none"/>
        <c:tickLblPos val="none"/>
        <c:spPr>
          <a:ln w="3175">
            <a:solidFill>
              <a:srgbClr val="000000"/>
            </a:solidFill>
            <a:prstDash val="solid"/>
          </a:ln>
        </c:spPr>
        <c:crossAx val="343450536"/>
        <c:crosses val="autoZero"/>
        <c:auto val="0"/>
        <c:lblAlgn val="ctr"/>
        <c:lblOffset val="100"/>
        <c:tickMarkSkip val="1"/>
        <c:noMultiLvlLbl val="0"/>
      </c:catAx>
      <c:valAx>
        <c:axId val="343450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43448184"/>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2</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1">
                  <c:v>1</c:v>
                </c:pt>
              </c:numCache>
            </c:numRef>
          </c:val>
        </c:ser>
        <c:dLbls>
          <c:showLegendKey val="0"/>
          <c:showVal val="0"/>
          <c:showCatName val="0"/>
          <c:showSerName val="0"/>
          <c:showPercent val="0"/>
          <c:showBubbleSize val="0"/>
        </c:dLbls>
        <c:gapWidth val="70"/>
        <c:overlap val="100"/>
        <c:axId val="343448968"/>
        <c:axId val="343447400"/>
      </c:barChart>
      <c:catAx>
        <c:axId val="3434489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43447400"/>
        <c:crosses val="autoZero"/>
        <c:auto val="1"/>
        <c:lblAlgn val="ctr"/>
        <c:lblOffset val="100"/>
        <c:tickLblSkip val="1"/>
        <c:tickMarkSkip val="1"/>
        <c:noMultiLvlLbl val="0"/>
      </c:catAx>
      <c:valAx>
        <c:axId val="3434474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43448968"/>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43446224"/>
        <c:axId val="343447792"/>
      </c:barChart>
      <c:catAx>
        <c:axId val="343446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43447792"/>
        <c:crosses val="autoZero"/>
        <c:auto val="1"/>
        <c:lblAlgn val="ctr"/>
        <c:lblOffset val="100"/>
        <c:noMultiLvlLbl val="0"/>
      </c:catAx>
      <c:valAx>
        <c:axId val="3434477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43446224"/>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104975.69</c:v>
                </c:pt>
                <c:pt idx="1">
                  <c:v>1137548.69</c:v>
                </c:pt>
                <c:pt idx="2">
                  <c:v>1137548.69</c:v>
                </c:pt>
                <c:pt idx="3">
                  <c:v>1137548.69</c:v>
                </c:pt>
                <c:pt idx="4">
                  <c:v>1137548.69</c:v>
                </c:pt>
                <c:pt idx="5">
                  <c:v>1137548.69</c:v>
                </c:pt>
                <c:pt idx="6">
                  <c:v>1137548.69</c:v>
                </c:pt>
                <c:pt idx="7">
                  <c:v>1137548.69</c:v>
                </c:pt>
                <c:pt idx="8">
                  <c:v>1137548.69</c:v>
                </c:pt>
                <c:pt idx="9">
                  <c:v>1137548.69</c:v>
                </c:pt>
                <c:pt idx="10">
                  <c:v>1137548.69</c:v>
                </c:pt>
                <c:pt idx="11">
                  <c:v>1137548.69</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120322.08</c:v>
                </c:pt>
                <c:pt idx="1">
                  <c:v>136917.81</c:v>
                </c:pt>
                <c:pt idx="2">
                  <c:v>136917.81</c:v>
                </c:pt>
                <c:pt idx="3">
                  <c:v>136917.81</c:v>
                </c:pt>
                <c:pt idx="4">
                  <c:v>136917.81</c:v>
                </c:pt>
                <c:pt idx="5">
                  <c:v>136917.81</c:v>
                </c:pt>
                <c:pt idx="6">
                  <c:v>136917.81</c:v>
                </c:pt>
                <c:pt idx="7">
                  <c:v>136917.81</c:v>
                </c:pt>
                <c:pt idx="8">
                  <c:v>136917.81</c:v>
                </c:pt>
                <c:pt idx="9">
                  <c:v>136917.81</c:v>
                </c:pt>
                <c:pt idx="10">
                  <c:v>136917.81</c:v>
                </c:pt>
                <c:pt idx="11">
                  <c:v>136917.81</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71447.17</c:v>
                </c:pt>
                <c:pt idx="1">
                  <c:v>828134.17</c:v>
                </c:pt>
                <c:pt idx="2">
                  <c:v>828134.17</c:v>
                </c:pt>
                <c:pt idx="3">
                  <c:v>828134.17</c:v>
                </c:pt>
                <c:pt idx="4">
                  <c:v>828134.17</c:v>
                </c:pt>
                <c:pt idx="5">
                  <c:v>828134.17</c:v>
                </c:pt>
                <c:pt idx="6">
                  <c:v>828134.17</c:v>
                </c:pt>
                <c:pt idx="7">
                  <c:v>828134.17</c:v>
                </c:pt>
                <c:pt idx="8">
                  <c:v>828134.17</c:v>
                </c:pt>
                <c:pt idx="9">
                  <c:v>828134.17</c:v>
                </c:pt>
                <c:pt idx="10">
                  <c:v>828134.17</c:v>
                </c:pt>
                <c:pt idx="11">
                  <c:v>828134.17</c:v>
                </c:pt>
              </c:numCache>
            </c:numRef>
          </c:val>
          <c:smooth val="0"/>
        </c:ser>
        <c:dLbls>
          <c:showLegendKey val="0"/>
          <c:showVal val="0"/>
          <c:showCatName val="0"/>
          <c:showSerName val="0"/>
          <c:showPercent val="0"/>
          <c:showBubbleSize val="0"/>
        </c:dLbls>
        <c:marker val="1"/>
        <c:smooth val="0"/>
        <c:axId val="343452888"/>
        <c:axId val="343451320"/>
      </c:lineChart>
      <c:catAx>
        <c:axId val="343452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43451320"/>
        <c:crosses val="autoZero"/>
        <c:auto val="1"/>
        <c:lblAlgn val="ctr"/>
        <c:lblOffset val="100"/>
        <c:tickLblSkip val="1"/>
        <c:tickMarkSkip val="1"/>
        <c:noMultiLvlLbl val="0"/>
      </c:catAx>
      <c:valAx>
        <c:axId val="3434513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43452888"/>
        <c:crosses val="autoZero"/>
        <c:crossBetween val="between"/>
      </c:valAx>
      <c:spPr>
        <a:solidFill>
          <a:srgbClr val="FFFFFF"/>
        </a:solidFill>
        <a:ln w="12700">
          <a:solidFill>
            <a:srgbClr val="808080"/>
          </a:solidFill>
          <a:prstDash val="solid"/>
        </a:ln>
      </c:spPr>
    </c:plotArea>
    <c:legend>
      <c:legendPos val="r"/>
      <c:layout>
        <c:manualLayout>
          <c:xMode val="edge"/>
          <c:yMode val="edge"/>
          <c:x val="7.2139303482587069E-2"/>
          <c:y val="0.8212598425196852"/>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datelor'!$H$120:$S$120</c:f>
              <c:numCache>
                <c:formatCode>0%</c:formatCode>
                <c:ptCount val="12"/>
                <c:pt idx="0">
                  <c:v>0.95</c:v>
                </c:pt>
                <c:pt idx="1">
                  <c:v>0.95</c:v>
                </c:pt>
                <c:pt idx="2">
                  <c:v>0.95</c:v>
                </c:pt>
                <c:pt idx="3">
                  <c:v>0.95</c:v>
                </c:pt>
                <c:pt idx="4">
                  <c:v>0.95</c:v>
                </c:pt>
                <c:pt idx="5">
                  <c:v>0.95</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datelor'!$H$121:$S$121</c:f>
              <c:numCache>
                <c:formatCode>0%</c:formatCode>
                <c:ptCount val="12"/>
                <c:pt idx="0">
                  <c:v>0.91</c:v>
                </c:pt>
                <c:pt idx="1">
                  <c:v>0.97</c:v>
                </c:pt>
              </c:numCache>
            </c:numRef>
          </c:val>
        </c:ser>
        <c:dLbls>
          <c:showLegendKey val="0"/>
          <c:showVal val="0"/>
          <c:showCatName val="0"/>
          <c:showSerName val="0"/>
          <c:showPercent val="0"/>
          <c:showBubbleSize val="0"/>
        </c:dLbls>
        <c:gapWidth val="150"/>
        <c:axId val="342926616"/>
        <c:axId val="342925440"/>
      </c:barChart>
      <c:catAx>
        <c:axId val="342926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42925440"/>
        <c:crosses val="autoZero"/>
        <c:auto val="1"/>
        <c:lblAlgn val="ctr"/>
        <c:lblOffset val="100"/>
        <c:tickLblSkip val="1"/>
        <c:tickMarkSkip val="1"/>
        <c:noMultiLvlLbl val="0"/>
      </c:catAx>
      <c:valAx>
        <c:axId val="342925440"/>
        <c:scaling>
          <c:orientation val="minMax"/>
          <c:max val="1"/>
          <c:min val="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a:solidFill>
              <a:srgbClr val="000000"/>
            </a:solidFill>
          </a:ln>
        </c:spPr>
        <c:txPr>
          <a:bodyPr rot="0" vert="horz"/>
          <a:lstStyle/>
          <a:p>
            <a:pPr>
              <a:defRPr sz="475" b="0" i="0" u="none" strike="noStrike" baseline="0">
                <a:solidFill>
                  <a:srgbClr val="000000"/>
                </a:solidFill>
                <a:latin typeface="Arial"/>
                <a:ea typeface="Arial"/>
                <a:cs typeface="Arial"/>
              </a:defRPr>
            </a:pPr>
            <a:endParaRPr lang="ro-RO"/>
          </a:p>
        </c:txPr>
        <c:crossAx val="342926616"/>
        <c:crosses val="autoZero"/>
        <c:crossBetween val="between"/>
      </c:valAx>
      <c:spPr>
        <a:noFill/>
        <a:ln w="25400">
          <a:noFill/>
        </a:ln>
      </c:spPr>
    </c:plotArea>
    <c:legend>
      <c:legendPos val="r"/>
      <c:layout>
        <c:manualLayout>
          <c:xMode val="edge"/>
          <c:yMode val="edge"/>
          <c:x val="0.41431537552651282"/>
          <c:y val="0.911916978119670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575727" y="2576305"/>
          <a:ext cx="3483251"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19455</xdr:colOff>
      <xdr:row>22</xdr:row>
      <xdr:rowOff>2561524</xdr:rowOff>
    </xdr:from>
    <xdr:to>
      <xdr:col>6</xdr:col>
      <xdr:colOff>19455</xdr:colOff>
      <xdr:row>34</xdr:row>
      <xdr:rowOff>16565</xdr:rowOff>
    </xdr:to>
    <xdr:grpSp>
      <xdr:nvGrpSpPr>
        <xdr:cNvPr id="2841006" name="Group 490"/>
        <xdr:cNvGrpSpPr>
          <a:grpSpLocks/>
        </xdr:cNvGrpSpPr>
      </xdr:nvGrpSpPr>
      <xdr:grpSpPr bwMode="auto">
        <a:xfrm>
          <a:off x="19455" y="7763002"/>
          <a:ext cx="4547152" cy="2714498"/>
          <a:chOff x="1" y="485"/>
          <a:chExt cx="407" cy="245"/>
        </a:xfrm>
      </xdr:grpSpPr>
      <xdr:graphicFrame macro="">
        <xdr:nvGraphicFramePr>
          <xdr:cNvPr id="2841007" name="Chart 34"/>
          <xdr:cNvGraphicFramePr>
            <a:graphicFrameLocks/>
          </xdr:cNvGraphicFramePr>
        </xdr:nvGraphicFramePr>
        <xdr:xfrm>
          <a:off x="1" y="48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7</xdr:row>
      <xdr:rowOff>1666875</xdr:rowOff>
    </xdr:from>
    <xdr:to>
      <xdr:col>12</xdr:col>
      <xdr:colOff>38100</xdr:colOff>
      <xdr:row>12</xdr:row>
      <xdr:rowOff>95250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15</xdr:row>
      <xdr:rowOff>0</xdr:rowOff>
    </xdr:from>
    <xdr:to>
      <xdr:col>5</xdr:col>
      <xdr:colOff>962025</xdr:colOff>
      <xdr:row>24</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8</xdr:row>
      <xdr:rowOff>342900</xdr:rowOff>
    </xdr:from>
    <xdr:to>
      <xdr:col>6</xdr:col>
      <xdr:colOff>0</xdr:colOff>
      <xdr:row>9</xdr:row>
      <xdr:rowOff>523875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15</xdr:row>
      <xdr:rowOff>19050</xdr:rowOff>
    </xdr:from>
    <xdr:to>
      <xdr:col>12</xdr:col>
      <xdr:colOff>180975</xdr:colOff>
      <xdr:row>24</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26</xdr:row>
      <xdr:rowOff>152399</xdr:rowOff>
    </xdr:from>
    <xdr:to>
      <xdr:col>6</xdr:col>
      <xdr:colOff>19050</xdr:colOff>
      <xdr:row>34</xdr:row>
      <xdr:rowOff>847725</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114300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17</xdr:col>
      <xdr:colOff>0</xdr:colOff>
      <xdr:row>17</xdr:row>
      <xdr:rowOff>133350</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171450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77404" y="8894885"/>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472729" y="8894885"/>
          <a:ext cx="10258"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77204" y="8894885"/>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6077" y="8894885"/>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4" connectionId="0">
    <xmlCellPr id="1" uniqueName="1">
      <xmlPr mapId="43" xpath="/ns1:Root/ns1:Prog/ns1:Target_P1_3" xmlDataType="double"/>
    </xmlCellPr>
  </singleXmlCell>
  <singleXmlCell id="615" r="I124" connectionId="0">
    <xmlCellPr id="1" uniqueName="1">
      <xmlPr mapId="43" xpath="/ns1:Root/ns1:Prog/ns1:Target_P2_3" xmlDataType="double"/>
    </xmlCellPr>
  </singleXmlCell>
  <singleXmlCell id="616" r="J124" connectionId="0">
    <xmlCellPr id="1" uniqueName="1">
      <xmlPr mapId="43" xpath="/ns1:Root/ns1:Prog/ns1:Target_P3_3" xmlDataType="double"/>
    </xmlCellPr>
  </singleXmlCell>
  <singleXmlCell id="617" r="K124" connectionId="0">
    <xmlCellPr id="1" uniqueName="1">
      <xmlPr mapId="43" xpath="/ns1:Root/ns1:Prog/ns1:Target_P4_3" xmlDataType="double"/>
    </xmlCellPr>
  </singleXmlCell>
  <singleXmlCell id="618" r="L124" connectionId="0">
    <xmlCellPr id="1" uniqueName="1">
      <xmlPr mapId="43" xpath="/ns1:Root/ns1:Prog/ns1:Target_P5_3" xmlDataType="double"/>
    </xmlCellPr>
  </singleXmlCell>
  <singleXmlCell id="619" r="M124" connectionId="0">
    <xmlCellPr id="1" uniqueName="1">
      <xmlPr mapId="43" xpath="/ns1:Root/ns1:Prog/ns1:Target_P6_3" xmlDataType="double"/>
    </xmlCellPr>
  </singleXmlCell>
  <singleXmlCell id="620" r="N124" connectionId="0">
    <xmlCellPr id="1" uniqueName="1">
      <xmlPr mapId="43" xpath="/ns1:Root/ns1:Prog/ns1:Target_P7_3" xmlDataType="double"/>
    </xmlCellPr>
  </singleXmlCell>
  <singleXmlCell id="621" r="O124" connectionId="0">
    <xmlCellPr id="1" uniqueName="1">
      <xmlPr mapId="43" xpath="/ns1:Root/ns1:Prog/ns1:Target_P8_3" xmlDataType="double"/>
    </xmlCellPr>
  </singleXmlCell>
  <singleXmlCell id="622" r="P124" connectionId="0">
    <xmlCellPr id="1" uniqueName="1">
      <xmlPr mapId="43" xpath="/ns1:Root/ns1:Prog/ns1:Target_P9_3" xmlDataType="double"/>
    </xmlCellPr>
  </singleXmlCell>
  <singleXmlCell id="623" r="Q124" connectionId="0">
    <xmlCellPr id="1" uniqueName="1">
      <xmlPr mapId="43" xpath="/ns1:Root/ns1:Prog/ns1:Target_P10_3" xmlDataType="string"/>
    </xmlCellPr>
  </singleXmlCell>
  <singleXmlCell id="624" r="R124" connectionId="0">
    <xmlCellPr id="1" uniqueName="1">
      <xmlPr mapId="43" xpath="/ns1:Root/ns1:Prog/ns1:Target_P11_3" xmlDataType="string"/>
    </xmlCellPr>
  </singleXmlCell>
  <singleXmlCell id="625" r="S124" connectionId="0">
    <xmlCellPr id="1" uniqueName="1">
      <xmlPr mapId="43" xpath="/ns1:Root/ns1:Prog/ns1:Target_P12_3" xmlDataType="double"/>
    </xmlCellPr>
  </singleXmlCell>
  <singleXmlCell id="626" r="H125" connectionId="0">
    <xmlCellPr id="1" uniqueName="1">
      <xmlPr mapId="43" xpath="/ns1:Root/ns1:Prog/ns1:Achieved__P1_3" xmlDataType="string"/>
    </xmlCellPr>
  </singleXmlCell>
  <singleXmlCell id="627" r="I125" connectionId="0">
    <xmlCellPr id="1" uniqueName="1">
      <xmlPr mapId="43" xpath="/ns1:Root/ns1:Prog/ns1:Achieved__P2_3" xmlDataType="double"/>
    </xmlCellPr>
  </singleXmlCell>
  <singleXmlCell id="628" r="J125" connectionId="0">
    <xmlCellPr id="1" uniqueName="1">
      <xmlPr mapId="43" xpath="/ns1:Root/ns1:Prog/ns1:Achieved__P3_3" xmlDataType="string"/>
    </xmlCellPr>
  </singleXmlCell>
  <singleXmlCell id="629" r="K125" connectionId="0">
    <xmlCellPr id="1" uniqueName="1">
      <xmlPr mapId="43" xpath="/ns1:Root/ns1:Prog/ns1:Achieved__P4_3" xmlDataType="double"/>
    </xmlCellPr>
  </singleXmlCell>
  <singleXmlCell id="630" r="L125" connectionId="0">
    <xmlCellPr id="1" uniqueName="1">
      <xmlPr mapId="43" xpath="/ns1:Root/ns1:Prog/ns1:Achieved__P5_3" xmlDataType="string"/>
    </xmlCellPr>
  </singleXmlCell>
  <singleXmlCell id="631" r="M125" connectionId="0">
    <xmlCellPr id="1" uniqueName="1">
      <xmlPr mapId="43" xpath="/ns1:Root/ns1:Prog/ns1:Achieved__P6_3" xmlDataType="string"/>
    </xmlCellPr>
  </singleXmlCell>
  <singleXmlCell id="632" r="N125" connectionId="0">
    <xmlCellPr id="1" uniqueName="1">
      <xmlPr mapId="43" xpath="/ns1:Root/ns1:Prog/ns1:Achieved__P7_3" xmlDataType="string"/>
    </xmlCellPr>
  </singleXmlCell>
  <singleXmlCell id="633" r="O125" connectionId="0">
    <xmlCellPr id="1" uniqueName="1">
      <xmlPr mapId="43" xpath="/ns1:Root/ns1:Prog/ns1:Achieved__P8_3" xmlDataType="string"/>
    </xmlCellPr>
  </singleXmlCell>
  <singleXmlCell id="634" r="P125" connectionId="0">
    <xmlCellPr id="1" uniqueName="1">
      <xmlPr mapId="43" xpath="/ns1:Root/ns1:Prog/ns1:Achieved__P9_3" xmlDataType="string"/>
    </xmlCellPr>
  </singleXmlCell>
  <singleXmlCell id="635" r="Q125" connectionId="0">
    <xmlCellPr id="1" uniqueName="1">
      <xmlPr mapId="43" xpath="/ns1:Root/ns1:Prog/ns1:Achieved__P10_3" xmlDataType="string"/>
    </xmlCellPr>
  </singleXmlCell>
  <singleXmlCell id="636" r="R125" connectionId="0">
    <xmlCellPr id="1" uniqueName="1">
      <xmlPr mapId="43" xpath="/ns1:Root/ns1:Prog/ns1:Achieved__P11_3" xmlDataType="string"/>
    </xmlCellPr>
  </singleXmlCell>
  <singleXmlCell id="637" r="S125"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5" r="O128" connectionId="0">
    <xmlCellPr id="1" uniqueName="1">
      <xmlPr mapId="43" xpath="/ns1:Root/ns1:Prog/ns1:Target_P8_4" xmlDataType="double"/>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7" r="O129" connectionId="0">
    <xmlCellPr id="1" uniqueName="1">
      <xmlPr mapId="43" xpath="/ns1:Root/ns1:Prog/ns1:Achieved__P8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2" connectionId="0">
    <xmlCellPr id="1" uniqueName="1">
      <xmlPr mapId="43" xpath="/ns1:Root/ns1:Prog/ns1:Target_P1_5" xmlDataType="double"/>
    </xmlCellPr>
  </singleXmlCell>
  <singleXmlCell id="663" r="I132" connectionId="0">
    <xmlCellPr id="1" uniqueName="1">
      <xmlPr mapId="43" xpath="/ns1:Root/ns1:Prog/ns1:Target_P2_5" xmlDataType="double"/>
    </xmlCellPr>
  </singleXmlCell>
  <singleXmlCell id="664" r="J132" connectionId="0">
    <xmlCellPr id="1" uniqueName="1">
      <xmlPr mapId="43" xpath="/ns1:Root/ns1:Prog/ns1:Target_P3_5" xmlDataType="double"/>
    </xmlCellPr>
  </singleXmlCell>
  <singleXmlCell id="665" r="K132" connectionId="0">
    <xmlCellPr id="1" uniqueName="1">
      <xmlPr mapId="43" xpath="/ns1:Root/ns1:Prog/ns1:Target_P4_5" xmlDataType="double"/>
    </xmlCellPr>
  </singleXmlCell>
  <singleXmlCell id="666" r="L132" connectionId="0">
    <xmlCellPr id="1" uniqueName="1">
      <xmlPr mapId="43" xpath="/ns1:Root/ns1:Prog/ns1:Target_P5_5" xmlDataType="double"/>
    </xmlCellPr>
  </singleXmlCell>
  <singleXmlCell id="667" r="M132" connectionId="0">
    <xmlCellPr id="1" uniqueName="1">
      <xmlPr mapId="43" xpath="/ns1:Root/ns1:Prog/ns1:Target_P6_5" xmlDataType="double"/>
    </xmlCellPr>
  </singleXmlCell>
  <singleXmlCell id="668" r="N132" connectionId="0">
    <xmlCellPr id="1" uniqueName="1">
      <xmlPr mapId="43" xpath="/ns1:Root/ns1:Prog/ns1:Target_P7_5" xmlDataType="double"/>
    </xmlCellPr>
  </singleXmlCell>
  <singleXmlCell id="669" r="O132" connectionId="0">
    <xmlCellPr id="1" uniqueName="1">
      <xmlPr mapId="43" xpath="/ns1:Root/ns1:Prog/ns1:Target_P8_5" xmlDataType="double"/>
    </xmlCellPr>
  </singleXmlCell>
  <singleXmlCell id="670" r="P132" connectionId="0">
    <xmlCellPr id="1" uniqueName="1">
      <xmlPr mapId="43" xpath="/ns1:Root/ns1:Prog/ns1:Target_P9_5" xmlDataType="double"/>
    </xmlCellPr>
  </singleXmlCell>
  <singleXmlCell id="671" r="Q132" connectionId="0">
    <xmlCellPr id="1" uniqueName="1">
      <xmlPr mapId="43" xpath="/ns1:Root/ns1:Prog/ns1:Target_P10_5" xmlDataType="double"/>
    </xmlCellPr>
  </singleXmlCell>
  <singleXmlCell id="672" r="R132" connectionId="0">
    <xmlCellPr id="1" uniqueName="1">
      <xmlPr mapId="43" xpath="/ns1:Root/ns1:Prog/ns1:Target_P11_5" xmlDataType="double"/>
    </xmlCellPr>
  </singleXmlCell>
  <singleXmlCell id="673" r="S132" connectionId="0">
    <xmlCellPr id="1" uniqueName="1">
      <xmlPr mapId="43" xpath="/ns1:Root/ns1:Prog/ns1:Target_P12_5" xmlDataType="double"/>
    </xmlCellPr>
  </singleXmlCell>
  <singleXmlCell id="674" r="H133" connectionId="0">
    <xmlCellPr id="1" uniqueName="1">
      <xmlPr mapId="43" xpath="/ns1:Root/ns1:Prog/ns1:Achieved__P1_5" xmlDataType="double"/>
    </xmlCellPr>
  </singleXmlCell>
  <singleXmlCell id="675" r="I133" connectionId="0">
    <xmlCellPr id="1" uniqueName="1">
      <xmlPr mapId="43" xpath="/ns1:Root/ns1:Prog/ns1:Achieved__P2_5" xmlDataType="double"/>
    </xmlCellPr>
  </singleXmlCell>
  <singleXmlCell id="676" r="J133" connectionId="0">
    <xmlCellPr id="1" uniqueName="1">
      <xmlPr mapId="43" xpath="/ns1:Root/ns1:Prog/ns1:Achieved__P3_5" xmlDataType="double"/>
    </xmlCellPr>
  </singleXmlCell>
  <singleXmlCell id="677" r="K133" connectionId="0">
    <xmlCellPr id="1" uniqueName="1">
      <xmlPr mapId="43" xpath="/ns1:Root/ns1:Prog/ns1:Achieved__P4_5" xmlDataType="double"/>
    </xmlCellPr>
  </singleXmlCell>
  <singleXmlCell id="678" r="L133" connectionId="0">
    <xmlCellPr id="1" uniqueName="1">
      <xmlPr mapId="43" xpath="/ns1:Root/ns1:Prog/ns1:Achieved__P5_5" xmlDataType="string"/>
    </xmlCellPr>
  </singleXmlCell>
  <singleXmlCell id="679" r="M133" connectionId="0">
    <xmlCellPr id="1" uniqueName="1">
      <xmlPr mapId="43" xpath="/ns1:Root/ns1:Prog/ns1:Achieved__P6_5" xmlDataType="string"/>
    </xmlCellPr>
  </singleXmlCell>
  <singleXmlCell id="680" r="N133" connectionId="0">
    <xmlCellPr id="1" uniqueName="1">
      <xmlPr mapId="43" xpath="/ns1:Root/ns1:Prog/ns1:Achieved__P7_5" xmlDataType="string"/>
    </xmlCellPr>
  </singleXmlCell>
  <singleXmlCell id="681" r="O133" connectionId="0">
    <xmlCellPr id="1" uniqueName="1">
      <xmlPr mapId="43" xpath="/ns1:Root/ns1:Prog/ns1:Achieved__P8_5" xmlDataType="string"/>
    </xmlCellPr>
  </singleXmlCell>
  <singleXmlCell id="682" r="P133" connectionId="0">
    <xmlCellPr id="1" uniqueName="1">
      <xmlPr mapId="43" xpath="/ns1:Root/ns1:Prog/ns1:Achieved__P9_5" xmlDataType="string"/>
    </xmlCellPr>
  </singleXmlCell>
  <singleXmlCell id="683" r="Q133" connectionId="0">
    <xmlCellPr id="1" uniqueName="1">
      <xmlPr mapId="43" xpath="/ns1:Root/ns1:Prog/ns1:Achieved__P10_5" xmlDataType="string"/>
    </xmlCellPr>
  </singleXmlCell>
  <singleXmlCell id="684" r="R133" connectionId="0">
    <xmlCellPr id="1" uniqueName="1">
      <xmlPr mapId="43" xpath="/ns1:Root/ns1:Prog/ns1:Achieved__P11_5" xmlDataType="string"/>
    </xmlCellPr>
  </singleXmlCell>
  <singleXmlCell id="685" r="S133" connectionId="0">
    <xmlCellPr id="1" uniqueName="1">
      <xmlPr mapId="43" xpath="/ns1:Root/ns1:Prog/ns1:Achieved__P12_5" xmlDataType="string"/>
    </xmlCellPr>
  </singleXmlCell>
  <singleXmlCell id="686" r="H134" connectionId="0">
    <xmlCellPr id="1" uniqueName="1">
      <xmlPr mapId="43" xpath="/ns1:Root/ns1:Prog/ns1:Target_P1_6" xmlDataType="double"/>
    </xmlCellPr>
  </singleXmlCell>
  <singleXmlCell id="687" r="I134" connectionId="0">
    <xmlCellPr id="1" uniqueName="1">
      <xmlPr mapId="43" xpath="/ns1:Root/ns1:Prog/ns1:Target_P2_6" xmlDataType="double"/>
    </xmlCellPr>
  </singleXmlCell>
  <singleXmlCell id="688" r="J134" connectionId="0">
    <xmlCellPr id="1" uniqueName="1">
      <xmlPr mapId="43" xpath="/ns1:Root/ns1:Prog/ns1:Target_P3_6" xmlDataType="double"/>
    </xmlCellPr>
  </singleXmlCell>
  <singleXmlCell id="689" r="K134" connectionId="0">
    <xmlCellPr id="1" uniqueName="1">
      <xmlPr mapId="43" xpath="/ns1:Root/ns1:Prog/ns1:Target_P4_6" xmlDataType="double"/>
    </xmlCellPr>
  </singleXmlCell>
  <singleXmlCell id="690" r="L134" connectionId="0">
    <xmlCellPr id="1" uniqueName="1">
      <xmlPr mapId="43" xpath="/ns1:Root/ns1:Prog/ns1:Target_P5_6" xmlDataType="double"/>
    </xmlCellPr>
  </singleXmlCell>
  <singleXmlCell id="691" r="M134" connectionId="0">
    <xmlCellPr id="1" uniqueName="1">
      <xmlPr mapId="43" xpath="/ns1:Root/ns1:Prog/ns1:Target_P6_6" xmlDataType="double"/>
    </xmlCellPr>
  </singleXmlCell>
  <singleXmlCell id="692" r="N134" connectionId="0">
    <xmlCellPr id="1" uniqueName="1">
      <xmlPr mapId="43" xpath="/ns1:Root/ns1:Prog/ns1:Target_P7_6" xmlDataType="double"/>
    </xmlCellPr>
  </singleXmlCell>
  <singleXmlCell id="693" r="O134" connectionId="0">
    <xmlCellPr id="1" uniqueName="1">
      <xmlPr mapId="43" xpath="/ns1:Root/ns1:Prog/ns1:Target_P8_6" xmlDataType="double"/>
    </xmlCellPr>
  </singleXmlCell>
  <singleXmlCell id="694" r="P134" connectionId="0">
    <xmlCellPr id="1" uniqueName="1">
      <xmlPr mapId="43" xpath="/ns1:Root/ns1:Prog/ns1:Target_P9_6" xmlDataType="double"/>
    </xmlCellPr>
  </singleXmlCell>
  <singleXmlCell id="695" r="Q134" connectionId="0">
    <xmlCellPr id="1" uniqueName="1">
      <xmlPr mapId="43" xpath="/ns1:Root/ns1:Prog/ns1:Target_P10_6" xmlDataType="double"/>
    </xmlCellPr>
  </singleXmlCell>
  <singleXmlCell id="696" r="R134" connectionId="0">
    <xmlCellPr id="1" uniqueName="1">
      <xmlPr mapId="43" xpath="/ns1:Root/ns1:Prog/ns1:Target_P11_6" xmlDataType="double"/>
    </xmlCellPr>
  </singleXmlCell>
  <singleXmlCell id="697" r="S134" connectionId="0">
    <xmlCellPr id="1" uniqueName="1">
      <xmlPr mapId="43" xpath="/ns1:Root/ns1:Prog/ns1:Target_P12_6" xmlDataType="double"/>
    </xmlCellPr>
  </singleXmlCell>
  <singleXmlCell id="698" r="H135" connectionId="0">
    <xmlCellPr id="1" uniqueName="1">
      <xmlPr mapId="43" xpath="/ns1:Root/ns1:Prog/ns1:Achieved__P1_6" xmlDataType="double"/>
    </xmlCellPr>
  </singleXmlCell>
  <singleXmlCell id="699" r="I135" connectionId="0">
    <xmlCellPr id="1" uniqueName="1">
      <xmlPr mapId="43" xpath="/ns1:Root/ns1:Prog/ns1:Achieved__P2_6" xmlDataType="double"/>
    </xmlCellPr>
  </singleXmlCell>
  <singleXmlCell id="700" r="J135" connectionId="0">
    <xmlCellPr id="1" uniqueName="1">
      <xmlPr mapId="43" xpath="/ns1:Root/ns1:Prog/ns1:Achieved__P3_6" xmlDataType="double"/>
    </xmlCellPr>
  </singleXmlCell>
  <singleXmlCell id="701" r="K135" connectionId="0">
    <xmlCellPr id="1" uniqueName="1">
      <xmlPr mapId="43" xpath="/ns1:Root/ns1:Prog/ns1:Achieved__P4_6" xmlDataType="double"/>
    </xmlCellPr>
  </singleXmlCell>
  <singleXmlCell id="702" r="L135" connectionId="0">
    <xmlCellPr id="1" uniqueName="1">
      <xmlPr mapId="43" xpath="/ns1:Root/ns1:Prog/ns1:Achieved__P5_6" xmlDataType="string"/>
    </xmlCellPr>
  </singleXmlCell>
  <singleXmlCell id="703" r="M135" connectionId="0">
    <xmlCellPr id="1" uniqueName="1">
      <xmlPr mapId="43" xpath="/ns1:Root/ns1:Prog/ns1:Achieved__P6_6" xmlDataType="string"/>
    </xmlCellPr>
  </singleXmlCell>
  <singleXmlCell id="704" r="N135" connectionId="0">
    <xmlCellPr id="1" uniqueName="1">
      <xmlPr mapId="43" xpath="/ns1:Root/ns1:Prog/ns1:Achieved__P7_6" xmlDataType="string"/>
    </xmlCellPr>
  </singleXmlCell>
  <singleXmlCell id="705" r="O135" connectionId="0">
    <xmlCellPr id="1" uniqueName="1">
      <xmlPr mapId="43" xpath="/ns1:Root/ns1:Prog/ns1:Achieved__P8_6" xmlDataType="string"/>
    </xmlCellPr>
  </singleXmlCell>
  <singleXmlCell id="706" r="P135" connectionId="0">
    <xmlCellPr id="1" uniqueName="1">
      <xmlPr mapId="43" xpath="/ns1:Root/ns1:Prog/ns1:Achieved__P9_6" xmlDataType="string"/>
    </xmlCellPr>
  </singleXmlCell>
  <singleXmlCell id="707" r="Q135" connectionId="0">
    <xmlCellPr id="1" uniqueName="1">
      <xmlPr mapId="43" xpath="/ns1:Root/ns1:Prog/ns1:Achieved__P10_6" xmlDataType="string"/>
    </xmlCellPr>
  </singleXmlCell>
  <singleXmlCell id="708" r="R135" connectionId="0">
    <xmlCellPr id="1" uniqueName="1">
      <xmlPr mapId="43" xpath="/ns1:Root/ns1:Prog/ns1:Achieved__P11_6" xmlDataType="string"/>
    </xmlCellPr>
  </singleXmlCell>
  <singleXmlCell id="709" r="S135"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58" r="H136" connectionId="0">
    <xmlCellPr id="1" uniqueName="1">
      <xmlPr mapId="43" xpath="/ns1:Root/ns1:Prog/ns1:Target_P1_9" xmlDataType="double"/>
    </xmlCellPr>
  </singleXmlCell>
  <singleXmlCell id="759" r="I136" connectionId="0">
    <xmlCellPr id="1" uniqueName="1">
      <xmlPr mapId="43" xpath="/ns1:Root/ns1:Prog/ns1:Target_P2_9" xmlDataType="double"/>
    </xmlCellPr>
  </singleXmlCell>
  <singleXmlCell id="760" r="J136" connectionId="0">
    <xmlCellPr id="1" uniqueName="1">
      <xmlPr mapId="43" xpath="/ns1:Root/ns1:Prog/ns1:Target_P3_9" xmlDataType="double"/>
    </xmlCellPr>
  </singleXmlCell>
  <singleXmlCell id="761" r="K136" connectionId="0">
    <xmlCellPr id="1" uniqueName="1">
      <xmlPr mapId="43" xpath="/ns1:Root/ns1:Prog/ns1:Target_P4_9" xmlDataType="double"/>
    </xmlCellPr>
  </singleXmlCell>
  <singleXmlCell id="762" r="L136" connectionId="0">
    <xmlCellPr id="1" uniqueName="1">
      <xmlPr mapId="43" xpath="/ns1:Root/ns1:Prog/ns1:Target_P5_9" xmlDataType="double"/>
    </xmlCellPr>
  </singleXmlCell>
  <singleXmlCell id="763" r="M136" connectionId="0">
    <xmlCellPr id="1" uniqueName="1">
      <xmlPr mapId="43" xpath="/ns1:Root/ns1:Prog/ns1:Target_P6_9" xmlDataType="double"/>
    </xmlCellPr>
  </singleXmlCell>
  <singleXmlCell id="764" r="N136" connectionId="0">
    <xmlCellPr id="1" uniqueName="1">
      <xmlPr mapId="43" xpath="/ns1:Root/ns1:Prog/ns1:Target_P7_9" xmlDataType="double"/>
    </xmlCellPr>
  </singleXmlCell>
  <singleXmlCell id="765" r="O136" connectionId="0">
    <xmlCellPr id="1" uniqueName="1">
      <xmlPr mapId="43" xpath="/ns1:Root/ns1:Prog/ns1:Target_P8_9" xmlDataType="double"/>
    </xmlCellPr>
  </singleXmlCell>
  <singleXmlCell id="766" r="P136" connectionId="0">
    <xmlCellPr id="1" uniqueName="1">
      <xmlPr mapId="43" xpath="/ns1:Root/ns1:Prog/ns1:Target_P9_9" xmlDataType="double"/>
    </xmlCellPr>
  </singleXmlCell>
  <singleXmlCell id="767" r="Q136" connectionId="0">
    <xmlCellPr id="1" uniqueName="1">
      <xmlPr mapId="43" xpath="/ns1:Root/ns1:Prog/ns1:Target_P10_9" xmlDataType="double"/>
    </xmlCellPr>
  </singleXmlCell>
  <singleXmlCell id="768" r="R136" connectionId="0">
    <xmlCellPr id="1" uniqueName="1">
      <xmlPr mapId="43" xpath="/ns1:Root/ns1:Prog/ns1:Target_P11_9" xmlDataType="double"/>
    </xmlCellPr>
  </singleXmlCell>
  <singleXmlCell id="769" r="S136" connectionId="0">
    <xmlCellPr id="1" uniqueName="1">
      <xmlPr mapId="43" xpath="/ns1:Root/ns1:Prog/ns1:Target_P12_9" xmlDataType="double"/>
    </xmlCellPr>
  </singleXmlCell>
  <singleXmlCell id="770" r="H137" connectionId="0">
    <xmlCellPr id="1" uniqueName="1">
      <xmlPr mapId="43" xpath="/ns1:Root/ns1:Prog/ns1:Achieved__P1_9" xmlDataType="string"/>
    </xmlCellPr>
  </singleXmlCell>
  <singleXmlCell id="771" r="I137" connectionId="0">
    <xmlCellPr id="1" uniqueName="1">
      <xmlPr mapId="43" xpath="/ns1:Root/ns1:Prog/ns1:Achieved__P2_9" xmlDataType="double"/>
    </xmlCellPr>
  </singleXmlCell>
  <singleXmlCell id="772" r="J137" connectionId="0">
    <xmlCellPr id="1" uniqueName="1">
      <xmlPr mapId="43" xpath="/ns1:Root/ns1:Prog/ns1:Achieved__P3_9" xmlDataType="string"/>
    </xmlCellPr>
  </singleXmlCell>
  <singleXmlCell id="773" r="K137" connectionId="0">
    <xmlCellPr id="1" uniqueName="1">
      <xmlPr mapId="43" xpath="/ns1:Root/ns1:Prog/ns1:Achieved__P4_9" xmlDataType="double"/>
    </xmlCellPr>
  </singleXmlCell>
  <singleXmlCell id="774" r="L137" connectionId="0">
    <xmlCellPr id="1" uniqueName="1">
      <xmlPr mapId="43" xpath="/ns1:Root/ns1:Prog/ns1:Achieved__P5_9" xmlDataType="string"/>
    </xmlCellPr>
  </singleXmlCell>
  <singleXmlCell id="775" r="M137" connectionId="0">
    <xmlCellPr id="1" uniqueName="1">
      <xmlPr mapId="43" xpath="/ns1:Root/ns1:Prog/ns1:Achieved__P6_9" xmlDataType="string"/>
    </xmlCellPr>
  </singleXmlCell>
  <singleXmlCell id="776" r="N137" connectionId="0">
    <xmlCellPr id="1" uniqueName="1">
      <xmlPr mapId="43" xpath="/ns1:Root/ns1:Prog/ns1:Achieved__P7_9" xmlDataType="string"/>
    </xmlCellPr>
  </singleXmlCell>
  <singleXmlCell id="777" r="O137" connectionId="0">
    <xmlCellPr id="1" uniqueName="1">
      <xmlPr mapId="43" xpath="/ns1:Root/ns1:Prog/ns1:Achieved__P8_9" xmlDataType="string"/>
    </xmlCellPr>
  </singleXmlCell>
  <singleXmlCell id="778" r="P137" connectionId="0">
    <xmlCellPr id="1" uniqueName="1">
      <xmlPr mapId="43" xpath="/ns1:Root/ns1:Prog/ns1:Achieved__P9_9" xmlDataType="string"/>
    </xmlCellPr>
  </singleXmlCell>
  <singleXmlCell id="779" r="Q137" connectionId="0">
    <xmlCellPr id="1" uniqueName="1">
      <xmlPr mapId="43" xpath="/ns1:Root/ns1:Prog/ns1:Achieved__P10_9" xmlDataType="string"/>
    </xmlCellPr>
  </singleXmlCell>
  <singleXmlCell id="780" r="R137" connectionId="0">
    <xmlCellPr id="1" uniqueName="1">
      <xmlPr mapId="43" xpath="/ns1:Root/ns1:Prog/ns1:Achieved__P11_9" xmlDataType="string"/>
    </xmlCellPr>
  </singleXmlCell>
  <singleXmlCell id="781" r="S137" connectionId="0">
    <xmlCellPr id="1" uniqueName="1">
      <xmlPr mapId="43" xpath="/ns1:Root/ns1:Prog/ns1:Achieved__P12_9" xmlDataType="string"/>
    </xmlCellPr>
  </singleXmlCell>
  <singleXmlCell id="782" r="H138" connectionId="0">
    <xmlCellPr id="1" uniqueName="1">
      <xmlPr mapId="43" xpath="/ns1:Root/ns1:Prog/ns1:Target_P1" xmlDataType="string"/>
    </xmlCellPr>
  </singleXmlCell>
  <singleXmlCell id="783" r="I138" connectionId="0">
    <xmlCellPr id="1" uniqueName="1">
      <xmlPr mapId="43" xpath="/ns1:Root/ns1:Prog/ns1:Target_P2" xmlDataType="string"/>
    </xmlCellPr>
  </singleXmlCell>
  <singleXmlCell id="784" r="J138" connectionId="0">
    <xmlCellPr id="1" uniqueName="1">
      <xmlPr mapId="43" xpath="/ns1:Root/ns1:Prog/ns1:Target_P3" xmlDataType="string"/>
    </xmlCellPr>
  </singleXmlCell>
  <singleXmlCell id="785" r="K138" connectionId="0">
    <xmlCellPr id="1" uniqueName="1">
      <xmlPr mapId="43" xpath="/ns1:Root/ns1:Prog/ns1:Target_P4" xmlDataType="double"/>
    </xmlCellPr>
  </singleXmlCell>
  <singleXmlCell id="786" r="L138" connectionId="0">
    <xmlCellPr id="1" uniqueName="1">
      <xmlPr mapId="43" xpath="/ns1:Root/ns1:Prog/ns1:Target_P5" xmlDataType="string"/>
    </xmlCellPr>
  </singleXmlCell>
  <singleXmlCell id="787" r="M138" connectionId="0">
    <xmlCellPr id="1" uniqueName="1">
      <xmlPr mapId="43" xpath="/ns1:Root/ns1:Prog/ns1:Target_P6" xmlDataType="string"/>
    </xmlCellPr>
  </singleXmlCell>
  <singleXmlCell id="788" r="N138" connectionId="0">
    <xmlCellPr id="1" uniqueName="1">
      <xmlPr mapId="43" xpath="/ns1:Root/ns1:Prog/ns1:Target_P7" xmlDataType="string"/>
    </xmlCellPr>
  </singleXmlCell>
  <singleXmlCell id="789" r="O138" connectionId="0">
    <xmlCellPr id="1" uniqueName="1">
      <xmlPr mapId="43" xpath="/ns1:Root/ns1:Prog/ns1:Target_P8" xmlDataType="string"/>
    </xmlCellPr>
  </singleXmlCell>
  <singleXmlCell id="790" r="P138" connectionId="0">
    <xmlCellPr id="1" uniqueName="1">
      <xmlPr mapId="43" xpath="/ns1:Root/ns1:Prog/ns1:Target_P9" xmlDataType="string"/>
    </xmlCellPr>
  </singleXmlCell>
  <singleXmlCell id="791" r="Q138" connectionId="0">
    <xmlCellPr id="1" uniqueName="1">
      <xmlPr mapId="43" xpath="/ns1:Root/ns1:Prog/ns1:Target_P10" xmlDataType="string"/>
    </xmlCellPr>
  </singleXmlCell>
  <singleXmlCell id="792" r="R138" connectionId="0">
    <xmlCellPr id="1" uniqueName="1">
      <xmlPr mapId="43" xpath="/ns1:Root/ns1:Prog/ns1:Target_P11" xmlDataType="string"/>
    </xmlCellPr>
  </singleXmlCell>
  <singleXmlCell id="793" r="S138" connectionId="0">
    <xmlCellPr id="1" uniqueName="1">
      <xmlPr mapId="43" xpath="/ns1:Root/ns1:Prog/ns1:Target_P12" xmlDataType="string"/>
    </xmlCellPr>
  </singleXmlCell>
  <singleXmlCell id="794" r="H139" connectionId="0">
    <xmlCellPr id="1" uniqueName="1">
      <xmlPr mapId="43" xpath="/ns1:Root/ns1:Prog/ns1:Achieved__P1" xmlDataType="string"/>
    </xmlCellPr>
  </singleXmlCell>
  <singleXmlCell id="795" r="I139" connectionId="0">
    <xmlCellPr id="1" uniqueName="1">
      <xmlPr mapId="43" xpath="/ns1:Root/ns1:Prog/ns1:Achieved__P2" xmlDataType="string"/>
    </xmlCellPr>
  </singleXmlCell>
  <singleXmlCell id="796" r="J139" connectionId="0">
    <xmlCellPr id="1" uniqueName="1">
      <xmlPr mapId="43" xpath="/ns1:Root/ns1:Prog/ns1:Achieved__P3" xmlDataType="string"/>
    </xmlCellPr>
  </singleXmlCell>
  <singleXmlCell id="797" r="K139" connectionId="0">
    <xmlCellPr id="1" uniqueName="1">
      <xmlPr mapId="43" xpath="/ns1:Root/ns1:Prog/ns1:Achieved__P4" xmlDataType="string"/>
    </xmlCellPr>
  </singleXmlCell>
  <singleXmlCell id="798" r="L139" connectionId="0">
    <xmlCellPr id="1" uniqueName="1">
      <xmlPr mapId="43" xpath="/ns1:Root/ns1:Prog/ns1:Achieved__P5" xmlDataType="string"/>
    </xmlCellPr>
  </singleXmlCell>
  <singleXmlCell id="799" r="M139" connectionId="0">
    <xmlCellPr id="1" uniqueName="1">
      <xmlPr mapId="43" xpath="/ns1:Root/ns1:Prog/ns1:Achieved__P6" xmlDataType="string"/>
    </xmlCellPr>
  </singleXmlCell>
  <singleXmlCell id="800" r="N139" connectionId="0">
    <xmlCellPr id="1" uniqueName="1">
      <xmlPr mapId="43" xpath="/ns1:Root/ns1:Prog/ns1:Achieved__P7" xmlDataType="string"/>
    </xmlCellPr>
  </singleXmlCell>
  <singleXmlCell id="801" r="O139" connectionId="0">
    <xmlCellPr id="1" uniqueName="1">
      <xmlPr mapId="43" xpath="/ns1:Root/ns1:Prog/ns1:Achieved__P8" xmlDataType="string"/>
    </xmlCellPr>
  </singleXmlCell>
  <singleXmlCell id="802" r="P139" connectionId="0">
    <xmlCellPr id="1" uniqueName="1">
      <xmlPr mapId="43" xpath="/ns1:Root/ns1:Prog/ns1:Achieved__P9" xmlDataType="string"/>
    </xmlCellPr>
  </singleXmlCell>
  <singleXmlCell id="803" r="Q139" connectionId="0">
    <xmlCellPr id="1" uniqueName="1">
      <xmlPr mapId="43" xpath="/ns1:Root/ns1:Prog/ns1:Achieved__P10" xmlDataType="string"/>
    </xmlCellPr>
  </singleXmlCell>
  <singleXmlCell id="804" r="R139" connectionId="0">
    <xmlCellPr id="1" uniqueName="1">
      <xmlPr mapId="43" xpath="/ns1:Root/ns1:Prog/ns1:Achieved__P11" xmlDataType="string"/>
    </xmlCellPr>
  </singleXmlCell>
  <singleXmlCell id="805" r="S139"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4" connectionId="0">
    <xmlCellPr id="1" uniqueName="1">
      <xmlPr mapId="43" xpath="/ns1:Root/ns1:P3" xmlDataType="string"/>
    </xmlCellPr>
  </singleXmlCell>
  <singleXmlCell id="814" r="E124" connectionId="0">
    <xmlCellPr id="1" uniqueName="1">
      <xmlPr mapId="43" xpath="/ns1:Root/ns1:P3_Code" xmlDataType="double"/>
    </xmlCellPr>
  </singleXmlCell>
  <singleXmlCell id="815" r="F124"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2" connectionId="0">
    <xmlCellPr id="1" uniqueName="1">
      <xmlPr mapId="43" xpath="/ns1:Root/ns1:P5" xmlDataType="string"/>
    </xmlCellPr>
  </singleXmlCell>
  <singleXmlCell id="820" r="E132" connectionId="0">
    <xmlCellPr id="1" uniqueName="1">
      <xmlPr mapId="43" xpath="/ns1:Root/ns1:P5_Code" xmlDataType="double"/>
    </xmlCellPr>
  </singleXmlCell>
  <singleXmlCell id="821" r="F132" connectionId="0">
    <xmlCellPr id="1" uniqueName="1">
      <xmlPr mapId="43" xpath="/ns1:Root/ns1:P5_Tied" xmlDataType="string"/>
    </xmlCellPr>
  </singleXmlCell>
  <singleXmlCell id="822" r="B134" connectionId="0">
    <xmlCellPr id="1" uniqueName="1">
      <xmlPr mapId="43" xpath="/ns1:Root/ns1:P6" xmlDataType="string"/>
    </xmlCellPr>
  </singleXmlCell>
  <singleXmlCell id="823" r="E134" connectionId="0">
    <xmlCellPr id="1" uniqueName="1">
      <xmlPr mapId="43" xpath="/ns1:Root/ns1:P6_Code" xmlDataType="double"/>
    </xmlCellPr>
  </singleXmlCell>
  <singleXmlCell id="824" r="F134"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31" r="B136" connectionId="0">
    <xmlCellPr id="1" uniqueName="1">
      <xmlPr mapId="43" xpath="/ns1:Root/ns1:P9" xmlDataType="string"/>
    </xmlCellPr>
  </singleXmlCell>
  <singleXmlCell id="832" r="E136" connectionId="0">
    <xmlCellPr id="1" uniqueName="1">
      <xmlPr mapId="43" xpath="/ns1:Root/ns1:P9_Code" xmlDataType="double"/>
    </xmlCellPr>
  </singleXmlCell>
  <singleXmlCell id="833" r="F136" connectionId="0">
    <xmlCellPr id="1" uniqueName="1">
      <xmlPr mapId="43" xpath="/ns1:Root/ns1:P9_Tied" xmlDataType="double"/>
    </xmlCellPr>
  </singleXmlCell>
  <singleXmlCell id="834" r="B138" connectionId="0">
    <xmlCellPr id="1" uniqueName="1">
      <xmlPr mapId="43" xpath="/ns1:Root/ns1:P10" xmlDataType="string"/>
    </xmlCellPr>
  </singleXmlCell>
  <singleXmlCell id="835" r="E138" connectionId="0">
    <xmlCellPr id="1" uniqueName="1">
      <xmlPr mapId="43" xpath="/ns1:Root/ns1:P10_Code" xmlDataType="double"/>
    </xmlCellPr>
  </singleXmlCell>
  <singleXmlCell id="836" r="F138"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H4" sqref="H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5" t="str">
        <f>+'Detalii despre Grant'!B3:J3</f>
        <v>Dashboard:  Moldova - HIV / AIDS</v>
      </c>
      <c r="C2" s="555"/>
      <c r="D2" s="555"/>
      <c r="E2" s="555"/>
      <c r="F2" s="555"/>
      <c r="G2" s="555"/>
      <c r="H2" s="555"/>
      <c r="I2" s="555"/>
      <c r="J2" s="555"/>
      <c r="K2" s="555"/>
      <c r="L2" s="555"/>
      <c r="M2" s="1"/>
      <c r="N2" s="1"/>
      <c r="O2" s="1"/>
    </row>
    <row r="4" spans="2:15" ht="21">
      <c r="B4" s="556" t="str">
        <f>+IF('Introducerea datelor'!G6="Please Select", "",'Introducerea datelor'!G6) &amp;"  "&amp;+IF('Introducerea datelor'!G8="Please Select", "", 'Introducerea datelor'!G8&amp;",  ")&amp;+IF('Introducerea datelor'!I8="Please Select","",'Introducerea datelor'!I8)</f>
        <v xml:space="preserve">HIV / AIDS  </v>
      </c>
      <c r="C4" s="556"/>
      <c r="D4" s="556"/>
      <c r="E4" s="557"/>
      <c r="F4" s="227"/>
      <c r="G4" s="227"/>
      <c r="H4" s="339" t="str">
        <f>+'Introducerea datelor'!B6&amp;" "&amp;+'Introducerea datelor'!C6</f>
        <v>Nr. Grantului : MDA-H-PCIMU</v>
      </c>
      <c r="I4" s="339"/>
      <c r="J4" s="226"/>
      <c r="K4" s="227"/>
      <c r="L4" s="227"/>
    </row>
    <row r="22" spans="2:12" ht="26.25">
      <c r="B22" s="558" t="s">
        <v>297</v>
      </c>
      <c r="C22" s="559"/>
      <c r="D22" s="559"/>
      <c r="E22" s="559"/>
      <c r="F22" s="559"/>
      <c r="G22" s="559"/>
      <c r="H22" s="559"/>
      <c r="I22" s="559"/>
      <c r="J22" s="559"/>
      <c r="K22" s="559"/>
      <c r="L22" s="559"/>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007" t="str">
        <f>'Detalii despre Grant'!B3:J3</f>
        <v>Dashboard:  Moldova - HIV / AIDS</v>
      </c>
      <c r="C3" s="1007"/>
      <c r="D3" s="1007"/>
      <c r="E3" s="1007"/>
      <c r="F3" s="1007"/>
      <c r="G3" s="1007"/>
      <c r="H3" s="1007"/>
      <c r="I3" s="1"/>
    </row>
    <row r="6" spans="2:15" ht="18.75">
      <c r="B6" s="1008" t="s">
        <v>261</v>
      </c>
      <c r="C6" s="1008"/>
      <c r="D6" s="1008"/>
      <c r="E6" s="1008"/>
      <c r="F6" s="1008"/>
      <c r="G6" s="1008"/>
      <c r="H6" s="1008"/>
    </row>
    <row r="8" spans="2:15" ht="18.75">
      <c r="B8" s="62" t="s">
        <v>17</v>
      </c>
      <c r="C8" s="62" t="s">
        <v>20</v>
      </c>
      <c r="D8" s="62" t="s">
        <v>21</v>
      </c>
      <c r="E8" s="62" t="s">
        <v>26</v>
      </c>
      <c r="F8" s="62" t="s">
        <v>245</v>
      </c>
      <c r="G8" s="62" t="s">
        <v>228</v>
      </c>
      <c r="H8" s="62" t="s">
        <v>247</v>
      </c>
      <c r="I8" s="63" t="s">
        <v>64</v>
      </c>
      <c r="J8" s="63" t="s">
        <v>93</v>
      </c>
      <c r="M8" s="19"/>
      <c r="N8" s="19"/>
      <c r="O8" s="19"/>
    </row>
    <row r="9" spans="2:15">
      <c r="B9" s="86" t="s">
        <v>289</v>
      </c>
      <c r="C9" s="86" t="s">
        <v>289</v>
      </c>
      <c r="D9" s="86" t="s">
        <v>289</v>
      </c>
      <c r="E9" s="86" t="s">
        <v>289</v>
      </c>
      <c r="F9" s="86" t="s">
        <v>289</v>
      </c>
      <c r="G9" s="86" t="s">
        <v>289</v>
      </c>
      <c r="H9" s="86" t="s">
        <v>289</v>
      </c>
      <c r="I9" s="406" t="s">
        <v>289</v>
      </c>
      <c r="J9" s="86" t="s">
        <v>289</v>
      </c>
      <c r="M9" s="19"/>
      <c r="N9" s="19"/>
      <c r="O9" s="19"/>
    </row>
    <row r="10" spans="2:15">
      <c r="B10" s="57" t="s">
        <v>16</v>
      </c>
      <c r="C10" s="57" t="s">
        <v>10</v>
      </c>
      <c r="D10" s="57" t="s">
        <v>8</v>
      </c>
      <c r="E10" s="57" t="s">
        <v>9</v>
      </c>
      <c r="F10" s="57" t="s">
        <v>75</v>
      </c>
      <c r="G10" s="413" t="s">
        <v>28</v>
      </c>
      <c r="H10" s="60" t="s">
        <v>33</v>
      </c>
      <c r="I10" s="27" t="s">
        <v>250</v>
      </c>
      <c r="J10" s="86" t="s">
        <v>94</v>
      </c>
      <c r="M10" s="19"/>
      <c r="N10" s="19"/>
      <c r="O10" s="19"/>
    </row>
    <row r="11" spans="2:15">
      <c r="B11" s="57" t="s">
        <v>18</v>
      </c>
      <c r="C11" s="57" t="s">
        <v>5</v>
      </c>
      <c r="D11" s="57" t="s">
        <v>11</v>
      </c>
      <c r="E11" s="57" t="s">
        <v>7</v>
      </c>
      <c r="F11" s="57" t="s">
        <v>76</v>
      </c>
      <c r="G11" s="413" t="s">
        <v>29</v>
      </c>
      <c r="H11" s="60" t="s">
        <v>34</v>
      </c>
      <c r="I11" s="27" t="s">
        <v>251</v>
      </c>
      <c r="J11" s="86" t="s">
        <v>95</v>
      </c>
      <c r="M11" s="19"/>
      <c r="N11" s="19"/>
      <c r="O11" s="19"/>
    </row>
    <row r="12" spans="2:15">
      <c r="B12" s="57" t="s">
        <v>19</v>
      </c>
      <c r="D12" s="57" t="s">
        <v>13</v>
      </c>
      <c r="E12" s="57" t="s">
        <v>14</v>
      </c>
      <c r="F12" s="57" t="s">
        <v>77</v>
      </c>
      <c r="G12" s="413" t="s">
        <v>30</v>
      </c>
      <c r="H12" s="60" t="s">
        <v>35</v>
      </c>
      <c r="I12" s="27" t="s">
        <v>252</v>
      </c>
      <c r="J12" s="86" t="s">
        <v>96</v>
      </c>
      <c r="M12" s="193"/>
      <c r="N12" s="19"/>
      <c r="O12" s="19"/>
    </row>
    <row r="13" spans="2:15">
      <c r="B13" s="57" t="s">
        <v>60</v>
      </c>
      <c r="D13" s="57" t="s">
        <v>15</v>
      </c>
      <c r="E13" s="58"/>
      <c r="F13" s="57" t="s">
        <v>78</v>
      </c>
      <c r="G13" s="413" t="s">
        <v>31</v>
      </c>
      <c r="H13" s="60" t="s">
        <v>36</v>
      </c>
      <c r="I13" s="27" t="s">
        <v>253</v>
      </c>
      <c r="J13" s="86" t="s">
        <v>97</v>
      </c>
      <c r="M13" s="193"/>
      <c r="N13" s="19"/>
      <c r="O13" s="19"/>
    </row>
    <row r="14" spans="2:15">
      <c r="B14" s="57" t="s">
        <v>61</v>
      </c>
      <c r="D14" s="57" t="s">
        <v>22</v>
      </c>
      <c r="F14" s="57" t="s">
        <v>85</v>
      </c>
      <c r="G14" s="413" t="s">
        <v>32</v>
      </c>
      <c r="H14" s="60" t="s">
        <v>37</v>
      </c>
      <c r="I14" s="27" t="s">
        <v>230</v>
      </c>
      <c r="J14" s="86" t="s">
        <v>98</v>
      </c>
      <c r="M14" s="193"/>
      <c r="N14" s="19"/>
      <c r="O14" s="19"/>
    </row>
    <row r="15" spans="2:15">
      <c r="D15" s="57" t="s">
        <v>23</v>
      </c>
      <c r="F15" s="57" t="s">
        <v>86</v>
      </c>
      <c r="H15" s="60" t="s">
        <v>38</v>
      </c>
      <c r="I15" s="27" t="s">
        <v>49</v>
      </c>
      <c r="J15" s="86" t="s">
        <v>99</v>
      </c>
      <c r="M15" s="193"/>
      <c r="N15" s="19"/>
      <c r="O15" s="19"/>
    </row>
    <row r="16" spans="2:15">
      <c r="D16" s="57" t="s">
        <v>24</v>
      </c>
      <c r="F16" s="57" t="s">
        <v>87</v>
      </c>
      <c r="H16" s="60" t="s">
        <v>39</v>
      </c>
      <c r="I16" s="27" t="s">
        <v>50</v>
      </c>
      <c r="J16" s="86" t="s">
        <v>100</v>
      </c>
      <c r="M16" s="193"/>
      <c r="N16" s="19"/>
      <c r="O16" s="19"/>
    </row>
    <row r="17" spans="4:15">
      <c r="D17" s="57" t="s">
        <v>25</v>
      </c>
      <c r="F17" s="57" t="s">
        <v>88</v>
      </c>
      <c r="H17" s="60" t="s">
        <v>40</v>
      </c>
      <c r="I17" s="27" t="s">
        <v>51</v>
      </c>
      <c r="J17" s="86" t="s">
        <v>101</v>
      </c>
      <c r="M17" s="193"/>
      <c r="N17" s="19"/>
      <c r="O17" s="19"/>
    </row>
    <row r="18" spans="4:15">
      <c r="D18" s="57" t="s">
        <v>6</v>
      </c>
      <c r="F18" s="57" t="s">
        <v>89</v>
      </c>
      <c r="H18" s="60" t="s">
        <v>41</v>
      </c>
      <c r="I18" s="27" t="s">
        <v>52</v>
      </c>
      <c r="J18" s="86" t="s">
        <v>102</v>
      </c>
      <c r="M18" s="193"/>
      <c r="N18" s="19"/>
      <c r="O18" s="19"/>
    </row>
    <row r="19" spans="4:15">
      <c r="D19" s="412" t="s">
        <v>287</v>
      </c>
      <c r="F19" s="57" t="s">
        <v>90</v>
      </c>
      <c r="H19" s="60" t="s">
        <v>42</v>
      </c>
      <c r="I19" s="27" t="s">
        <v>53</v>
      </c>
      <c r="J19" s="86" t="s">
        <v>103</v>
      </c>
      <c r="M19" s="193"/>
      <c r="N19" s="19"/>
      <c r="O19" s="19"/>
    </row>
    <row r="20" spans="4:15">
      <c r="D20" s="59"/>
      <c r="F20" s="57" t="s">
        <v>91</v>
      </c>
      <c r="H20" s="60" t="s">
        <v>226</v>
      </c>
      <c r="I20" s="27" t="s">
        <v>54</v>
      </c>
      <c r="J20" s="86" t="s">
        <v>104</v>
      </c>
      <c r="M20" s="19"/>
      <c r="N20" s="19"/>
      <c r="O20" s="19"/>
    </row>
    <row r="21" spans="4:15">
      <c r="D21" s="61"/>
      <c r="F21" s="57" t="s">
        <v>246</v>
      </c>
      <c r="H21" s="61"/>
      <c r="I21" s="27" t="s">
        <v>56</v>
      </c>
      <c r="J21" s="86" t="s">
        <v>105</v>
      </c>
      <c r="M21" s="19"/>
      <c r="N21" s="19"/>
      <c r="O21" s="19"/>
    </row>
    <row r="22" spans="4:15">
      <c r="H22" s="61"/>
      <c r="I22" s="27" t="s">
        <v>57</v>
      </c>
      <c r="J22" s="86" t="s">
        <v>106</v>
      </c>
      <c r="M22" s="19"/>
      <c r="N22" s="19"/>
      <c r="O22" s="19"/>
    </row>
    <row r="23" spans="4:15">
      <c r="I23" s="27" t="s">
        <v>55</v>
      </c>
      <c r="J23" s="86" t="s">
        <v>107</v>
      </c>
      <c r="M23" s="19"/>
      <c r="N23" s="19"/>
      <c r="O23" s="19"/>
    </row>
    <row r="24" spans="4:15">
      <c r="I24" s="27" t="s">
        <v>256</v>
      </c>
      <c r="J24" s="86" t="s">
        <v>108</v>
      </c>
      <c r="M24" s="19"/>
      <c r="N24" s="19"/>
      <c r="O24" s="19"/>
    </row>
    <row r="25" spans="4:15">
      <c r="I25" s="45"/>
      <c r="J25" s="86" t="s">
        <v>109</v>
      </c>
    </row>
    <row r="26" spans="4:15">
      <c r="I26" s="27" t="s">
        <v>257</v>
      </c>
      <c r="J26" s="86" t="s">
        <v>110</v>
      </c>
    </row>
    <row r="27" spans="4:15">
      <c r="I27" s="27" t="s">
        <v>255</v>
      </c>
      <c r="J27" s="86" t="s">
        <v>111</v>
      </c>
    </row>
    <row r="28" spans="4:15">
      <c r="I28" s="45"/>
      <c r="J28" s="86" t="s">
        <v>112</v>
      </c>
    </row>
    <row r="29" spans="4:15">
      <c r="I29" s="45"/>
      <c r="J29" s="86" t="s">
        <v>113</v>
      </c>
    </row>
    <row r="30" spans="4:15">
      <c r="I30" s="45"/>
      <c r="J30" s="86" t="s">
        <v>114</v>
      </c>
    </row>
    <row r="31" spans="4:15">
      <c r="J31" s="86" t="s">
        <v>115</v>
      </c>
    </row>
    <row r="32" spans="4:15">
      <c r="J32" s="86" t="s">
        <v>116</v>
      </c>
    </row>
    <row r="33" spans="10:10">
      <c r="J33" s="86" t="s">
        <v>117</v>
      </c>
    </row>
    <row r="34" spans="10:10">
      <c r="J34" s="86" t="s">
        <v>118</v>
      </c>
    </row>
    <row r="35" spans="10:10">
      <c r="J35" s="86" t="s">
        <v>119</v>
      </c>
    </row>
    <row r="36" spans="10:10">
      <c r="J36" s="86" t="s">
        <v>119</v>
      </c>
    </row>
    <row r="37" spans="10:10">
      <c r="J37" s="86" t="s">
        <v>120</v>
      </c>
    </row>
    <row r="38" spans="10:10">
      <c r="J38" s="86" t="s">
        <v>121</v>
      </c>
    </row>
    <row r="39" spans="10:10">
      <c r="J39" s="86" t="s">
        <v>122</v>
      </c>
    </row>
    <row r="40" spans="10:10">
      <c r="J40" s="86" t="s">
        <v>123</v>
      </c>
    </row>
    <row r="41" spans="10:10">
      <c r="J41" s="86" t="s">
        <v>124</v>
      </c>
    </row>
    <row r="42" spans="10:10">
      <c r="J42" s="86" t="s">
        <v>125</v>
      </c>
    </row>
    <row r="43" spans="10:10">
      <c r="J43" s="86" t="s">
        <v>126</v>
      </c>
    </row>
    <row r="44" spans="10:10">
      <c r="J44" s="86" t="s">
        <v>127</v>
      </c>
    </row>
    <row r="45" spans="10:10">
      <c r="J45" s="86" t="s">
        <v>128</v>
      </c>
    </row>
    <row r="46" spans="10:10">
      <c r="J46" s="86" t="s">
        <v>129</v>
      </c>
    </row>
    <row r="47" spans="10:10">
      <c r="J47" s="86" t="s">
        <v>130</v>
      </c>
    </row>
    <row r="48" spans="10:10">
      <c r="J48" s="86" t="s">
        <v>131</v>
      </c>
    </row>
    <row r="49" spans="10:10">
      <c r="J49" s="86" t="s">
        <v>132</v>
      </c>
    </row>
    <row r="50" spans="10:10">
      <c r="J50" s="86" t="s">
        <v>133</v>
      </c>
    </row>
    <row r="51" spans="10:10">
      <c r="J51" s="86" t="s">
        <v>134</v>
      </c>
    </row>
    <row r="52" spans="10:10">
      <c r="J52" s="86" t="s">
        <v>135</v>
      </c>
    </row>
    <row r="53" spans="10:10">
      <c r="J53" s="86" t="s">
        <v>136</v>
      </c>
    </row>
    <row r="54" spans="10:10">
      <c r="J54" s="86" t="s">
        <v>137</v>
      </c>
    </row>
    <row r="55" spans="10:10">
      <c r="J55" s="86" t="s">
        <v>138</v>
      </c>
    </row>
    <row r="56" spans="10:10">
      <c r="J56" s="86" t="s">
        <v>139</v>
      </c>
    </row>
    <row r="57" spans="10:10">
      <c r="J57" s="86" t="s">
        <v>140</v>
      </c>
    </row>
    <row r="58" spans="10:10">
      <c r="J58" s="86" t="s">
        <v>141</v>
      </c>
    </row>
    <row r="59" spans="10:10">
      <c r="J59" s="86" t="s">
        <v>142</v>
      </c>
    </row>
    <row r="60" spans="10:10">
      <c r="J60" s="86" t="s">
        <v>143</v>
      </c>
    </row>
    <row r="61" spans="10:10">
      <c r="J61" s="86" t="s">
        <v>144</v>
      </c>
    </row>
    <row r="62" spans="10:10">
      <c r="J62" s="86" t="s">
        <v>145</v>
      </c>
    </row>
    <row r="63" spans="10:10">
      <c r="J63" s="86" t="s">
        <v>146</v>
      </c>
    </row>
    <row r="64" spans="10:10">
      <c r="J64" s="86" t="s">
        <v>147</v>
      </c>
    </row>
    <row r="65" spans="10:10">
      <c r="J65" s="86" t="s">
        <v>148</v>
      </c>
    </row>
    <row r="66" spans="10:10">
      <c r="J66" s="86" t="s">
        <v>149</v>
      </c>
    </row>
    <row r="67" spans="10:10">
      <c r="J67" s="86" t="s">
        <v>150</v>
      </c>
    </row>
    <row r="68" spans="10:10">
      <c r="J68" s="86" t="s">
        <v>151</v>
      </c>
    </row>
    <row r="69" spans="10:10">
      <c r="J69" s="86" t="s">
        <v>152</v>
      </c>
    </row>
    <row r="70" spans="10:10">
      <c r="J70" s="86" t="s">
        <v>153</v>
      </c>
    </row>
    <row r="71" spans="10:10">
      <c r="J71" s="86" t="s">
        <v>154</v>
      </c>
    </row>
    <row r="72" spans="10:10">
      <c r="J72" s="86" t="s">
        <v>155</v>
      </c>
    </row>
    <row r="73" spans="10:10">
      <c r="J73" s="86" t="s">
        <v>156</v>
      </c>
    </row>
    <row r="74" spans="10:10">
      <c r="J74" s="86" t="s">
        <v>157</v>
      </c>
    </row>
    <row r="75" spans="10:10">
      <c r="J75" s="86" t="s">
        <v>158</v>
      </c>
    </row>
    <row r="76" spans="10:10">
      <c r="J76" s="86" t="s">
        <v>159</v>
      </c>
    </row>
    <row r="77" spans="10:10">
      <c r="J77" s="86" t="s">
        <v>160</v>
      </c>
    </row>
    <row r="78" spans="10:10">
      <c r="J78" s="86" t="s">
        <v>161</v>
      </c>
    </row>
    <row r="79" spans="10:10">
      <c r="J79" s="86" t="s">
        <v>162</v>
      </c>
    </row>
    <row r="80" spans="10:10">
      <c r="J80" s="86" t="s">
        <v>163</v>
      </c>
    </row>
    <row r="81" spans="10:10">
      <c r="J81" s="86" t="s">
        <v>164</v>
      </c>
    </row>
    <row r="82" spans="10:10">
      <c r="J82" s="86" t="s">
        <v>165</v>
      </c>
    </row>
    <row r="83" spans="10:10">
      <c r="J83" s="86" t="s">
        <v>166</v>
      </c>
    </row>
    <row r="84" spans="10:10">
      <c r="J84" s="86" t="s">
        <v>167</v>
      </c>
    </row>
    <row r="85" spans="10:10">
      <c r="J85" s="86" t="s">
        <v>168</v>
      </c>
    </row>
    <row r="86" spans="10:10">
      <c r="J86" s="86" t="s">
        <v>169</v>
      </c>
    </row>
    <row r="87" spans="10:10">
      <c r="J87" s="86" t="s">
        <v>170</v>
      </c>
    </row>
    <row r="88" spans="10:10">
      <c r="J88" s="86" t="s">
        <v>171</v>
      </c>
    </row>
    <row r="89" spans="10:10">
      <c r="J89" s="86" t="s">
        <v>172</v>
      </c>
    </row>
    <row r="90" spans="10:10">
      <c r="J90" s="86" t="s">
        <v>173</v>
      </c>
    </row>
    <row r="91" spans="10:10">
      <c r="J91" s="86" t="s">
        <v>174</v>
      </c>
    </row>
    <row r="92" spans="10:10">
      <c r="J92" s="86" t="s">
        <v>175</v>
      </c>
    </row>
    <row r="93" spans="10:10">
      <c r="J93" s="86" t="s">
        <v>176</v>
      </c>
    </row>
    <row r="94" spans="10:10">
      <c r="J94" s="86" t="s">
        <v>177</v>
      </c>
    </row>
    <row r="95" spans="10:10">
      <c r="J95" s="86" t="s">
        <v>178</v>
      </c>
    </row>
    <row r="96" spans="10:10">
      <c r="J96" s="86" t="s">
        <v>179</v>
      </c>
    </row>
    <row r="97" spans="10:10">
      <c r="J97" s="86" t="s">
        <v>180</v>
      </c>
    </row>
    <row r="98" spans="10:10">
      <c r="J98" s="86" t="s">
        <v>181</v>
      </c>
    </row>
    <row r="99" spans="10:10">
      <c r="J99" s="86" t="s">
        <v>182</v>
      </c>
    </row>
    <row r="100" spans="10:10">
      <c r="J100" s="86" t="s">
        <v>183</v>
      </c>
    </row>
    <row r="101" spans="10:10">
      <c r="J101" s="86" t="s">
        <v>184</v>
      </c>
    </row>
    <row r="102" spans="10:10">
      <c r="J102" s="86" t="s">
        <v>185</v>
      </c>
    </row>
    <row r="103" spans="10:10">
      <c r="J103" s="86" t="s">
        <v>186</v>
      </c>
    </row>
    <row r="104" spans="10:10">
      <c r="J104" s="86" t="s">
        <v>187</v>
      </c>
    </row>
    <row r="105" spans="10:10">
      <c r="J105" s="86" t="s">
        <v>188</v>
      </c>
    </row>
    <row r="106" spans="10:10">
      <c r="J106" s="86" t="s">
        <v>189</v>
      </c>
    </row>
    <row r="107" spans="10:10">
      <c r="J107" s="86" t="s">
        <v>190</v>
      </c>
    </row>
    <row r="108" spans="10:10">
      <c r="J108" s="86" t="s">
        <v>191</v>
      </c>
    </row>
    <row r="109" spans="10:10">
      <c r="J109" s="86" t="s">
        <v>192</v>
      </c>
    </row>
    <row r="110" spans="10:10">
      <c r="J110" s="86" t="s">
        <v>193</v>
      </c>
    </row>
    <row r="111" spans="10:10">
      <c r="J111" s="86" t="s">
        <v>59</v>
      </c>
    </row>
    <row r="112" spans="10:10">
      <c r="J112" s="86" t="s">
        <v>194</v>
      </c>
    </row>
    <row r="113" spans="10:10">
      <c r="J113" s="86" t="s">
        <v>195</v>
      </c>
    </row>
    <row r="114" spans="10:10">
      <c r="J114" s="86" t="s">
        <v>196</v>
      </c>
    </row>
    <row r="115" spans="10:10">
      <c r="J115" s="86" t="s">
        <v>197</v>
      </c>
    </row>
    <row r="116" spans="10:10">
      <c r="J116" s="86" t="s">
        <v>198</v>
      </c>
    </row>
    <row r="117" spans="10:10">
      <c r="J117" s="86" t="s">
        <v>199</v>
      </c>
    </row>
    <row r="118" spans="10:10">
      <c r="J118" s="86" t="s">
        <v>200</v>
      </c>
    </row>
    <row r="119" spans="10:10">
      <c r="J119" s="86" t="s">
        <v>201</v>
      </c>
    </row>
    <row r="120" spans="10:10">
      <c r="J120" s="86" t="s">
        <v>202</v>
      </c>
    </row>
    <row r="121" spans="10:10">
      <c r="J121" s="86" t="s">
        <v>203</v>
      </c>
    </row>
    <row r="122" spans="10:10">
      <c r="J122" s="86" t="s">
        <v>204</v>
      </c>
    </row>
    <row r="123" spans="10:10">
      <c r="J123" s="86" t="s">
        <v>205</v>
      </c>
    </row>
    <row r="124" spans="10:10">
      <c r="J124" s="86" t="s">
        <v>206</v>
      </c>
    </row>
    <row r="125" spans="10:10">
      <c r="J125" s="86" t="s">
        <v>207</v>
      </c>
    </row>
    <row r="126" spans="10:10">
      <c r="J126" s="86" t="s">
        <v>208</v>
      </c>
    </row>
    <row r="127" spans="10:10">
      <c r="J127" s="86" t="s">
        <v>209</v>
      </c>
    </row>
    <row r="128" spans="10:10">
      <c r="J128" s="86" t="s">
        <v>210</v>
      </c>
    </row>
    <row r="129" spans="10:10">
      <c r="J129" s="86" t="s">
        <v>211</v>
      </c>
    </row>
    <row r="130" spans="10:10">
      <c r="J130" s="86" t="s">
        <v>212</v>
      </c>
    </row>
    <row r="131" spans="10:10">
      <c r="J131" s="86" t="s">
        <v>213</v>
      </c>
    </row>
    <row r="132" spans="10:10">
      <c r="J132" s="86" t="s">
        <v>214</v>
      </c>
    </row>
    <row r="133" spans="10:10">
      <c r="J133" s="86" t="s">
        <v>215</v>
      </c>
    </row>
    <row r="134" spans="10:10">
      <c r="J134" s="86" t="s">
        <v>216</v>
      </c>
    </row>
    <row r="135" spans="10:10">
      <c r="J135" s="86" t="s">
        <v>217</v>
      </c>
    </row>
    <row r="136" spans="10:10">
      <c r="J136" s="86" t="s">
        <v>218</v>
      </c>
    </row>
    <row r="137" spans="10:10">
      <c r="J137" s="86" t="s">
        <v>219</v>
      </c>
    </row>
    <row r="138" spans="10:10">
      <c r="J138" s="86" t="s">
        <v>220</v>
      </c>
    </row>
    <row r="139" spans="10:10">
      <c r="J139" s="86" t="s">
        <v>221</v>
      </c>
    </row>
    <row r="140" spans="10:10">
      <c r="J140" s="86" t="s">
        <v>222</v>
      </c>
    </row>
    <row r="141" spans="10:10">
      <c r="J141" s="86" t="s">
        <v>223</v>
      </c>
    </row>
    <row r="142" spans="10:10">
      <c r="J142" s="86" t="s">
        <v>224</v>
      </c>
    </row>
    <row r="143" spans="10:10">
      <c r="J143" s="86" t="s">
        <v>225</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4"/>
  <sheetViews>
    <sheetView showGridLines="0" zoomScale="85" zoomScaleNormal="85" zoomScaleSheetLayoutView="40" workbookViewId="0">
      <pane ySplit="2" topLeftCell="A36" activePane="bottomLeft" state="frozen"/>
      <selection activeCell="E22" sqref="E22"/>
      <selection pane="bottomLeft" activeCell="B33" sqref="B33:D3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66" t="str">
        <f>+"Dashboard: "&amp;" "&amp;+IF('Introducerea datelor'!C4="Please Select","",'Introducerea datelor'!C4&amp;" - ")&amp;+IF('Introducerea datelor'!G6="Please Select","",'Introducerea datelor'!G6)</f>
        <v>Dashboard:  Moldova - HIV / AIDS</v>
      </c>
      <c r="C2" s="666"/>
      <c r="D2" s="666"/>
      <c r="E2" s="666"/>
      <c r="F2" s="666"/>
      <c r="G2" s="666"/>
      <c r="H2" s="666"/>
      <c r="I2" s="666"/>
      <c r="J2" s="666"/>
      <c r="K2" s="666"/>
      <c r="L2" s="666"/>
      <c r="M2" s="666"/>
    </row>
    <row r="3" spans="1:15" ht="15.75" customHeight="1">
      <c r="A3" s="3"/>
      <c r="B3" s="218"/>
      <c r="C3" s="218"/>
      <c r="D3" s="218"/>
      <c r="E3" s="218"/>
      <c r="F3" s="218"/>
      <c r="G3" s="218"/>
      <c r="H3" s="218"/>
      <c r="I3" s="218"/>
      <c r="J3" s="218"/>
      <c r="K3" s="219"/>
      <c r="L3" s="219"/>
      <c r="M3" s="3"/>
    </row>
    <row r="5" spans="1:15" ht="23.25">
      <c r="B5" s="645" t="s">
        <v>242</v>
      </c>
      <c r="C5" s="645"/>
      <c r="D5" s="645"/>
      <c r="E5" s="645"/>
      <c r="F5" s="645"/>
      <c r="G5" s="645"/>
      <c r="H5" s="645"/>
      <c r="I5" s="645"/>
      <c r="J5" s="645"/>
      <c r="K5" s="645"/>
      <c r="L5" s="645"/>
      <c r="M5" s="645"/>
      <c r="N5" s="645"/>
      <c r="O5" s="645"/>
    </row>
    <row r="7" spans="1:15" ht="21">
      <c r="B7" s="667" t="s">
        <v>231</v>
      </c>
      <c r="C7" s="668"/>
      <c r="D7" s="669"/>
      <c r="E7" s="667" t="s">
        <v>232</v>
      </c>
      <c r="F7" s="668"/>
      <c r="G7" s="668"/>
      <c r="H7" s="668"/>
      <c r="I7" s="669"/>
      <c r="J7" s="667" t="s">
        <v>233</v>
      </c>
      <c r="K7" s="668"/>
      <c r="L7" s="669"/>
      <c r="M7" s="667" t="s">
        <v>271</v>
      </c>
      <c r="N7" s="668"/>
      <c r="O7" s="669"/>
    </row>
    <row r="8" spans="1:15" ht="92.25" customHeight="1">
      <c r="B8" s="587" t="str">
        <f>+'Introducerea datelor'!B27</f>
        <v>F1: Bugetul și debursările de către Fondul Global</v>
      </c>
      <c r="C8" s="678"/>
      <c r="D8" s="679"/>
      <c r="E8" s="670" t="s">
        <v>293</v>
      </c>
      <c r="F8" s="671"/>
      <c r="G8" s="671"/>
      <c r="H8" s="671"/>
      <c r="I8" s="672"/>
      <c r="J8" s="607" t="s">
        <v>272</v>
      </c>
      <c r="K8" s="608"/>
      <c r="L8" s="609"/>
      <c r="M8" s="607" t="s">
        <v>294</v>
      </c>
      <c r="N8" s="608"/>
      <c r="O8" s="609"/>
    </row>
    <row r="9" spans="1:15" ht="117.75" customHeight="1">
      <c r="B9" s="587" t="str">
        <f>+'Introducerea datelor'!B36</f>
        <v>F2: Bugetul și cheltuielile actuale după Obiectivele Grantului</v>
      </c>
      <c r="C9" s="678"/>
      <c r="D9" s="679"/>
      <c r="E9" s="622" t="s">
        <v>280</v>
      </c>
      <c r="F9" s="623"/>
      <c r="G9" s="623"/>
      <c r="H9" s="623"/>
      <c r="I9" s="624"/>
      <c r="J9" s="607" t="s">
        <v>274</v>
      </c>
      <c r="K9" s="608"/>
      <c r="L9" s="609"/>
      <c r="M9" s="607" t="s">
        <v>294</v>
      </c>
      <c r="N9" s="608"/>
      <c r="O9" s="609"/>
    </row>
    <row r="10" spans="1:15" ht="174.75" customHeight="1">
      <c r="B10" s="673" t="str">
        <f>+'Introducerea datelor'!B49</f>
        <v>F3: Debursări și cheltuieli</v>
      </c>
      <c r="C10" s="676"/>
      <c r="D10" s="677"/>
      <c r="E10" s="622" t="s">
        <v>295</v>
      </c>
      <c r="F10" s="623"/>
      <c r="G10" s="623"/>
      <c r="H10" s="623"/>
      <c r="I10" s="624"/>
      <c r="J10" s="607" t="s">
        <v>281</v>
      </c>
      <c r="K10" s="608"/>
      <c r="L10" s="609"/>
      <c r="M10" s="607" t="s">
        <v>273</v>
      </c>
      <c r="N10" s="608"/>
      <c r="O10" s="609"/>
    </row>
    <row r="11" spans="1:15" ht="227.25" customHeight="1">
      <c r="B11" s="673" t="str">
        <f>+'Introducerea datelor'!B58</f>
        <v xml:space="preserve">F4: Ultima perioadă de raportare și debursare a RP </v>
      </c>
      <c r="C11" s="674"/>
      <c r="D11" s="675"/>
      <c r="E11" s="622" t="s">
        <v>298</v>
      </c>
      <c r="F11" s="623"/>
      <c r="G11" s="623"/>
      <c r="H11" s="623"/>
      <c r="I11" s="624"/>
      <c r="J11" s="607" t="s">
        <v>282</v>
      </c>
      <c r="K11" s="608"/>
      <c r="L11" s="609"/>
      <c r="M11" s="607" t="s">
        <v>236</v>
      </c>
      <c r="N11" s="608"/>
      <c r="O11" s="609"/>
    </row>
    <row r="12" spans="1:15" s="19" customFormat="1">
      <c r="B12" s="680"/>
      <c r="C12" s="680"/>
      <c r="D12" s="680"/>
      <c r="E12" s="681"/>
      <c r="F12" s="681"/>
      <c r="G12" s="681"/>
      <c r="H12" s="681"/>
      <c r="I12" s="681"/>
      <c r="J12" s="681"/>
      <c r="K12" s="681"/>
      <c r="L12" s="681"/>
      <c r="M12" s="681"/>
      <c r="N12" s="681"/>
      <c r="O12" s="681"/>
    </row>
    <row r="13" spans="1:15" s="19" customFormat="1">
      <c r="B13" s="632"/>
      <c r="C13" s="632"/>
      <c r="D13" s="632"/>
      <c r="E13" s="633"/>
      <c r="F13" s="633"/>
      <c r="G13" s="633"/>
      <c r="H13" s="633"/>
      <c r="I13" s="633"/>
      <c r="J13" s="633"/>
      <c r="K13" s="633"/>
      <c r="L13" s="633"/>
      <c r="M13" s="633"/>
      <c r="N13" s="633"/>
      <c r="O13" s="633"/>
    </row>
    <row r="14" spans="1:15" s="19" customFormat="1">
      <c r="B14" s="632"/>
      <c r="C14" s="632"/>
      <c r="D14" s="632"/>
      <c r="E14" s="633"/>
      <c r="F14" s="633"/>
      <c r="G14" s="633"/>
      <c r="H14" s="633"/>
      <c r="I14" s="633"/>
      <c r="J14" s="633"/>
      <c r="K14" s="633"/>
      <c r="L14" s="633"/>
      <c r="M14" s="633"/>
      <c r="N14" s="633"/>
      <c r="O14" s="633"/>
    </row>
    <row r="15" spans="1:15" s="19" customFormat="1">
      <c r="B15" s="632"/>
      <c r="C15" s="632"/>
      <c r="D15" s="632"/>
      <c r="E15" s="633"/>
      <c r="F15" s="633"/>
      <c r="G15" s="633"/>
      <c r="H15" s="633"/>
      <c r="I15" s="633"/>
      <c r="J15" s="633"/>
      <c r="K15" s="633"/>
      <c r="L15" s="633"/>
      <c r="M15" s="633"/>
      <c r="N15" s="633"/>
      <c r="O15" s="633"/>
    </row>
    <row r="16" spans="1:15" ht="23.25">
      <c r="B16" s="645" t="s">
        <v>243</v>
      </c>
      <c r="C16" s="645"/>
      <c r="D16" s="645"/>
      <c r="E16" s="645"/>
      <c r="F16" s="645"/>
      <c r="G16" s="645"/>
      <c r="H16" s="645"/>
      <c r="I16" s="645"/>
      <c r="J16" s="645"/>
      <c r="K16" s="645"/>
      <c r="L16" s="645"/>
      <c r="M16" s="645"/>
      <c r="N16" s="645"/>
      <c r="O16" s="645"/>
    </row>
    <row r="18" spans="1:15" ht="21">
      <c r="B18" s="682" t="s">
        <v>231</v>
      </c>
      <c r="C18" s="683"/>
      <c r="D18" s="684"/>
      <c r="E18" s="682" t="s">
        <v>232</v>
      </c>
      <c r="F18" s="683"/>
      <c r="G18" s="683"/>
      <c r="H18" s="683"/>
      <c r="I18" s="684"/>
      <c r="J18" s="682" t="s">
        <v>233</v>
      </c>
      <c r="K18" s="683"/>
      <c r="L18" s="684"/>
      <c r="M18" s="682" t="s">
        <v>234</v>
      </c>
      <c r="N18" s="683"/>
      <c r="O18" s="684"/>
    </row>
    <row r="19" spans="1:15" ht="114" customHeight="1">
      <c r="B19" s="587" t="str">
        <f>+'Introducerea datelor'!B69</f>
        <v xml:space="preserve">M1: Statutul Condițiilor Precedente și a Acțiunilor Prestabilite în Timp </v>
      </c>
      <c r="C19" s="588"/>
      <c r="D19" s="589"/>
      <c r="E19" s="622" t="s">
        <v>241</v>
      </c>
      <c r="F19" s="623"/>
      <c r="G19" s="623"/>
      <c r="H19" s="623"/>
      <c r="I19" s="624"/>
      <c r="J19" s="607" t="s">
        <v>275</v>
      </c>
      <c r="K19" s="608"/>
      <c r="L19" s="609"/>
      <c r="M19" s="607" t="s">
        <v>276</v>
      </c>
      <c r="N19" s="608"/>
      <c r="O19" s="609"/>
    </row>
    <row r="20" spans="1:15" ht="102.75" customHeight="1">
      <c r="B20" s="587" t="str">
        <f>+'Introducerea datelor'!B76</f>
        <v xml:space="preserve">M2: Statutul pozițiilor cheie ale RP </v>
      </c>
      <c r="C20" s="588"/>
      <c r="D20" s="589"/>
      <c r="E20" s="622" t="s">
        <v>296</v>
      </c>
      <c r="F20" s="623"/>
      <c r="G20" s="623"/>
      <c r="H20" s="623"/>
      <c r="I20" s="624"/>
      <c r="J20" s="607" t="s">
        <v>238</v>
      </c>
      <c r="K20" s="608"/>
      <c r="L20" s="609"/>
      <c r="M20" s="607" t="s">
        <v>237</v>
      </c>
      <c r="N20" s="608"/>
      <c r="O20" s="609"/>
    </row>
    <row r="21" spans="1:15" ht="111.75" customHeight="1">
      <c r="B21" s="587" t="str">
        <f>+'Introducerea datelor'!B81</f>
        <v xml:space="preserve">M3: Aranjamente contractuale (SR) </v>
      </c>
      <c r="C21" s="588"/>
      <c r="D21" s="589"/>
      <c r="E21" s="625" t="s">
        <v>0</v>
      </c>
      <c r="F21" s="623"/>
      <c r="G21" s="623"/>
      <c r="H21" s="623"/>
      <c r="I21" s="624"/>
      <c r="J21" s="607" t="s">
        <v>277</v>
      </c>
      <c r="K21" s="608"/>
      <c r="L21" s="609"/>
      <c r="M21" s="607" t="s">
        <v>278</v>
      </c>
      <c r="N21" s="608"/>
      <c r="O21" s="609"/>
    </row>
    <row r="22" spans="1:15" ht="74.25" customHeight="1">
      <c r="B22" s="587" t="str">
        <f>+'Introducerea datelor'!B86</f>
        <v>M4: Numărul rapoartelor complete recepționate la timp</v>
      </c>
      <c r="C22" s="588"/>
      <c r="D22" s="589"/>
      <c r="E22" s="625" t="s">
        <v>299</v>
      </c>
      <c r="F22" s="634"/>
      <c r="G22" s="634"/>
      <c r="H22" s="634"/>
      <c r="I22" s="635"/>
      <c r="J22" s="607" t="s">
        <v>283</v>
      </c>
      <c r="K22" s="608"/>
      <c r="L22" s="609"/>
      <c r="M22" s="607" t="s">
        <v>239</v>
      </c>
      <c r="N22" s="608"/>
      <c r="O22" s="609"/>
    </row>
    <row r="23" spans="1:15" ht="119.25" customHeight="1">
      <c r="B23" s="626" t="str">
        <f>+'Introducerea datelor'!B92</f>
        <v xml:space="preserve">M5: Bugetul și Procurarea produselor medicale, echipamentului medical, medicamentelor și produselor farmaceutice </v>
      </c>
      <c r="C23" s="627"/>
      <c r="D23" s="628"/>
      <c r="E23" s="636" t="s">
        <v>284</v>
      </c>
      <c r="F23" s="637"/>
      <c r="G23" s="637"/>
      <c r="H23" s="637"/>
      <c r="I23" s="638"/>
      <c r="J23" s="616" t="s">
        <v>235</v>
      </c>
      <c r="K23" s="617"/>
      <c r="L23" s="618"/>
      <c r="M23" s="616" t="s">
        <v>240</v>
      </c>
      <c r="N23" s="617"/>
      <c r="O23" s="618"/>
    </row>
    <row r="24" spans="1:15" ht="66.75" customHeight="1">
      <c r="B24" s="629"/>
      <c r="C24" s="630"/>
      <c r="D24" s="631"/>
      <c r="E24" s="639" t="s">
        <v>279</v>
      </c>
      <c r="F24" s="640"/>
      <c r="G24" s="640"/>
      <c r="H24" s="640"/>
      <c r="I24" s="641"/>
      <c r="J24" s="619"/>
      <c r="K24" s="620"/>
      <c r="L24" s="621"/>
      <c r="M24" s="619"/>
      <c r="N24" s="620"/>
      <c r="O24" s="621"/>
    </row>
    <row r="25" spans="1:15" ht="145.5" customHeight="1">
      <c r="B25" s="587" t="str">
        <f>+'Introducerea datelor'!B105</f>
        <v>M6: Diferență între stocul curent și stocul de siguranță</v>
      </c>
      <c r="C25" s="588"/>
      <c r="D25" s="589"/>
      <c r="E25" s="596" t="s">
        <v>300</v>
      </c>
      <c r="F25" s="597"/>
      <c r="G25" s="597"/>
      <c r="H25" s="597"/>
      <c r="I25" s="598"/>
      <c r="J25" s="613" t="s">
        <v>285</v>
      </c>
      <c r="K25" s="614"/>
      <c r="L25" s="615"/>
      <c r="M25" s="610" t="s">
        <v>286</v>
      </c>
      <c r="N25" s="611"/>
      <c r="O25" s="612"/>
    </row>
    <row r="29" spans="1:15" ht="18.75">
      <c r="B29" s="249"/>
    </row>
    <row r="30" spans="1:15" ht="23.25">
      <c r="B30" s="645" t="s">
        <v>434</v>
      </c>
      <c r="C30" s="645"/>
      <c r="D30" s="645"/>
      <c r="E30" s="645"/>
      <c r="F30" s="645"/>
      <c r="G30" s="645"/>
      <c r="H30" s="645"/>
      <c r="I30" s="645"/>
      <c r="J30" s="645"/>
      <c r="K30" s="645"/>
      <c r="L30" s="645"/>
      <c r="M30" s="645"/>
      <c r="N30" s="645"/>
      <c r="O30" s="645"/>
    </row>
    <row r="32" spans="1:15" ht="28.5" customHeight="1">
      <c r="A32" s="243"/>
      <c r="B32" s="646" t="s">
        <v>270</v>
      </c>
      <c r="C32" s="647"/>
      <c r="D32" s="648"/>
      <c r="E32" s="649" t="s">
        <v>435</v>
      </c>
      <c r="F32" s="650"/>
      <c r="G32" s="650"/>
      <c r="H32" s="650"/>
      <c r="I32" s="651"/>
      <c r="J32" s="649" t="s">
        <v>304</v>
      </c>
      <c r="K32" s="650"/>
      <c r="L32" s="651"/>
      <c r="M32" s="649" t="s">
        <v>307</v>
      </c>
      <c r="N32" s="650"/>
      <c r="O32" s="651"/>
    </row>
    <row r="33" spans="1:15" ht="120" customHeight="1">
      <c r="A33" s="244"/>
      <c r="B33" s="575" t="s">
        <v>415</v>
      </c>
      <c r="C33" s="576"/>
      <c r="D33" s="577"/>
      <c r="E33" s="593" t="s">
        <v>417</v>
      </c>
      <c r="F33" s="594"/>
      <c r="G33" s="594"/>
      <c r="H33" s="594"/>
      <c r="I33" s="595"/>
      <c r="J33" s="581" t="s">
        <v>423</v>
      </c>
      <c r="K33" s="582"/>
      <c r="L33" s="583"/>
      <c r="M33" s="572" t="s">
        <v>421</v>
      </c>
      <c r="N33" s="585"/>
      <c r="O33" s="586"/>
    </row>
    <row r="34" spans="1:15" ht="9.75" customHeight="1">
      <c r="A34" s="244"/>
      <c r="B34" s="602"/>
      <c r="C34" s="603"/>
      <c r="D34" s="604"/>
      <c r="E34" s="457"/>
      <c r="F34" s="458"/>
      <c r="G34" s="458"/>
      <c r="H34" s="458"/>
      <c r="I34" s="459"/>
      <c r="J34" s="460"/>
      <c r="K34" s="461"/>
      <c r="L34" s="462"/>
      <c r="M34" s="460"/>
      <c r="N34" s="461"/>
      <c r="O34" s="462"/>
    </row>
    <row r="35" spans="1:15" ht="122.25" customHeight="1">
      <c r="A35" s="244"/>
      <c r="B35" s="575" t="s">
        <v>416</v>
      </c>
      <c r="C35" s="576"/>
      <c r="D35" s="577"/>
      <c r="E35" s="593" t="s">
        <v>418</v>
      </c>
      <c r="F35" s="594"/>
      <c r="G35" s="594"/>
      <c r="H35" s="594"/>
      <c r="I35" s="595"/>
      <c r="J35" s="581" t="s">
        <v>424</v>
      </c>
      <c r="K35" s="582"/>
      <c r="L35" s="583"/>
      <c r="M35" s="572" t="s">
        <v>420</v>
      </c>
      <c r="N35" s="585"/>
      <c r="O35" s="586"/>
    </row>
    <row r="36" spans="1:15" ht="111" customHeight="1">
      <c r="A36" s="244"/>
      <c r="B36" s="605" t="s">
        <v>414</v>
      </c>
      <c r="C36" s="570"/>
      <c r="D36" s="571"/>
      <c r="E36" s="606" t="s">
        <v>419</v>
      </c>
      <c r="F36" s="594"/>
      <c r="G36" s="594"/>
      <c r="H36" s="594"/>
      <c r="I36" s="595"/>
      <c r="J36" s="581" t="s">
        <v>424</v>
      </c>
      <c r="K36" s="582"/>
      <c r="L36" s="583"/>
      <c r="M36" s="572" t="s">
        <v>422</v>
      </c>
      <c r="N36" s="585"/>
      <c r="O36" s="586"/>
    </row>
    <row r="37" spans="1:15" ht="91.5" customHeight="1">
      <c r="A37" s="244"/>
      <c r="B37" s="575" t="s">
        <v>425</v>
      </c>
      <c r="C37" s="576"/>
      <c r="D37" s="577"/>
      <c r="E37" s="590" t="s">
        <v>426</v>
      </c>
      <c r="F37" s="591"/>
      <c r="G37" s="591"/>
      <c r="H37" s="591"/>
      <c r="I37" s="592"/>
      <c r="J37" s="581" t="s">
        <v>423</v>
      </c>
      <c r="K37" s="582"/>
      <c r="L37" s="583"/>
      <c r="M37" s="468" t="s">
        <v>427</v>
      </c>
      <c r="N37" s="463"/>
      <c r="O37" s="464"/>
    </row>
    <row r="38" spans="1:15" ht="96" customHeight="1">
      <c r="A38" s="244"/>
      <c r="B38" s="575" t="s">
        <v>428</v>
      </c>
      <c r="C38" s="576"/>
      <c r="D38" s="577"/>
      <c r="E38" s="599" t="s">
        <v>429</v>
      </c>
      <c r="F38" s="600"/>
      <c r="G38" s="600"/>
      <c r="H38" s="600"/>
      <c r="I38" s="601"/>
      <c r="J38" s="581" t="s">
        <v>423</v>
      </c>
      <c r="K38" s="582"/>
      <c r="L38" s="583"/>
      <c r="M38" s="572" t="s">
        <v>430</v>
      </c>
      <c r="N38" s="585"/>
      <c r="O38" s="586"/>
    </row>
    <row r="39" spans="1:15" ht="108" customHeight="1">
      <c r="A39" s="244"/>
      <c r="B39" s="575" t="s">
        <v>431</v>
      </c>
      <c r="C39" s="576"/>
      <c r="D39" s="577"/>
      <c r="E39" s="593" t="s">
        <v>432</v>
      </c>
      <c r="F39" s="594"/>
      <c r="G39" s="594"/>
      <c r="H39" s="594"/>
      <c r="I39" s="595"/>
      <c r="J39" s="581" t="s">
        <v>423</v>
      </c>
      <c r="K39" s="582"/>
      <c r="L39" s="583"/>
      <c r="M39" s="590" t="s">
        <v>433</v>
      </c>
      <c r="N39" s="585"/>
      <c r="O39" s="586"/>
    </row>
    <row r="40" spans="1:15" ht="113.25" hidden="1" customHeight="1">
      <c r="A40" s="244"/>
      <c r="B40" s="575"/>
      <c r="C40" s="576"/>
      <c r="D40" s="577"/>
      <c r="E40" s="572"/>
      <c r="F40" s="585"/>
      <c r="G40" s="585"/>
      <c r="H40" s="585"/>
      <c r="I40" s="586"/>
      <c r="J40" s="581"/>
      <c r="K40" s="582"/>
      <c r="L40" s="583"/>
      <c r="M40" s="468"/>
      <c r="N40" s="463"/>
      <c r="O40" s="464"/>
    </row>
    <row r="41" spans="1:15" ht="109.5" hidden="1" customHeight="1">
      <c r="A41" s="244"/>
      <c r="B41" s="575"/>
      <c r="C41" s="576"/>
      <c r="D41" s="577"/>
      <c r="E41" s="578"/>
      <c r="F41" s="579"/>
      <c r="G41" s="579"/>
      <c r="H41" s="579"/>
      <c r="I41" s="580"/>
      <c r="J41" s="581"/>
      <c r="K41" s="582"/>
      <c r="L41" s="583"/>
      <c r="M41" s="584"/>
      <c r="N41" s="585"/>
      <c r="O41" s="586"/>
    </row>
    <row r="43" spans="1:15" ht="84" hidden="1" customHeight="1">
      <c r="A43" s="244"/>
      <c r="B43" s="569" t="s">
        <v>311</v>
      </c>
      <c r="C43" s="661"/>
      <c r="D43" s="662"/>
      <c r="E43" s="572" t="s">
        <v>313</v>
      </c>
      <c r="F43" s="573"/>
      <c r="G43" s="573"/>
      <c r="H43" s="573"/>
      <c r="I43" s="574"/>
      <c r="J43" s="581" t="s">
        <v>305</v>
      </c>
      <c r="K43" s="582"/>
      <c r="L43" s="583"/>
      <c r="M43" s="572" t="s">
        <v>316</v>
      </c>
      <c r="N43" s="573"/>
      <c r="O43" s="574"/>
    </row>
    <row r="44" spans="1:15" ht="88.5" hidden="1" customHeight="1">
      <c r="A44" s="244"/>
      <c r="B44" s="569" t="s">
        <v>312</v>
      </c>
      <c r="C44" s="570"/>
      <c r="D44" s="571"/>
      <c r="E44" s="593" t="s">
        <v>314</v>
      </c>
      <c r="F44" s="594"/>
      <c r="G44" s="594"/>
      <c r="H44" s="594"/>
      <c r="I44" s="595"/>
      <c r="J44" s="581" t="s">
        <v>306</v>
      </c>
      <c r="K44" s="582"/>
      <c r="L44" s="583"/>
      <c r="M44" s="468" t="s">
        <v>315</v>
      </c>
      <c r="N44" s="463"/>
      <c r="O44" s="464"/>
    </row>
    <row r="45" spans="1:15" ht="64.5" hidden="1" customHeight="1">
      <c r="A45" s="244"/>
      <c r="B45" s="566"/>
      <c r="C45" s="567"/>
      <c r="D45" s="568"/>
      <c r="E45" s="563"/>
      <c r="F45" s="564"/>
      <c r="G45" s="564"/>
      <c r="H45" s="564"/>
      <c r="I45" s="565"/>
      <c r="J45" s="560"/>
      <c r="K45" s="561"/>
      <c r="L45" s="562"/>
      <c r="M45" s="257"/>
      <c r="N45" s="258"/>
      <c r="O45" s="259"/>
    </row>
    <row r="46" spans="1:15" ht="49.5" hidden="1" customHeight="1">
      <c r="B46" s="566"/>
      <c r="C46" s="567"/>
      <c r="D46" s="568"/>
      <c r="E46" s="563"/>
      <c r="F46" s="564"/>
      <c r="G46" s="564"/>
      <c r="H46" s="564"/>
      <c r="I46" s="565"/>
      <c r="J46" s="560"/>
      <c r="K46" s="561"/>
      <c r="L46" s="562"/>
      <c r="M46" s="257"/>
      <c r="N46" s="258"/>
      <c r="O46" s="259"/>
    </row>
    <row r="47" spans="1:15" ht="30" hidden="1" customHeight="1">
      <c r="B47" s="663"/>
      <c r="C47" s="664"/>
      <c r="D47" s="665"/>
      <c r="E47" s="245"/>
      <c r="F47" s="246"/>
      <c r="G47" s="246"/>
      <c r="H47" s="246"/>
      <c r="I47" s="247"/>
      <c r="J47" s="257"/>
      <c r="K47" s="258"/>
      <c r="L47" s="259"/>
      <c r="M47" s="257"/>
      <c r="N47" s="258"/>
      <c r="O47" s="259"/>
    </row>
    <row r="48" spans="1:15" ht="44.25" hidden="1" customHeight="1">
      <c r="B48" s="655" t="s">
        <v>249</v>
      </c>
      <c r="C48" s="656"/>
      <c r="D48" s="657"/>
      <c r="E48" s="658" t="s">
        <v>232</v>
      </c>
      <c r="F48" s="659"/>
      <c r="G48" s="659"/>
      <c r="H48" s="659"/>
      <c r="I48" s="660"/>
      <c r="J48" s="658" t="s">
        <v>233</v>
      </c>
      <c r="K48" s="659"/>
      <c r="L48" s="660"/>
      <c r="M48" s="658" t="s">
        <v>234</v>
      </c>
      <c r="N48" s="659"/>
      <c r="O48" s="660"/>
    </row>
    <row r="49" spans="2:15" ht="33.75" hidden="1" customHeight="1">
      <c r="B49" s="240"/>
      <c r="C49" s="241"/>
      <c r="D49" s="241"/>
      <c r="E49" s="234"/>
      <c r="F49" s="236"/>
      <c r="G49" s="236"/>
      <c r="H49" s="236"/>
      <c r="I49" s="236"/>
      <c r="J49" s="234"/>
      <c r="K49" s="234"/>
      <c r="L49" s="235"/>
      <c r="M49" s="233"/>
      <c r="N49" s="234"/>
      <c r="O49" s="235"/>
    </row>
    <row r="50" spans="2:15" ht="15.75" customHeight="1">
      <c r="B50" s="652" t="s">
        <v>248</v>
      </c>
      <c r="C50" s="653"/>
      <c r="D50" s="653"/>
      <c r="E50" s="653"/>
      <c r="F50" s="653"/>
      <c r="G50" s="653"/>
      <c r="H50" s="653"/>
      <c r="I50" s="653"/>
      <c r="J50" s="653"/>
      <c r="K50" s="653"/>
      <c r="L50" s="654"/>
      <c r="M50" s="642" t="s">
        <v>244</v>
      </c>
      <c r="N50" s="643"/>
      <c r="O50" s="644"/>
    </row>
    <row r="51" spans="2:15">
      <c r="D51" s="220"/>
    </row>
    <row r="53" spans="2:15">
      <c r="D53" s="220"/>
    </row>
    <row r="54" spans="2:15">
      <c r="D54" s="220"/>
    </row>
  </sheetData>
  <mergeCells count="124">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50:O50"/>
    <mergeCell ref="B30:O30"/>
    <mergeCell ref="B32:D32"/>
    <mergeCell ref="E32:I32"/>
    <mergeCell ref="J32:L32"/>
    <mergeCell ref="M32:O32"/>
    <mergeCell ref="B50:L50"/>
    <mergeCell ref="B48:D48"/>
    <mergeCell ref="E48:I48"/>
    <mergeCell ref="J48:L48"/>
    <mergeCell ref="M48:O48"/>
    <mergeCell ref="J36:L36"/>
    <mergeCell ref="M36:O36"/>
    <mergeCell ref="M33:O33"/>
    <mergeCell ref="M35:O35"/>
    <mergeCell ref="J33:L33"/>
    <mergeCell ref="J35:L35"/>
    <mergeCell ref="B39:D39"/>
    <mergeCell ref="E43:I43"/>
    <mergeCell ref="E44:I44"/>
    <mergeCell ref="B43:D43"/>
    <mergeCell ref="B47:D47"/>
    <mergeCell ref="J44:L44"/>
    <mergeCell ref="J45:L45"/>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5:D35"/>
    <mergeCell ref="E37:I37"/>
    <mergeCell ref="J38:L38"/>
    <mergeCell ref="M38:O38"/>
    <mergeCell ref="B40:D40"/>
    <mergeCell ref="M39:O39"/>
    <mergeCell ref="E40:I40"/>
    <mergeCell ref="B37:D37"/>
    <mergeCell ref="J37:L37"/>
    <mergeCell ref="J40:L40"/>
    <mergeCell ref="E39:I39"/>
    <mergeCell ref="J39:L39"/>
    <mergeCell ref="E33:I33"/>
    <mergeCell ref="E35:I35"/>
    <mergeCell ref="E25:I25"/>
    <mergeCell ref="E38:I38"/>
    <mergeCell ref="B34:D34"/>
    <mergeCell ref="B36:D36"/>
    <mergeCell ref="B38:D38"/>
    <mergeCell ref="E36:I36"/>
    <mergeCell ref="J46:L46"/>
    <mergeCell ref="E45:I45"/>
    <mergeCell ref="B45:D45"/>
    <mergeCell ref="B46:D46"/>
    <mergeCell ref="E46:I46"/>
    <mergeCell ref="B44:D44"/>
    <mergeCell ref="M43:O43"/>
    <mergeCell ref="B41:D41"/>
    <mergeCell ref="E41:I41"/>
    <mergeCell ref="J41:L41"/>
    <mergeCell ref="M41:O41"/>
    <mergeCell ref="J43:L43"/>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3"/>
  <sheetViews>
    <sheetView showGridLines="0" view="pageBreakPreview" topLeftCell="A36" zoomScale="60" zoomScaleNormal="100" zoomScalePageLayoutView="10" workbookViewId="0">
      <selection activeCell="D97" sqref="D97"/>
    </sheetView>
  </sheetViews>
  <sheetFormatPr defaultColWidth="11" defaultRowHeight="15"/>
  <cols>
    <col min="1" max="1" width="2.7109375" customWidth="1"/>
    <col min="2" max="2" width="46.140625" customWidth="1"/>
    <col min="3" max="3" width="16.28515625" customWidth="1"/>
    <col min="4" max="4" width="17.7109375" customWidth="1"/>
    <col min="5"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33" t="s">
        <v>379</v>
      </c>
      <c r="C2" s="733"/>
      <c r="D2" s="733"/>
      <c r="E2" s="733"/>
      <c r="F2" s="733"/>
      <c r="G2" s="733"/>
      <c r="H2" s="733"/>
      <c r="I2" s="733"/>
      <c r="J2" s="733"/>
      <c r="K2" s="275"/>
      <c r="L2" s="275"/>
      <c r="M2" s="275"/>
    </row>
    <row r="3" spans="1:13" ht="4.5" customHeight="1">
      <c r="A3" s="3"/>
      <c r="B3" s="3"/>
      <c r="C3" s="3"/>
      <c r="D3" s="3"/>
      <c r="E3" s="3"/>
      <c r="F3" s="3"/>
      <c r="G3" s="3"/>
      <c r="H3" s="3"/>
      <c r="I3" s="3"/>
      <c r="J3" s="3"/>
      <c r="K3" s="3"/>
      <c r="L3" s="3"/>
      <c r="M3" s="3"/>
    </row>
    <row r="4" spans="1:13" ht="60.75" customHeight="1">
      <c r="A4" s="3"/>
      <c r="B4" s="273" t="s">
        <v>380</v>
      </c>
      <c r="C4" s="718" t="s">
        <v>170</v>
      </c>
      <c r="D4" s="719"/>
      <c r="E4" s="717" t="s">
        <v>384</v>
      </c>
      <c r="F4" s="717"/>
      <c r="G4" s="724" t="s">
        <v>437</v>
      </c>
      <c r="H4" s="725"/>
      <c r="I4" s="725"/>
      <c r="J4" s="726"/>
      <c r="K4" s="486"/>
      <c r="L4" s="3"/>
      <c r="M4" s="3"/>
    </row>
    <row r="5" spans="1:13" ht="3" customHeight="1">
      <c r="A5" s="3"/>
      <c r="B5" s="273"/>
      <c r="C5" s="3"/>
      <c r="D5" s="3"/>
      <c r="E5" s="276"/>
      <c r="F5" s="276"/>
      <c r="G5" s="3"/>
      <c r="H5" s="3"/>
      <c r="I5" s="3"/>
      <c r="J5" s="3"/>
      <c r="K5" s="3"/>
      <c r="L5" s="3"/>
      <c r="M5" s="3"/>
    </row>
    <row r="6" spans="1:13">
      <c r="A6" s="3"/>
      <c r="B6" s="273" t="s">
        <v>509</v>
      </c>
      <c r="C6" s="718" t="s">
        <v>436</v>
      </c>
      <c r="D6" s="719"/>
      <c r="E6" s="717" t="s">
        <v>385</v>
      </c>
      <c r="F6" s="717"/>
      <c r="G6" s="305" t="s">
        <v>16</v>
      </c>
      <c r="H6" s="273" t="s">
        <v>388</v>
      </c>
      <c r="I6" s="735">
        <v>3212688</v>
      </c>
      <c r="J6" s="736"/>
      <c r="K6" s="486"/>
      <c r="L6" s="3"/>
      <c r="M6" s="3"/>
    </row>
    <row r="7" spans="1:13" ht="3" customHeight="1">
      <c r="A7" s="3"/>
      <c r="B7" s="273"/>
      <c r="C7" s="3"/>
      <c r="D7" s="3"/>
      <c r="E7" s="276"/>
      <c r="F7" s="276"/>
      <c r="G7" s="3"/>
      <c r="H7" s="273"/>
      <c r="I7" s="3"/>
      <c r="J7" s="3"/>
      <c r="K7" s="3"/>
      <c r="L7" s="3"/>
      <c r="M7" s="3"/>
    </row>
    <row r="8" spans="1:13">
      <c r="A8" s="3"/>
      <c r="B8" s="273" t="s">
        <v>381</v>
      </c>
      <c r="C8" s="718" t="s">
        <v>510</v>
      </c>
      <c r="D8" s="719"/>
      <c r="E8" s="277"/>
      <c r="F8" s="272" t="s">
        <v>386</v>
      </c>
      <c r="G8" s="392" t="s">
        <v>289</v>
      </c>
      <c r="H8" s="272" t="s">
        <v>389</v>
      </c>
      <c r="I8" s="718"/>
      <c r="J8" s="719"/>
      <c r="K8" s="281"/>
      <c r="L8" s="3"/>
      <c r="M8" s="3"/>
    </row>
    <row r="9" spans="1:13" ht="3" customHeight="1">
      <c r="A9" s="3"/>
      <c r="B9" s="276"/>
      <c r="C9" s="3"/>
      <c r="D9" s="3"/>
      <c r="E9" s="276"/>
      <c r="F9" s="276"/>
      <c r="G9" s="3"/>
      <c r="H9" s="3"/>
      <c r="I9" s="3"/>
      <c r="J9" s="3"/>
      <c r="K9" s="3"/>
      <c r="L9" s="3"/>
      <c r="M9" s="3"/>
    </row>
    <row r="10" spans="1:13">
      <c r="A10" s="3"/>
      <c r="B10" s="273" t="s">
        <v>382</v>
      </c>
      <c r="C10" s="739">
        <v>42005</v>
      </c>
      <c r="D10" s="740"/>
      <c r="E10" s="734" t="s">
        <v>387</v>
      </c>
      <c r="F10" s="723"/>
      <c r="G10" s="718" t="s">
        <v>41</v>
      </c>
      <c r="H10" s="738"/>
      <c r="I10" s="738"/>
      <c r="J10" s="719"/>
      <c r="K10" s="3"/>
      <c r="L10" s="3"/>
      <c r="M10" s="3"/>
    </row>
    <row r="11" spans="1:13" ht="5.25" customHeight="1">
      <c r="A11" s="3"/>
      <c r="B11" s="3"/>
      <c r="C11" s="3"/>
      <c r="D11" s="3"/>
      <c r="E11" s="3"/>
      <c r="F11" s="3"/>
      <c r="G11" s="3"/>
      <c r="H11" s="3"/>
      <c r="I11" s="3"/>
      <c r="J11" s="3"/>
      <c r="K11" s="3"/>
      <c r="L11" s="3"/>
      <c r="M11" s="3"/>
    </row>
    <row r="12" spans="1:13" ht="15" customHeight="1">
      <c r="A12" s="3"/>
      <c r="B12" s="485" t="s">
        <v>383</v>
      </c>
      <c r="C12" s="716" t="s">
        <v>29</v>
      </c>
      <c r="D12" s="716"/>
      <c r="E12" s="734" t="s">
        <v>511</v>
      </c>
      <c r="F12" s="717"/>
      <c r="G12" s="737" t="s">
        <v>438</v>
      </c>
      <c r="H12" s="737"/>
      <c r="I12" s="737"/>
      <c r="J12" s="737"/>
      <c r="K12" s="3"/>
      <c r="L12" s="3"/>
      <c r="M12" s="3"/>
    </row>
    <row r="13" spans="1:13" ht="5.25" customHeight="1">
      <c r="A13" s="3"/>
      <c r="B13" s="3"/>
      <c r="C13" s="3"/>
      <c r="D13" s="3"/>
      <c r="E13" s="3"/>
      <c r="F13" s="3"/>
      <c r="G13" s="3"/>
      <c r="H13" s="3"/>
      <c r="I13" s="3"/>
      <c r="J13" s="3"/>
      <c r="K13" s="3"/>
      <c r="L13" s="3"/>
      <c r="M13" s="3"/>
    </row>
    <row r="14" spans="1:13" ht="15.75" customHeight="1">
      <c r="A14" s="3"/>
      <c r="B14" s="733" t="s">
        <v>378</v>
      </c>
      <c r="C14" s="733"/>
      <c r="D14" s="733"/>
      <c r="E14" s="733"/>
      <c r="F14" s="733"/>
      <c r="G14" s="733"/>
      <c r="H14" s="733"/>
      <c r="I14" s="733"/>
      <c r="J14" s="733"/>
      <c r="K14" s="3"/>
      <c r="L14" s="3"/>
      <c r="M14" s="3"/>
    </row>
    <row r="15" spans="1:13" ht="3" customHeight="1">
      <c r="A15" s="3"/>
      <c r="B15" s="3"/>
      <c r="C15" s="3"/>
      <c r="D15" s="3"/>
      <c r="E15" s="3"/>
      <c r="F15" s="3"/>
      <c r="G15" s="3"/>
      <c r="H15" s="3"/>
      <c r="I15" s="3"/>
      <c r="J15" s="3"/>
      <c r="K15" s="3"/>
      <c r="L15" s="3"/>
      <c r="M15" s="3"/>
    </row>
    <row r="16" spans="1:13">
      <c r="A16" s="3"/>
      <c r="B16" s="485" t="s">
        <v>398</v>
      </c>
      <c r="C16" s="392" t="s">
        <v>76</v>
      </c>
      <c r="D16" s="272" t="s">
        <v>396</v>
      </c>
      <c r="E16" s="278">
        <v>42186</v>
      </c>
      <c r="F16" s="274" t="s">
        <v>397</v>
      </c>
      <c r="G16" s="515">
        <v>42369</v>
      </c>
      <c r="H16" s="734" t="s">
        <v>395</v>
      </c>
      <c r="I16" s="723"/>
      <c r="J16" s="278">
        <v>42415</v>
      </c>
      <c r="K16" s="486"/>
      <c r="L16" s="3"/>
      <c r="M16" s="3"/>
    </row>
    <row r="17" spans="1:35" ht="3" customHeight="1">
      <c r="A17" s="3"/>
      <c r="B17" s="3"/>
      <c r="C17" s="3"/>
      <c r="D17" s="3"/>
      <c r="E17" s="3"/>
      <c r="F17" s="3"/>
      <c r="G17" s="3"/>
      <c r="H17" s="3"/>
      <c r="I17" s="3"/>
      <c r="J17" s="3"/>
      <c r="K17" s="3"/>
      <c r="L17" s="3"/>
      <c r="M17" s="3"/>
    </row>
    <row r="18" spans="1:35" ht="15.75" customHeight="1">
      <c r="A18" s="3"/>
      <c r="B18" s="722" t="s">
        <v>399</v>
      </c>
      <c r="C18" s="723"/>
      <c r="D18" s="724" t="s">
        <v>439</v>
      </c>
      <c r="E18" s="725"/>
      <c r="F18" s="726"/>
      <c r="G18" s="279"/>
      <c r="H18" s="279"/>
      <c r="I18" s="279"/>
      <c r="J18" s="27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33" t="s">
        <v>377</v>
      </c>
      <c r="C21" s="733"/>
      <c r="D21" s="733"/>
      <c r="E21" s="733"/>
      <c r="F21" s="733"/>
      <c r="G21" s="733"/>
      <c r="H21" s="733"/>
      <c r="I21" s="733"/>
      <c r="J21" s="733"/>
      <c r="K21" s="3"/>
      <c r="L21" s="3"/>
      <c r="M21" s="3"/>
    </row>
    <row r="22" spans="1:35">
      <c r="A22" s="3"/>
      <c r="B22" s="276" t="s">
        <v>390</v>
      </c>
      <c r="C22" s="3"/>
      <c r="D22" s="3"/>
      <c r="E22" s="280"/>
      <c r="F22" s="280"/>
      <c r="G22" s="3"/>
      <c r="H22" s="3"/>
      <c r="I22" s="280"/>
      <c r="J22" s="280"/>
      <c r="K22" s="3"/>
      <c r="L22" s="3"/>
      <c r="M22" s="3"/>
    </row>
    <row r="23" spans="1:35" ht="3" customHeight="1">
      <c r="A23" s="3"/>
      <c r="B23" s="3"/>
      <c r="C23" s="3"/>
      <c r="D23" s="3"/>
      <c r="E23" s="3"/>
      <c r="F23" s="3"/>
      <c r="G23" s="3"/>
      <c r="H23" s="3"/>
      <c r="I23" s="3"/>
      <c r="J23" s="3"/>
      <c r="K23" s="3"/>
      <c r="L23" s="3"/>
      <c r="M23" s="3"/>
    </row>
    <row r="24" spans="1:35">
      <c r="A24" s="3"/>
      <c r="B24" s="273" t="s">
        <v>391</v>
      </c>
      <c r="C24" s="378"/>
      <c r="D24" s="717" t="s">
        <v>392</v>
      </c>
      <c r="E24" s="717"/>
      <c r="F24" s="379"/>
      <c r="G24" s="717" t="s">
        <v>393</v>
      </c>
      <c r="H24" s="717"/>
      <c r="I24" s="752"/>
      <c r="J24" s="753"/>
      <c r="K24" s="3"/>
      <c r="L24" s="3"/>
      <c r="M24" s="3"/>
      <c r="N24" s="20"/>
    </row>
    <row r="25" spans="1:35" ht="19.5" thickBot="1">
      <c r="A25" s="3"/>
      <c r="B25" s="87" t="s">
        <v>512</v>
      </c>
      <c r="C25" s="88"/>
      <c r="D25" s="88"/>
      <c r="E25" s="88"/>
      <c r="F25" s="88"/>
      <c r="G25" s="88"/>
      <c r="H25" s="262"/>
      <c r="I25" s="89"/>
      <c r="J25" s="89"/>
      <c r="K25" s="262" t="s">
        <v>394</v>
      </c>
      <c r="L25" s="88"/>
      <c r="M25" s="88"/>
      <c r="N25" s="505"/>
      <c r="O25" s="40"/>
      <c r="AI25" s="44"/>
    </row>
    <row r="26" spans="1:35">
      <c r="A26" s="3"/>
      <c r="B26" s="729" t="s">
        <v>400</v>
      </c>
      <c r="C26" s="730"/>
      <c r="D26" s="411" t="s">
        <v>5</v>
      </c>
      <c r="E26" s="91"/>
      <c r="F26" s="91"/>
      <c r="G26" s="91"/>
      <c r="H26" s="91"/>
      <c r="I26" s="91"/>
      <c r="J26" s="92"/>
      <c r="K26" s="91"/>
      <c r="L26" s="91"/>
      <c r="M26" s="91"/>
      <c r="N26" s="40"/>
      <c r="O26" s="40"/>
      <c r="AI26" s="44"/>
    </row>
    <row r="27" spans="1:35" ht="18.75">
      <c r="A27" s="3"/>
      <c r="B27" s="90" t="s">
        <v>318</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9" t="s">
        <v>44</v>
      </c>
      <c r="C29" s="690"/>
      <c r="D29" s="690"/>
      <c r="E29" s="690"/>
      <c r="F29" s="690"/>
      <c r="G29" s="690"/>
      <c r="H29" s="690"/>
      <c r="I29" s="690"/>
      <c r="J29" s="690"/>
      <c r="K29" s="690"/>
      <c r="L29" s="690"/>
      <c r="M29" s="690"/>
      <c r="N29" s="691"/>
      <c r="P29" s="205"/>
      <c r="Q29" s="206"/>
      <c r="R29" s="207">
        <f>+C33</f>
        <v>273474.51</v>
      </c>
      <c r="S29" s="205"/>
    </row>
    <row r="30" spans="1:35">
      <c r="A30" s="3"/>
      <c r="B30" s="93" t="s">
        <v>374</v>
      </c>
      <c r="C30" s="377" t="s">
        <v>470</v>
      </c>
      <c r="D30" s="377" t="s">
        <v>76</v>
      </c>
      <c r="E30" s="377" t="s">
        <v>77</v>
      </c>
      <c r="F30" s="377" t="s">
        <v>78</v>
      </c>
      <c r="G30" s="377" t="s">
        <v>85</v>
      </c>
      <c r="H30" s="377" t="s">
        <v>86</v>
      </c>
      <c r="I30" s="362" t="s">
        <v>87</v>
      </c>
      <c r="J30" s="362" t="s">
        <v>88</v>
      </c>
      <c r="K30" s="362" t="s">
        <v>89</v>
      </c>
      <c r="L30" s="362" t="s">
        <v>90</v>
      </c>
      <c r="M30" s="362" t="s">
        <v>91</v>
      </c>
      <c r="N30" s="363" t="s">
        <v>246</v>
      </c>
      <c r="O30" s="364" t="s">
        <v>1</v>
      </c>
      <c r="P30" s="205"/>
      <c r="Q30" s="206"/>
      <c r="R30" s="207">
        <f>+D33</f>
        <v>1494677.91</v>
      </c>
      <c r="S30" s="205"/>
    </row>
    <row r="31" spans="1:35">
      <c r="A31" s="3"/>
      <c r="B31" s="270" t="str">
        <f>CONCATENATE("Buget (in ",'Introducerea datelor'!$D$26,")")</f>
        <v>Buget (in €)</v>
      </c>
      <c r="C31" s="371">
        <v>273474.51</v>
      </c>
      <c r="D31" s="370">
        <v>1221203.3999999999</v>
      </c>
      <c r="E31" s="370"/>
      <c r="F31" s="370"/>
      <c r="G31" s="370"/>
      <c r="H31" s="370"/>
      <c r="I31" s="370"/>
      <c r="J31" s="370"/>
      <c r="K31" s="370"/>
      <c r="L31" s="370"/>
      <c r="M31" s="370"/>
      <c r="N31" s="370"/>
      <c r="O31" s="759">
        <f>L34/I6</f>
        <v>0</v>
      </c>
      <c r="P31" s="205"/>
      <c r="Q31" s="206"/>
      <c r="R31" s="207">
        <f>+E33</f>
        <v>0</v>
      </c>
      <c r="S31" s="205"/>
    </row>
    <row r="32" spans="1:35">
      <c r="A32" s="3"/>
      <c r="B32" s="93" t="str">
        <f>CONCATENATE("Debursări de către FG (in ", $D$26,")")</f>
        <v>Debursări de către FG (in €)</v>
      </c>
      <c r="C32" s="371">
        <v>1558295</v>
      </c>
      <c r="D32" s="371">
        <v>0</v>
      </c>
      <c r="E32" s="371"/>
      <c r="F32" s="371"/>
      <c r="G32" s="371"/>
      <c r="H32" s="371"/>
      <c r="I32" s="370"/>
      <c r="J32" s="370"/>
      <c r="K32" s="370"/>
      <c r="L32" s="370"/>
      <c r="M32" s="370"/>
      <c r="N32" s="370"/>
      <c r="O32" s="760"/>
      <c r="P32" s="205"/>
      <c r="Q32" s="206"/>
      <c r="R32" s="207">
        <f>+F33</f>
        <v>0</v>
      </c>
      <c r="S32" s="205"/>
    </row>
    <row r="33" spans="1:35">
      <c r="A33" s="3"/>
      <c r="B33" s="94" t="s">
        <v>375</v>
      </c>
      <c r="C33" s="372">
        <f>+C31</f>
        <v>273474.51</v>
      </c>
      <c r="D33" s="372">
        <f>IF(AND(D31=0,D32=0),0,+C33+D31)</f>
        <v>1494677.91</v>
      </c>
      <c r="E33" s="372">
        <f t="shared" ref="E33:N33" si="0">IF(AND(E31=0,E32=0),0,+D33+E31)</f>
        <v>0</v>
      </c>
      <c r="F33" s="372">
        <f t="shared" si="0"/>
        <v>0</v>
      </c>
      <c r="G33" s="372">
        <f t="shared" si="0"/>
        <v>0</v>
      </c>
      <c r="H33" s="372">
        <f t="shared" si="0"/>
        <v>0</v>
      </c>
      <c r="I33" s="372">
        <f t="shared" si="0"/>
        <v>0</v>
      </c>
      <c r="J33" s="372">
        <f t="shared" si="0"/>
        <v>0</v>
      </c>
      <c r="K33" s="372">
        <f t="shared" si="0"/>
        <v>0</v>
      </c>
      <c r="L33" s="372">
        <f t="shared" si="0"/>
        <v>0</v>
      </c>
      <c r="M33" s="372">
        <f t="shared" si="0"/>
        <v>0</v>
      </c>
      <c r="N33" s="372">
        <f t="shared" si="0"/>
        <v>0</v>
      </c>
      <c r="O33" s="760"/>
      <c r="P33" s="353"/>
      <c r="Q33" s="206"/>
      <c r="R33" s="207">
        <f>+G33</f>
        <v>0</v>
      </c>
      <c r="S33" s="205"/>
    </row>
    <row r="34" spans="1:35" ht="15.75" thickBot="1">
      <c r="A34" s="3"/>
      <c r="B34" s="95" t="s">
        <v>376</v>
      </c>
      <c r="C34" s="373">
        <f>+C32</f>
        <v>1558295</v>
      </c>
      <c r="D34" s="373">
        <f>IF(AND(D31=0,D32=0),0,+C34+D32)</f>
        <v>1558295</v>
      </c>
      <c r="E34" s="373">
        <f t="shared" ref="E34:N34" si="1">IF(AND(E31=0,E32=0),0,+D34+E32)</f>
        <v>0</v>
      </c>
      <c r="F34" s="373">
        <f t="shared" si="1"/>
        <v>0</v>
      </c>
      <c r="G34" s="373">
        <f t="shared" si="1"/>
        <v>0</v>
      </c>
      <c r="H34" s="373">
        <f t="shared" si="1"/>
        <v>0</v>
      </c>
      <c r="I34" s="373">
        <f t="shared" si="1"/>
        <v>0</v>
      </c>
      <c r="J34" s="373">
        <f t="shared" si="1"/>
        <v>0</v>
      </c>
      <c r="K34" s="373">
        <f t="shared" si="1"/>
        <v>0</v>
      </c>
      <c r="L34" s="373">
        <f t="shared" si="1"/>
        <v>0</v>
      </c>
      <c r="M34" s="373">
        <f t="shared" si="1"/>
        <v>0</v>
      </c>
      <c r="N34" s="373">
        <f t="shared" si="1"/>
        <v>0</v>
      </c>
      <c r="O34" s="761"/>
      <c r="P34" s="353"/>
      <c r="Q34" s="206"/>
      <c r="R34" s="207">
        <f>+H33</f>
        <v>0</v>
      </c>
      <c r="S34" s="205"/>
    </row>
    <row r="35" spans="1:35">
      <c r="A35" s="3"/>
      <c r="B35" s="3"/>
      <c r="C35" s="331">
        <f>+IF(AND(C30=$C$16,C33&lt;&gt;0),C34/C33,0)</f>
        <v>0</v>
      </c>
      <c r="D35" s="331">
        <f t="shared" ref="D35:N35" si="2">+IF(AND(D30=$C$16,D33&lt;&gt;0),D34/D33,0)</f>
        <v>1.0425624073082074</v>
      </c>
      <c r="E35" s="331">
        <f t="shared" si="2"/>
        <v>0</v>
      </c>
      <c r="F35" s="331">
        <f t="shared" si="2"/>
        <v>0</v>
      </c>
      <c r="G35" s="331">
        <f t="shared" si="2"/>
        <v>0</v>
      </c>
      <c r="H35" s="331">
        <f t="shared" si="2"/>
        <v>0</v>
      </c>
      <c r="I35" s="331">
        <f t="shared" si="2"/>
        <v>0</v>
      </c>
      <c r="J35" s="331">
        <f t="shared" si="2"/>
        <v>0</v>
      </c>
      <c r="K35" s="331">
        <f t="shared" si="2"/>
        <v>0</v>
      </c>
      <c r="L35" s="331">
        <f t="shared" si="2"/>
        <v>0</v>
      </c>
      <c r="M35" s="331">
        <f t="shared" si="2"/>
        <v>0</v>
      </c>
      <c r="N35" s="331">
        <f t="shared" si="2"/>
        <v>0</v>
      </c>
      <c r="O35" s="281"/>
      <c r="P35" s="208"/>
      <c r="Q35" s="209"/>
      <c r="R35" s="207">
        <f>+I33</f>
        <v>0</v>
      </c>
      <c r="S35" s="205"/>
    </row>
    <row r="36" spans="1:35" ht="18.75">
      <c r="A36" s="3"/>
      <c r="B36" s="90" t="s">
        <v>319</v>
      </c>
      <c r="C36" s="3"/>
      <c r="D36" s="3"/>
      <c r="E36" s="344"/>
      <c r="F36" s="3"/>
      <c r="G36" s="25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2" t="s">
        <v>320</v>
      </c>
      <c r="C38" s="383" t="str">
        <f>CONCATENATE("Bugetul Cumulativ (in ",'Introducerea datelor'!$D$26,")")</f>
        <v>Bugetul Cumulativ (in €)</v>
      </c>
      <c r="D38" s="384" t="str">
        <f>CONCATENATE("Cheltuielile Cumulative (in ",'Introducerea datelor'!$D$26,")")</f>
        <v>Cheltuielile Cumulative (in €)</v>
      </c>
      <c r="E38" s="268"/>
      <c r="F38" s="284"/>
      <c r="G38" s="3"/>
      <c r="H38" s="3"/>
      <c r="I38" s="3"/>
      <c r="J38" s="101"/>
      <c r="K38" s="42"/>
      <c r="N38"/>
      <c r="O38"/>
      <c r="AE38" s="20"/>
      <c r="AF38" s="36"/>
    </row>
    <row r="39" spans="1:35" ht="27.75" customHeight="1">
      <c r="A39" s="3"/>
      <c r="B39" s="385" t="s">
        <v>471</v>
      </c>
      <c r="C39" s="380">
        <f>13782.96+15881.72</f>
        <v>29664.68</v>
      </c>
      <c r="D39" s="386">
        <f>13143.08</f>
        <v>13143.08</v>
      </c>
      <c r="E39" s="282"/>
      <c r="F39" s="355"/>
      <c r="G39" s="356"/>
      <c r="H39" s="3"/>
      <c r="I39" s="3"/>
      <c r="J39" s="102"/>
      <c r="K39" s="43"/>
      <c r="N39"/>
      <c r="O39"/>
      <c r="AE39" s="20"/>
      <c r="AF39" s="36"/>
    </row>
    <row r="40" spans="1:35" ht="27.75" customHeight="1">
      <c r="A40" s="3"/>
      <c r="B40" s="456" t="s">
        <v>472</v>
      </c>
      <c r="C40" s="380">
        <f>173277.95+1103170.1</f>
        <v>1276448.05</v>
      </c>
      <c r="D40" s="386">
        <f>48825+533617.73</f>
        <v>582442.73</v>
      </c>
      <c r="E40" s="15"/>
      <c r="F40" s="355"/>
      <c r="G40" s="356"/>
      <c r="H40" s="3"/>
      <c r="I40" s="3"/>
      <c r="J40" s="3"/>
      <c r="K40" s="43"/>
      <c r="N40"/>
      <c r="O40"/>
      <c r="AE40" s="20"/>
      <c r="AF40" s="36"/>
    </row>
    <row r="41" spans="1:35" ht="30">
      <c r="A41" s="3"/>
      <c r="B41" s="385" t="s">
        <v>473</v>
      </c>
      <c r="C41" s="381">
        <f>12949.96+37099.96</f>
        <v>50049.919999999998</v>
      </c>
      <c r="D41" s="386">
        <f>6900+14591.16</f>
        <v>21491.16</v>
      </c>
      <c r="E41" s="15"/>
      <c r="F41" s="357"/>
      <c r="G41" s="3"/>
      <c r="H41" s="3"/>
      <c r="I41" s="3"/>
      <c r="J41" s="3"/>
      <c r="K41" s="43"/>
      <c r="N41"/>
      <c r="O41"/>
      <c r="AE41" s="20"/>
      <c r="AF41" s="36"/>
    </row>
    <row r="42" spans="1:35" ht="15" customHeight="1">
      <c r="A42" s="3"/>
      <c r="B42" s="385" t="s">
        <v>474</v>
      </c>
      <c r="C42" s="380">
        <f>73463.64+65051.62</f>
        <v>138515.26</v>
      </c>
      <c r="D42" s="386">
        <f>73305.48+76454.3</f>
        <v>149759.78</v>
      </c>
      <c r="E42" s="15"/>
      <c r="F42" s="354"/>
      <c r="G42" s="3"/>
      <c r="H42" s="3"/>
      <c r="I42" s="3"/>
      <c r="J42" s="3"/>
      <c r="K42" s="20"/>
      <c r="N42"/>
      <c r="O42"/>
      <c r="AE42" s="20"/>
      <c r="AF42" s="36"/>
    </row>
    <row r="43" spans="1:35" ht="15.75" customHeight="1">
      <c r="A43" s="3"/>
      <c r="B43" s="387" t="s">
        <v>475</v>
      </c>
      <c r="C43" s="381" t="s">
        <v>317</v>
      </c>
      <c r="D43" s="386">
        <f>119003.96+282559.77</f>
        <v>401563.73000000004</v>
      </c>
      <c r="E43" s="15"/>
      <c r="F43" s="283"/>
      <c r="G43" s="3"/>
      <c r="H43" s="3"/>
      <c r="I43" s="3"/>
      <c r="J43" s="3"/>
      <c r="K43" s="20"/>
      <c r="N43"/>
      <c r="O43"/>
      <c r="AE43" s="20"/>
      <c r="AF43" s="36"/>
    </row>
    <row r="44" spans="1:35">
      <c r="A44" s="3"/>
      <c r="B44" s="387"/>
      <c r="C44" s="381"/>
      <c r="D44" s="386"/>
      <c r="E44" s="15"/>
      <c r="F44" s="407"/>
      <c r="G44" s="3"/>
      <c r="H44" s="3"/>
      <c r="I44" s="3"/>
      <c r="J44" s="3"/>
      <c r="K44" s="20"/>
      <c r="N44"/>
      <c r="O44"/>
      <c r="AE44" s="20"/>
      <c r="AF44" s="36"/>
    </row>
    <row r="45" spans="1:35">
      <c r="A45" s="3"/>
      <c r="B45" s="387"/>
      <c r="C45" s="381"/>
      <c r="D45" s="386"/>
      <c r="E45" s="15"/>
      <c r="F45" s="283"/>
      <c r="G45" s="15"/>
      <c r="H45" s="15"/>
      <c r="I45" s="15"/>
      <c r="J45" s="15"/>
      <c r="K45" s="20"/>
      <c r="N45"/>
      <c r="O45"/>
      <c r="AE45" s="36"/>
      <c r="AF45" s="36"/>
    </row>
    <row r="46" spans="1:35" ht="15.75" thickBot="1">
      <c r="A46" s="3"/>
      <c r="B46" s="388"/>
      <c r="C46" s="380"/>
      <c r="D46" s="386"/>
      <c r="E46" s="15"/>
      <c r="F46" s="15"/>
      <c r="G46" s="15"/>
      <c r="H46" s="15"/>
      <c r="I46" s="15"/>
      <c r="J46" s="15"/>
      <c r="K46" s="20"/>
      <c r="N46"/>
      <c r="O46"/>
      <c r="AE46" s="36"/>
      <c r="AF46" s="36"/>
    </row>
    <row r="47" spans="1:35" ht="15.75" thickBot="1">
      <c r="A47" s="3"/>
      <c r="B47" s="389" t="s">
        <v>43</v>
      </c>
      <c r="C47" s="390">
        <f>SUM(C39:C46)</f>
        <v>1494677.91</v>
      </c>
      <c r="D47" s="391">
        <f>SUM(D39:D46)</f>
        <v>1168400.48</v>
      </c>
      <c r="E47" s="281"/>
      <c r="F47" s="764" t="str">
        <f ca="1">+IF((ROUND(C47,0)=ROUND(OFFSET(B33,0,RIGHT('Introducerea datelor'!$C$16,LEN('Introducerea datelor'!$C$16)-1),1,1),0)),"OK: Datele coincid","Atentie: Datele nu coincid")</f>
        <v>OK: Datele coincid</v>
      </c>
      <c r="G47" s="765"/>
      <c r="H47" s="765"/>
      <c r="I47" s="766"/>
      <c r="J47" s="199"/>
      <c r="K47" s="199"/>
      <c r="L47" s="199"/>
      <c r="M47" s="208"/>
      <c r="N47" s="209"/>
      <c r="O47" s="207"/>
      <c r="P47" s="205"/>
      <c r="AE47" s="36"/>
      <c r="AF47" s="36"/>
    </row>
    <row r="48" spans="1:35">
      <c r="A48" s="3"/>
      <c r="B48" s="3"/>
      <c r="C48" s="199"/>
      <c r="D48" s="199"/>
      <c r="E48" s="265"/>
      <c r="F48" s="199"/>
      <c r="G48" s="199"/>
      <c r="H48" s="199"/>
      <c r="I48" s="199"/>
      <c r="J48" s="199"/>
      <c r="K48" s="199"/>
      <c r="L48" s="199"/>
      <c r="M48" s="199"/>
      <c r="N48" s="199"/>
      <c r="O48" s="199"/>
      <c r="P48" s="208"/>
      <c r="Q48" s="209"/>
      <c r="R48" s="207"/>
      <c r="S48" s="205"/>
    </row>
    <row r="49" spans="1:35" ht="18.75">
      <c r="A49" s="3"/>
      <c r="B49" s="90" t="s">
        <v>321</v>
      </c>
      <c r="C49" s="3"/>
      <c r="D49" s="3"/>
      <c r="E49" s="3"/>
      <c r="F49" s="3"/>
      <c r="G49" s="3"/>
      <c r="H49" s="3"/>
      <c r="I49" s="3"/>
      <c r="J49" s="3"/>
      <c r="K49" s="3"/>
      <c r="L49" s="3"/>
      <c r="M49" s="3"/>
      <c r="P49" s="205"/>
      <c r="Q49" s="206"/>
      <c r="R49" s="207">
        <f>+J33</f>
        <v>0</v>
      </c>
      <c r="S49" s="205"/>
    </row>
    <row r="50" spans="1:35" ht="15.75" thickBot="1">
      <c r="A50" s="3"/>
      <c r="B50" s="3"/>
      <c r="C50" s="3"/>
      <c r="D50" s="3"/>
      <c r="E50" s="3"/>
      <c r="F50" s="3"/>
      <c r="G50" s="3"/>
      <c r="H50" s="3"/>
      <c r="I50" s="3"/>
      <c r="J50" s="3"/>
      <c r="K50" s="3"/>
      <c r="L50" s="3"/>
      <c r="M50" s="3"/>
      <c r="P50" s="205"/>
      <c r="Q50" s="206"/>
      <c r="R50" s="207">
        <f>+K33</f>
        <v>0</v>
      </c>
      <c r="S50" s="205"/>
    </row>
    <row r="51" spans="1:35" ht="35.25" customHeight="1">
      <c r="A51" s="3"/>
      <c r="B51" s="287"/>
      <c r="C51" s="288" t="s">
        <v>322</v>
      </c>
      <c r="D51" s="288" t="s">
        <v>323</v>
      </c>
      <c r="E51" s="405" t="str">
        <f>CONCATENATE("Total Cheltuit și debursat (in ",D26,")")</f>
        <v>Total Cheltuit și debursat (in €)</v>
      </c>
      <c r="F51" s="3"/>
      <c r="G51" s="291"/>
      <c r="H51" s="284"/>
      <c r="I51" s="271"/>
      <c r="J51" s="271"/>
      <c r="K51" s="271"/>
      <c r="L51" s="271"/>
      <c r="M51" s="22"/>
      <c r="N51" s="22"/>
      <c r="O51" s="205"/>
      <c r="P51" s="206"/>
      <c r="Q51" s="207">
        <f>+M33</f>
        <v>0</v>
      </c>
      <c r="R51" s="205"/>
      <c r="AH51" s="20"/>
    </row>
    <row r="52" spans="1:35">
      <c r="A52" s="3"/>
      <c r="B52" s="285" t="s">
        <v>401</v>
      </c>
      <c r="C52" s="374">
        <v>1558295</v>
      </c>
      <c r="D52" s="375">
        <v>0</v>
      </c>
      <c r="E52" s="479">
        <f>+D52+C52</f>
        <v>1558295</v>
      </c>
      <c r="F52" s="3"/>
      <c r="G52" s="97"/>
      <c r="H52" s="289"/>
      <c r="I52" s="96"/>
      <c r="J52" s="202"/>
      <c r="K52" s="203"/>
      <c r="L52" s="98"/>
      <c r="M52" s="37"/>
      <c r="N52" s="37"/>
      <c r="O52" s="205"/>
      <c r="P52" s="205"/>
      <c r="Q52" s="205"/>
      <c r="R52" s="205"/>
      <c r="AH52" s="20"/>
    </row>
    <row r="53" spans="1:35">
      <c r="A53" s="3"/>
      <c r="B53" s="285" t="s">
        <v>402</v>
      </c>
      <c r="C53" s="374">
        <v>248034.44</v>
      </c>
      <c r="D53" s="374">
        <v>920366.04</v>
      </c>
      <c r="E53" s="479">
        <f>+D53+C53</f>
        <v>1168400.48</v>
      </c>
      <c r="F53" s="3"/>
      <c r="G53" s="250"/>
      <c r="H53" s="289"/>
      <c r="I53" s="96"/>
      <c r="J53" s="202"/>
      <c r="K53" s="202"/>
      <c r="L53" s="98"/>
      <c r="M53" s="38"/>
      <c r="N53" s="38"/>
      <c r="O53" s="205"/>
      <c r="P53" s="205"/>
      <c r="Q53" s="205"/>
      <c r="R53" s="205"/>
      <c r="AH53" s="20"/>
    </row>
    <row r="54" spans="1:35">
      <c r="A54" s="3"/>
      <c r="B54" s="285" t="s">
        <v>403</v>
      </c>
      <c r="C54" s="374">
        <v>0</v>
      </c>
      <c r="D54" s="374">
        <v>0</v>
      </c>
      <c r="E54" s="479">
        <f>+D54+C54</f>
        <v>0</v>
      </c>
      <c r="F54" s="3"/>
      <c r="G54" s="97"/>
      <c r="H54" s="289"/>
      <c r="I54" s="96"/>
      <c r="J54" s="202"/>
      <c r="K54" s="203"/>
      <c r="L54" s="98"/>
      <c r="M54" s="37"/>
      <c r="N54" s="37"/>
      <c r="O54"/>
      <c r="AH54" s="20"/>
    </row>
    <row r="55" spans="1:35" ht="15.75" thickBot="1">
      <c r="A55" s="3"/>
      <c r="B55" s="286" t="s">
        <v>404</v>
      </c>
      <c r="C55" s="376">
        <v>0</v>
      </c>
      <c r="D55" s="376">
        <v>0</v>
      </c>
      <c r="E55" s="480">
        <f>+D55+C55</f>
        <v>0</v>
      </c>
      <c r="F55" s="3"/>
      <c r="G55" s="251"/>
      <c r="H55" s="29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9"/>
      <c r="E57" s="3"/>
      <c r="F57" s="3"/>
      <c r="G57" s="3"/>
      <c r="H57" s="3"/>
      <c r="I57" s="3"/>
      <c r="J57" s="3"/>
      <c r="K57" s="3"/>
      <c r="L57" s="3"/>
      <c r="M57" s="3"/>
    </row>
    <row r="58" spans="1:35" ht="18.75">
      <c r="A58" s="3"/>
      <c r="B58" s="90" t="s">
        <v>324</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8" t="s">
        <v>325</v>
      </c>
      <c r="C60" s="699"/>
      <c r="D60" s="700"/>
      <c r="E60" s="3"/>
      <c r="F60" s="3"/>
      <c r="G60" s="3"/>
      <c r="H60" s="3"/>
      <c r="I60" s="3"/>
      <c r="J60" s="3"/>
      <c r="K60" s="3"/>
      <c r="L60" s="3"/>
      <c r="M60" s="36"/>
      <c r="O60"/>
    </row>
    <row r="61" spans="1:35">
      <c r="A61" s="3"/>
      <c r="B61" s="103"/>
      <c r="C61" s="293" t="s">
        <v>326</v>
      </c>
      <c r="D61" s="294" t="s">
        <v>327</v>
      </c>
      <c r="E61" s="3"/>
      <c r="F61" s="3"/>
      <c r="G61" s="3"/>
      <c r="H61" s="3"/>
      <c r="I61" s="3"/>
      <c r="J61" s="3"/>
      <c r="K61" s="3"/>
      <c r="L61" s="3"/>
      <c r="M61" s="36"/>
      <c r="O61"/>
    </row>
    <row r="62" spans="1:35">
      <c r="A62" s="3"/>
      <c r="B62" s="104" t="s">
        <v>328</v>
      </c>
      <c r="C62" s="358">
        <v>45</v>
      </c>
      <c r="D62" s="359">
        <v>45</v>
      </c>
      <c r="E62" s="3"/>
      <c r="F62" s="3"/>
      <c r="G62" s="3"/>
      <c r="H62" s="3"/>
      <c r="I62" s="3"/>
      <c r="J62" s="3"/>
      <c r="K62" s="3"/>
      <c r="L62" s="3"/>
      <c r="M62" s="36"/>
      <c r="O62"/>
    </row>
    <row r="63" spans="1:35">
      <c r="A63" s="3"/>
      <c r="B63" s="292" t="s">
        <v>329</v>
      </c>
      <c r="C63" s="358">
        <v>0</v>
      </c>
      <c r="D63" s="359">
        <v>0</v>
      </c>
      <c r="E63" s="3"/>
      <c r="F63" s="3"/>
      <c r="G63" s="3"/>
      <c r="H63" s="289"/>
      <c r="I63" s="289"/>
      <c r="J63" s="3"/>
      <c r="K63" s="3"/>
      <c r="L63" s="3"/>
      <c r="M63" s="36"/>
      <c r="O63"/>
    </row>
    <row r="64" spans="1:35" ht="15.75" thickBot="1">
      <c r="A64" s="3"/>
      <c r="B64" s="105" t="s">
        <v>330</v>
      </c>
      <c r="C64" s="360">
        <v>0</v>
      </c>
      <c r="D64" s="361">
        <v>0</v>
      </c>
      <c r="E64" s="3"/>
      <c r="F64" s="3"/>
      <c r="G64" s="3"/>
      <c r="H64" s="289"/>
      <c r="I64" s="28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331</v>
      </c>
      <c r="C67" s="107"/>
      <c r="D67" s="107"/>
      <c r="E67" s="107"/>
      <c r="F67" s="107"/>
      <c r="G67" s="107"/>
      <c r="H67" s="315" t="s">
        <v>332</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333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27"/>
      <c r="C71" s="728"/>
      <c r="D71" s="113" t="s">
        <v>334</v>
      </c>
      <c r="E71" s="114" t="s">
        <v>335</v>
      </c>
      <c r="F71" s="114" t="s">
        <v>336</v>
      </c>
      <c r="G71" s="115" t="s">
        <v>43</v>
      </c>
      <c r="H71" s="300"/>
      <c r="I71" s="301"/>
      <c r="J71" s="15"/>
      <c r="K71" s="2"/>
      <c r="L71" s="2"/>
      <c r="M71" s="2"/>
      <c r="N71" s="20"/>
      <c r="O71" s="19"/>
      <c r="P71" s="19"/>
      <c r="Q71" s="19"/>
      <c r="R71" s="19"/>
      <c r="S71" s="19"/>
    </row>
    <row r="72" spans="1:30">
      <c r="A72" s="3"/>
      <c r="B72" s="720" t="s">
        <v>337</v>
      </c>
      <c r="C72" s="721"/>
      <c r="D72" s="253"/>
      <c r="E72" s="253">
        <v>2</v>
      </c>
      <c r="F72" s="253"/>
      <c r="G72" s="117">
        <f>SUM(D72:F72)</f>
        <v>2</v>
      </c>
      <c r="H72" s="283"/>
      <c r="I72" s="299"/>
      <c r="J72" s="299"/>
      <c r="K72" s="2"/>
      <c r="L72" s="2"/>
      <c r="M72" s="2"/>
      <c r="N72" s="20"/>
      <c r="O72" s="19"/>
      <c r="P72" s="19"/>
      <c r="Q72" s="19"/>
      <c r="R72" s="19"/>
      <c r="S72" s="19"/>
    </row>
    <row r="73" spans="1:30" ht="15.75" thickBot="1">
      <c r="A73" s="3"/>
      <c r="B73" s="754" t="s">
        <v>338</v>
      </c>
      <c r="C73" s="755"/>
      <c r="D73" s="254"/>
      <c r="E73" s="254"/>
      <c r="F73" s="254">
        <v>1</v>
      </c>
      <c r="G73" s="117">
        <f>SUM(D73:F73)</f>
        <v>1</v>
      </c>
      <c r="H73" s="28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67" t="s">
        <v>339</v>
      </c>
      <c r="D78" s="467" t="s">
        <v>340</v>
      </c>
      <c r="E78" s="120" t="s">
        <v>341</v>
      </c>
      <c r="F78" s="15"/>
      <c r="G78" s="15"/>
      <c r="H78" s="15"/>
      <c r="I78" s="301"/>
      <c r="J78" s="2"/>
      <c r="K78" s="2"/>
      <c r="L78" s="2"/>
      <c r="M78" s="2"/>
      <c r="N78" s="19"/>
      <c r="O78" s="19"/>
      <c r="P78" s="19"/>
      <c r="S78" s="19"/>
    </row>
    <row r="79" spans="1:30" ht="15.75" thickBot="1">
      <c r="A79" s="3"/>
      <c r="B79" s="121" t="s">
        <v>439</v>
      </c>
      <c r="C79" s="345">
        <v>5</v>
      </c>
      <c r="D79" s="345">
        <v>5</v>
      </c>
      <c r="E79" s="346">
        <f>+C79-D79</f>
        <v>0</v>
      </c>
      <c r="F79" s="261"/>
      <c r="G79" s="266"/>
      <c r="H79" s="15"/>
      <c r="I79" s="299"/>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342</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9"/>
      <c r="C83" s="467" t="s">
        <v>344</v>
      </c>
      <c r="D83" s="467" t="s">
        <v>345</v>
      </c>
      <c r="E83" s="467" t="s">
        <v>346</v>
      </c>
      <c r="F83" s="147" t="s">
        <v>347</v>
      </c>
      <c r="G83" s="147" t="s">
        <v>348</v>
      </c>
      <c r="H83" s="267"/>
      <c r="I83" s="301"/>
      <c r="J83" s="2"/>
      <c r="K83" s="2"/>
      <c r="L83" s="2"/>
      <c r="M83" s="2"/>
      <c r="N83" s="19"/>
      <c r="O83" s="19"/>
      <c r="P83" s="19"/>
      <c r="S83" s="19"/>
    </row>
    <row r="84" spans="1:36" ht="15.75" thickBot="1">
      <c r="A84" s="3"/>
      <c r="B84" s="121" t="s">
        <v>92</v>
      </c>
      <c r="C84" s="345">
        <v>0</v>
      </c>
      <c r="D84" s="345">
        <v>0</v>
      </c>
      <c r="E84" s="345">
        <v>0</v>
      </c>
      <c r="F84" s="345">
        <v>0</v>
      </c>
      <c r="G84" s="347">
        <v>0</v>
      </c>
      <c r="H84" s="302"/>
      <c r="I84" s="283"/>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343</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349</v>
      </c>
      <c r="D88" s="122" t="s">
        <v>350</v>
      </c>
      <c r="E88" s="123" t="s">
        <v>351</v>
      </c>
      <c r="F88" s="2"/>
      <c r="G88" s="2"/>
      <c r="H88" s="2"/>
      <c r="I88" s="2"/>
      <c r="J88" s="19"/>
      <c r="K88" s="19"/>
      <c r="L88" s="19"/>
      <c r="N88"/>
      <c r="O88" s="19"/>
      <c r="AG88" s="36"/>
      <c r="AJ88"/>
    </row>
    <row r="89" spans="1:36">
      <c r="A89" s="3"/>
      <c r="B89" s="116" t="s">
        <v>291</v>
      </c>
      <c r="C89" s="253"/>
      <c r="D89" s="255"/>
      <c r="E89" s="303">
        <f>C89-D89</f>
        <v>0</v>
      </c>
      <c r="F89" s="15"/>
      <c r="G89" s="2"/>
      <c r="H89" s="2"/>
      <c r="I89" s="2"/>
      <c r="J89" s="19"/>
      <c r="K89" s="19"/>
      <c r="L89" s="19"/>
      <c r="N89"/>
      <c r="O89" s="19"/>
      <c r="AG89" s="36"/>
      <c r="AJ89"/>
    </row>
    <row r="90" spans="1:36" ht="15.75" thickBot="1">
      <c r="A90" s="3"/>
      <c r="B90" s="118" t="s">
        <v>292</v>
      </c>
      <c r="C90" s="254"/>
      <c r="D90" s="304"/>
      <c r="E90" s="443">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352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7"/>
      <c r="C94" s="377" t="s">
        <v>470</v>
      </c>
      <c r="D94" s="377" t="s">
        <v>76</v>
      </c>
      <c r="E94" s="377" t="s">
        <v>77</v>
      </c>
      <c r="F94" s="377" t="s">
        <v>78</v>
      </c>
      <c r="G94" s="377" t="s">
        <v>85</v>
      </c>
      <c r="H94" s="377" t="s">
        <v>86</v>
      </c>
      <c r="I94" s="362" t="s">
        <v>87</v>
      </c>
      <c r="J94" s="362" t="s">
        <v>88</v>
      </c>
      <c r="K94" s="362" t="s">
        <v>89</v>
      </c>
      <c r="L94" s="362" t="s">
        <v>90</v>
      </c>
      <c r="M94" s="362" t="s">
        <v>91</v>
      </c>
      <c r="N94" s="363" t="s">
        <v>246</v>
      </c>
      <c r="O94" s="20"/>
      <c r="P94" s="20"/>
      <c r="S94" s="19"/>
    </row>
    <row r="95" spans="1:36" ht="15" customHeight="1">
      <c r="A95" s="3"/>
      <c r="B95" s="365" t="s">
        <v>353</v>
      </c>
      <c r="C95" s="348">
        <v>104975.69</v>
      </c>
      <c r="D95" s="348">
        <v>1032573</v>
      </c>
      <c r="E95" s="348"/>
      <c r="F95" s="348"/>
      <c r="G95" s="348"/>
      <c r="H95" s="348"/>
      <c r="I95" s="348"/>
      <c r="J95" s="348"/>
      <c r="K95" s="348"/>
      <c r="L95" s="348"/>
      <c r="M95" s="348"/>
      <c r="N95" s="444"/>
      <c r="O95" s="20"/>
      <c r="P95" s="20"/>
      <c r="S95" s="19"/>
    </row>
    <row r="96" spans="1:36" ht="15" customHeight="1">
      <c r="A96" s="3"/>
      <c r="B96" s="365" t="s">
        <v>354</v>
      </c>
      <c r="C96" s="348">
        <v>120322.08</v>
      </c>
      <c r="D96" s="348">
        <v>16595.73</v>
      </c>
      <c r="E96" s="348"/>
      <c r="F96" s="348"/>
      <c r="G96" s="348"/>
      <c r="H96" s="348"/>
      <c r="I96" s="348"/>
      <c r="J96" s="348"/>
      <c r="K96" s="348"/>
      <c r="L96" s="348"/>
      <c r="M96" s="348"/>
      <c r="N96" s="444"/>
      <c r="O96" s="20"/>
      <c r="P96" s="20"/>
      <c r="S96" s="19"/>
    </row>
    <row r="97" spans="1:19" ht="15" customHeight="1">
      <c r="A97" s="3"/>
      <c r="B97" s="365" t="s">
        <v>355</v>
      </c>
      <c r="C97" s="348">
        <v>71447.17</v>
      </c>
      <c r="D97" s="348">
        <v>756687</v>
      </c>
      <c r="E97" s="348"/>
      <c r="F97" s="348"/>
      <c r="G97" s="348"/>
      <c r="H97" s="348"/>
      <c r="I97" s="348"/>
      <c r="J97" s="348"/>
      <c r="K97" s="348"/>
      <c r="L97" s="348"/>
      <c r="M97" s="348"/>
      <c r="N97" s="444"/>
      <c r="O97" s="20"/>
      <c r="P97" s="20"/>
      <c r="S97" s="19"/>
    </row>
    <row r="98" spans="1:19" ht="15" customHeight="1">
      <c r="A98" s="3"/>
      <c r="B98" s="306" t="s">
        <v>356</v>
      </c>
      <c r="C98" s="349">
        <f>+C95</f>
        <v>104975.69</v>
      </c>
      <c r="D98" s="349">
        <f t="shared" ref="D98:N98" si="3">+C98+D95</f>
        <v>1137548.69</v>
      </c>
      <c r="E98" s="349">
        <f>+D98+E95</f>
        <v>1137548.69</v>
      </c>
      <c r="F98" s="349">
        <f t="shared" si="3"/>
        <v>1137548.69</v>
      </c>
      <c r="G98" s="349">
        <f t="shared" si="3"/>
        <v>1137548.69</v>
      </c>
      <c r="H98" s="349">
        <f t="shared" si="3"/>
        <v>1137548.69</v>
      </c>
      <c r="I98" s="349">
        <f t="shared" si="3"/>
        <v>1137548.69</v>
      </c>
      <c r="J98" s="349">
        <f t="shared" si="3"/>
        <v>1137548.69</v>
      </c>
      <c r="K98" s="349">
        <f t="shared" si="3"/>
        <v>1137548.69</v>
      </c>
      <c r="L98" s="349">
        <f t="shared" si="3"/>
        <v>1137548.69</v>
      </c>
      <c r="M98" s="349">
        <f t="shared" si="3"/>
        <v>1137548.69</v>
      </c>
      <c r="N98" s="445">
        <f t="shared" si="3"/>
        <v>1137548.69</v>
      </c>
      <c r="O98" s="20"/>
      <c r="P98" s="20"/>
      <c r="S98" s="19"/>
    </row>
    <row r="99" spans="1:19" ht="15" customHeight="1">
      <c r="A99" s="3"/>
      <c r="B99" s="306" t="s">
        <v>357</v>
      </c>
      <c r="C99" s="349">
        <f>+C96</f>
        <v>120322.08</v>
      </c>
      <c r="D99" s="349">
        <f t="shared" ref="D99:N99" si="4">+C99+D96</f>
        <v>136917.81</v>
      </c>
      <c r="E99" s="349">
        <f>+D99+E96</f>
        <v>136917.81</v>
      </c>
      <c r="F99" s="349">
        <f t="shared" si="4"/>
        <v>136917.81</v>
      </c>
      <c r="G99" s="349">
        <f t="shared" si="4"/>
        <v>136917.81</v>
      </c>
      <c r="H99" s="349">
        <f t="shared" si="4"/>
        <v>136917.81</v>
      </c>
      <c r="I99" s="349">
        <f t="shared" si="4"/>
        <v>136917.81</v>
      </c>
      <c r="J99" s="349">
        <f t="shared" si="4"/>
        <v>136917.81</v>
      </c>
      <c r="K99" s="349">
        <f t="shared" si="4"/>
        <v>136917.81</v>
      </c>
      <c r="L99" s="349">
        <f t="shared" si="4"/>
        <v>136917.81</v>
      </c>
      <c r="M99" s="349">
        <f t="shared" si="4"/>
        <v>136917.81</v>
      </c>
      <c r="N99" s="445">
        <f t="shared" si="4"/>
        <v>136917.81</v>
      </c>
      <c r="O99" s="20"/>
      <c r="P99" s="20"/>
      <c r="S99" s="19"/>
    </row>
    <row r="100" spans="1:19" ht="15.75" thickBot="1">
      <c r="A100" s="3"/>
      <c r="B100" s="440" t="s">
        <v>358</v>
      </c>
      <c r="C100" s="441">
        <f>+C97</f>
        <v>71447.17</v>
      </c>
      <c r="D100" s="442">
        <f t="shared" ref="D100:N100" si="5">+C100+D97</f>
        <v>828134.17</v>
      </c>
      <c r="E100" s="442">
        <f>+D100+E97</f>
        <v>828134.17</v>
      </c>
      <c r="F100" s="442">
        <f t="shared" si="5"/>
        <v>828134.17</v>
      </c>
      <c r="G100" s="442">
        <f t="shared" si="5"/>
        <v>828134.17</v>
      </c>
      <c r="H100" s="442">
        <f t="shared" si="5"/>
        <v>828134.17</v>
      </c>
      <c r="I100" s="442">
        <f t="shared" si="5"/>
        <v>828134.17</v>
      </c>
      <c r="J100" s="442">
        <f t="shared" si="5"/>
        <v>828134.17</v>
      </c>
      <c r="K100" s="442">
        <f t="shared" si="5"/>
        <v>828134.17</v>
      </c>
      <c r="L100" s="442">
        <f t="shared" si="5"/>
        <v>828134.17</v>
      </c>
      <c r="M100" s="442">
        <f t="shared" si="5"/>
        <v>828134.17</v>
      </c>
      <c r="N100" s="446">
        <f t="shared" si="5"/>
        <v>828134.17</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523</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hidden="1">
      <c r="A105" s="3"/>
      <c r="B105" s="110" t="s">
        <v>359</v>
      </c>
      <c r="C105" s="3"/>
      <c r="D105" s="3"/>
      <c r="E105" s="3"/>
      <c r="F105" s="3"/>
      <c r="G105" s="3"/>
      <c r="H105" s="3"/>
      <c r="I105" s="15"/>
      <c r="J105" s="15"/>
      <c r="K105" s="15"/>
      <c r="L105" s="15"/>
      <c r="M105" s="15"/>
      <c r="N105" s="20"/>
      <c r="O105" s="20"/>
      <c r="P105" s="20"/>
    </row>
    <row r="106" spans="1:19" ht="15.75" hidden="1" thickBot="1">
      <c r="A106" s="3"/>
      <c r="B106" s="3"/>
      <c r="C106" s="15"/>
      <c r="D106" s="15"/>
      <c r="E106" s="15"/>
      <c r="F106" s="15"/>
      <c r="G106" s="2"/>
      <c r="H106" s="2"/>
      <c r="I106" s="2"/>
      <c r="J106" s="15"/>
      <c r="K106" s="2"/>
      <c r="L106" s="15"/>
      <c r="M106" s="15"/>
      <c r="N106" s="20"/>
      <c r="O106" s="20"/>
      <c r="P106" s="20"/>
      <c r="Q106" s="19"/>
      <c r="S106" s="20"/>
    </row>
    <row r="107" spans="1:19" ht="90.75" hidden="1" customHeight="1">
      <c r="A107" s="3"/>
      <c r="B107" s="307" t="s">
        <v>360</v>
      </c>
      <c r="C107" s="308" t="s">
        <v>361</v>
      </c>
      <c r="D107" s="310" t="s">
        <v>362</v>
      </c>
      <c r="E107" s="310" t="s">
        <v>363</v>
      </c>
      <c r="F107" s="309" t="s">
        <v>364</v>
      </c>
      <c r="G107" s="309" t="s">
        <v>365</v>
      </c>
      <c r="H107" s="310" t="s">
        <v>366</v>
      </c>
      <c r="I107" s="310" t="s">
        <v>367</v>
      </c>
      <c r="J107" s="310" t="s">
        <v>368</v>
      </c>
      <c r="K107" s="311" t="s">
        <v>369</v>
      </c>
      <c r="L107" s="2"/>
      <c r="M107" s="20"/>
      <c r="N107" s="20"/>
      <c r="O107" s="20"/>
      <c r="P107" s="19"/>
      <c r="R107" s="20"/>
    </row>
    <row r="108" spans="1:19" hidden="1">
      <c r="A108" s="3"/>
      <c r="B108" s="708" t="s">
        <v>289</v>
      </c>
      <c r="C108" s="393" t="s">
        <v>289</v>
      </c>
      <c r="D108" s="394"/>
      <c r="E108" s="395" t="str">
        <f>IF(ISBLANK(D108),"",D108*30)</f>
        <v/>
      </c>
      <c r="F108" s="350"/>
      <c r="G108" s="351" t="str">
        <f>IF(AND(E108&gt;0,F108&gt;0),(F108*E108),"")</f>
        <v/>
      </c>
      <c r="H108" s="350"/>
      <c r="I108" s="408" t="str">
        <f>IF(AND(G108&gt;0,H108&gt;0),H108/G108,"")</f>
        <v/>
      </c>
      <c r="J108" s="396"/>
      <c r="K108" s="447" t="str">
        <f>IF(AND(I108&gt;0,J108&gt;0),I108-J108,"")</f>
        <v/>
      </c>
      <c r="L108" s="2"/>
      <c r="M108" s="20"/>
      <c r="N108" s="20"/>
      <c r="O108" s="20"/>
      <c r="P108" s="19"/>
      <c r="R108" s="20"/>
    </row>
    <row r="109" spans="1:19" hidden="1">
      <c r="A109" s="3"/>
      <c r="B109" s="709"/>
      <c r="C109" s="393" t="s">
        <v>289</v>
      </c>
      <c r="D109" s="394"/>
      <c r="E109" s="395" t="str">
        <f>IF(ISBLANK(D109),"",D109*30)</f>
        <v/>
      </c>
      <c r="F109" s="350"/>
      <c r="G109" s="351" t="str">
        <f>IF(AND(E109&gt;0,F109&gt;0),(F109*E109),"")</f>
        <v/>
      </c>
      <c r="H109" s="350"/>
      <c r="I109" s="408" t="str">
        <f>IF(AND(G109&gt;0,H109&gt;0),H109/G109,"")</f>
        <v/>
      </c>
      <c r="J109" s="396"/>
      <c r="K109" s="447" t="str">
        <f>IF(AND(I109&gt;0,J109&gt;0),I109-J109,"")</f>
        <v/>
      </c>
      <c r="L109" s="2"/>
      <c r="M109" s="20"/>
      <c r="N109" s="20"/>
      <c r="O109" s="20"/>
      <c r="P109" s="19"/>
    </row>
    <row r="110" spans="1:19" hidden="1">
      <c r="A110" s="3"/>
      <c r="B110" s="709"/>
      <c r="C110" s="393" t="s">
        <v>289</v>
      </c>
      <c r="D110" s="394"/>
      <c r="E110" s="395" t="str">
        <f>IF(ISBLANK(D110),"",D110*30)</f>
        <v/>
      </c>
      <c r="F110" s="350"/>
      <c r="G110" s="351" t="str">
        <f>IF(AND(E110&gt;0,F110&gt;0),(F110*E110),"")</f>
        <v/>
      </c>
      <c r="H110" s="350"/>
      <c r="I110" s="408" t="str">
        <f>IF(AND(G110&gt;0,H110&gt;0),H110/G110,"")</f>
        <v/>
      </c>
      <c r="J110" s="396"/>
      <c r="K110" s="447" t="str">
        <f>IF(AND(I110&gt;0,J110&gt;0),I110-J110,"")</f>
        <v/>
      </c>
      <c r="L110" s="2"/>
      <c r="M110" s="20"/>
      <c r="N110" s="20"/>
      <c r="O110" s="20"/>
      <c r="P110" s="19"/>
      <c r="R110" s="20"/>
    </row>
    <row r="111" spans="1:19" ht="15.75" hidden="1" thickBot="1">
      <c r="A111" s="3"/>
      <c r="B111" s="710"/>
      <c r="C111" s="397" t="s">
        <v>289</v>
      </c>
      <c r="D111" s="398"/>
      <c r="E111" s="437" t="str">
        <f>IF(ISBLANK(D111),"",D111*30)</f>
        <v/>
      </c>
      <c r="F111" s="352"/>
      <c r="G111" s="438" t="str">
        <f>IF(AND(E111&gt;0,F111&gt;0),(F111*E111),"")</f>
        <v/>
      </c>
      <c r="H111" s="352"/>
      <c r="I111" s="439" t="str">
        <f>IF(AND(G111&gt;0,H111&gt;0),H111/G111,"")</f>
        <v/>
      </c>
      <c r="J111" s="399"/>
      <c r="K111" s="448"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37" t="s">
        <v>370</v>
      </c>
      <c r="C114" s="127"/>
      <c r="D114" s="127"/>
      <c r="E114" s="128"/>
      <c r="F114" s="128"/>
      <c r="G114" s="128"/>
      <c r="H114" s="248"/>
      <c r="I114" s="238"/>
      <c r="J114" s="327"/>
      <c r="K114" s="328" t="s">
        <v>288</v>
      </c>
      <c r="L114" s="128"/>
      <c r="M114" s="329"/>
      <c r="N114" s="330"/>
      <c r="O114" s="330"/>
      <c r="P114" s="400"/>
      <c r="Q114" s="36"/>
    </row>
    <row r="115" spans="1:20" ht="15.75" thickBot="1">
      <c r="A115" s="3"/>
      <c r="B115" s="3"/>
      <c r="C115" s="3"/>
      <c r="D115" s="3"/>
      <c r="E115" s="3"/>
      <c r="F115" s="3"/>
      <c r="G115" s="3"/>
      <c r="H115" s="3"/>
      <c r="I115" s="3"/>
      <c r="J115" s="3"/>
      <c r="K115" s="3"/>
      <c r="L115" s="3"/>
      <c r="M115" s="3"/>
      <c r="N115"/>
      <c r="O115"/>
      <c r="P115" s="36"/>
      <c r="Q115" s="36"/>
    </row>
    <row r="116" spans="1:20" ht="38.25">
      <c r="A116" s="3"/>
      <c r="B116" s="756" t="s">
        <v>371</v>
      </c>
      <c r="C116" s="757"/>
      <c r="D116" s="758"/>
      <c r="E116" s="314" t="s">
        <v>310</v>
      </c>
      <c r="F116" s="469" t="s">
        <v>454</v>
      </c>
      <c r="G116" s="242"/>
      <c r="H116" s="516" t="s">
        <v>448</v>
      </c>
      <c r="I116" s="516" t="s">
        <v>449</v>
      </c>
      <c r="J116" s="516" t="s">
        <v>450</v>
      </c>
      <c r="K116" s="516" t="s">
        <v>451</v>
      </c>
      <c r="L116" s="516" t="s">
        <v>452</v>
      </c>
      <c r="M116" s="531" t="s">
        <v>453</v>
      </c>
      <c r="N116" s="519"/>
      <c r="O116" s="519"/>
      <c r="P116" s="519"/>
      <c r="Q116" s="519"/>
      <c r="R116" s="519"/>
      <c r="S116" s="519"/>
      <c r="T116" s="64"/>
    </row>
    <row r="117" spans="1:20" ht="1.5" customHeight="1">
      <c r="A117" s="3"/>
      <c r="B117" s="424"/>
      <c r="C117" s="425"/>
      <c r="D117" s="425"/>
      <c r="E117" s="426"/>
      <c r="F117" s="427"/>
      <c r="G117" s="428"/>
      <c r="H117" s="429"/>
      <c r="I117" s="429"/>
      <c r="J117" s="429"/>
      <c r="K117" s="429"/>
      <c r="L117" s="429"/>
      <c r="M117" s="532"/>
      <c r="N117" s="519"/>
      <c r="O117" s="519"/>
      <c r="P117" s="519"/>
      <c r="Q117" s="519"/>
      <c r="R117" s="519"/>
      <c r="S117" s="519"/>
      <c r="T117" s="64"/>
    </row>
    <row r="118" spans="1:20" ht="27.75" customHeight="1">
      <c r="A118" s="688" t="s">
        <v>290</v>
      </c>
      <c r="B118" s="692" t="s">
        <v>413</v>
      </c>
      <c r="C118" s="693"/>
      <c r="D118" s="694"/>
      <c r="E118" s="762" t="s">
        <v>441</v>
      </c>
      <c r="F118" s="706" t="s">
        <v>442</v>
      </c>
      <c r="G118" s="488" t="s">
        <v>308</v>
      </c>
      <c r="H118" s="450"/>
      <c r="I118" s="552">
        <v>0.83</v>
      </c>
      <c r="J118" s="450"/>
      <c r="K118" s="552">
        <v>0.84</v>
      </c>
      <c r="L118" s="450"/>
      <c r="M118" s="450" t="s">
        <v>456</v>
      </c>
      <c r="N118" s="520"/>
      <c r="O118" s="521"/>
      <c r="P118" s="522"/>
      <c r="Q118" s="521"/>
      <c r="R118" s="520"/>
      <c r="S118" s="520"/>
      <c r="T118" s="64"/>
    </row>
    <row r="119" spans="1:20" ht="27.75" customHeight="1">
      <c r="A119" s="688"/>
      <c r="B119" s="695"/>
      <c r="C119" s="696"/>
      <c r="D119" s="697"/>
      <c r="E119" s="763"/>
      <c r="F119" s="707"/>
      <c r="G119" s="488" t="s">
        <v>309</v>
      </c>
      <c r="H119" s="475"/>
      <c r="I119" s="514">
        <v>0.84</v>
      </c>
      <c r="J119" s="450"/>
      <c r="K119" s="477"/>
      <c r="L119" s="475"/>
      <c r="M119" s="475"/>
      <c r="N119" s="523"/>
      <c r="O119" s="521"/>
      <c r="P119" s="522"/>
      <c r="Q119" s="524"/>
      <c r="R119" s="520"/>
      <c r="S119" s="520"/>
      <c r="T119" s="64"/>
    </row>
    <row r="120" spans="1:20" ht="27" customHeight="1">
      <c r="A120" s="688"/>
      <c r="B120" s="703" t="s">
        <v>412</v>
      </c>
      <c r="C120" s="704"/>
      <c r="D120" s="705"/>
      <c r="E120" s="711" t="s">
        <v>440</v>
      </c>
      <c r="F120" s="701" t="s">
        <v>442</v>
      </c>
      <c r="G120" s="465" t="s">
        <v>308</v>
      </c>
      <c r="H120" s="553">
        <v>0.95</v>
      </c>
      <c r="I120" s="553">
        <v>0.95</v>
      </c>
      <c r="J120" s="553">
        <v>0.95</v>
      </c>
      <c r="K120" s="553">
        <v>0.95</v>
      </c>
      <c r="L120" s="553">
        <v>0.95</v>
      </c>
      <c r="M120" s="553">
        <v>0.95</v>
      </c>
      <c r="N120" s="520"/>
      <c r="O120" s="521"/>
      <c r="P120" s="520"/>
      <c r="Q120" s="521"/>
      <c r="R120" s="520"/>
      <c r="S120" s="520"/>
      <c r="T120" s="64"/>
    </row>
    <row r="121" spans="1:20" ht="27" customHeight="1">
      <c r="A121" s="688"/>
      <c r="B121" s="703"/>
      <c r="C121" s="704"/>
      <c r="D121" s="705"/>
      <c r="E121" s="711"/>
      <c r="F121" s="702"/>
      <c r="G121" s="465" t="s">
        <v>309</v>
      </c>
      <c r="H121" s="554">
        <v>0.91</v>
      </c>
      <c r="I121" s="554">
        <v>0.97</v>
      </c>
      <c r="J121" s="554"/>
      <c r="K121" s="554"/>
      <c r="L121" s="554"/>
      <c r="M121" s="554"/>
      <c r="N121" s="525"/>
      <c r="O121" s="524"/>
      <c r="P121" s="520"/>
      <c r="Q121" s="524"/>
      <c r="R121" s="520"/>
      <c r="S121" s="520"/>
      <c r="T121" s="64"/>
    </row>
    <row r="122" spans="1:20" ht="27" customHeight="1">
      <c r="A122" s="688"/>
      <c r="B122" s="712" t="s">
        <v>463</v>
      </c>
      <c r="C122" s="713"/>
      <c r="D122" s="714"/>
      <c r="E122" s="750" t="s">
        <v>464</v>
      </c>
      <c r="F122" s="751" t="s">
        <v>442</v>
      </c>
      <c r="G122" s="465" t="s">
        <v>308</v>
      </c>
      <c r="H122" s="536">
        <v>0.9</v>
      </c>
      <c r="I122" s="536">
        <v>0.9</v>
      </c>
      <c r="J122" s="536">
        <v>0.9</v>
      </c>
      <c r="K122" s="536">
        <v>0.9</v>
      </c>
      <c r="L122" s="536">
        <v>0.9</v>
      </c>
      <c r="M122" s="536">
        <v>0.9</v>
      </c>
      <c r="N122" s="525"/>
      <c r="O122" s="524"/>
      <c r="P122" s="520"/>
      <c r="Q122" s="524"/>
      <c r="R122" s="520"/>
      <c r="S122" s="520"/>
      <c r="T122" s="64"/>
    </row>
    <row r="123" spans="1:20" ht="27" customHeight="1">
      <c r="A123" s="688"/>
      <c r="B123" s="715"/>
      <c r="C123" s="713"/>
      <c r="D123" s="714"/>
      <c r="E123" s="750"/>
      <c r="F123" s="751"/>
      <c r="G123" s="465" t="s">
        <v>309</v>
      </c>
      <c r="H123" s="514">
        <v>0.99050000000000005</v>
      </c>
      <c r="I123" s="514">
        <v>1</v>
      </c>
      <c r="J123" s="475"/>
      <c r="K123" s="477"/>
      <c r="L123" s="481"/>
      <c r="M123" s="475"/>
      <c r="N123" s="525"/>
      <c r="O123" s="524"/>
      <c r="P123" s="520"/>
      <c r="Q123" s="524"/>
      <c r="R123" s="520"/>
      <c r="S123" s="520"/>
      <c r="T123" s="64"/>
    </row>
    <row r="124" spans="1:20" s="490" customFormat="1" ht="27" customHeight="1">
      <c r="A124" s="688"/>
      <c r="B124" s="703" t="s">
        <v>443</v>
      </c>
      <c r="C124" s="704"/>
      <c r="D124" s="705"/>
      <c r="E124" s="711" t="s">
        <v>444</v>
      </c>
      <c r="F124" s="701" t="s">
        <v>442</v>
      </c>
      <c r="G124" s="488" t="s">
        <v>308</v>
      </c>
      <c r="H124" s="454"/>
      <c r="I124" s="512">
        <v>0.27</v>
      </c>
      <c r="J124" s="454"/>
      <c r="K124" s="512">
        <v>0.3</v>
      </c>
      <c r="L124" s="453"/>
      <c r="M124" s="512">
        <v>0.33</v>
      </c>
      <c r="N124" s="525"/>
      <c r="O124" s="525"/>
      <c r="P124" s="525"/>
      <c r="Q124" s="525"/>
      <c r="R124" s="525"/>
      <c r="S124" s="525"/>
      <c r="T124" s="489"/>
    </row>
    <row r="125" spans="1:20" s="490" customFormat="1" ht="27" customHeight="1">
      <c r="A125" s="688"/>
      <c r="B125" s="703"/>
      <c r="C125" s="704"/>
      <c r="D125" s="705"/>
      <c r="E125" s="711"/>
      <c r="F125" s="702"/>
      <c r="G125" s="488" t="s">
        <v>309</v>
      </c>
      <c r="H125" s="454"/>
      <c r="I125" s="513">
        <v>0.21</v>
      </c>
      <c r="J125" s="473"/>
      <c r="K125" s="513"/>
      <c r="L125" s="473"/>
      <c r="M125" s="513"/>
      <c r="N125" s="526"/>
      <c r="O125" s="526"/>
      <c r="P125" s="526"/>
      <c r="Q125" s="526"/>
      <c r="R125" s="525"/>
      <c r="S125" s="525"/>
      <c r="T125" s="489"/>
    </row>
    <row r="126" spans="1:20" ht="27" customHeight="1">
      <c r="A126" s="483"/>
      <c r="B126" s="712" t="s">
        <v>445</v>
      </c>
      <c r="C126" s="713"/>
      <c r="D126" s="714"/>
      <c r="E126" s="750" t="s">
        <v>446</v>
      </c>
      <c r="F126" s="751" t="s">
        <v>442</v>
      </c>
      <c r="G126" s="465" t="s">
        <v>308</v>
      </c>
      <c r="H126" s="450"/>
      <c r="I126" s="536" t="s">
        <v>457</v>
      </c>
      <c r="J126" s="450"/>
      <c r="K126" s="536" t="s">
        <v>458</v>
      </c>
      <c r="L126" s="450"/>
      <c r="M126" s="536" t="s">
        <v>459</v>
      </c>
      <c r="N126" s="520"/>
      <c r="O126" s="527"/>
      <c r="P126" s="520"/>
      <c r="Q126" s="520"/>
      <c r="R126" s="520"/>
      <c r="S126" s="520"/>
      <c r="T126" s="64"/>
    </row>
    <row r="127" spans="1:20" ht="27" customHeight="1">
      <c r="A127" s="483"/>
      <c r="B127" s="715"/>
      <c r="C127" s="713"/>
      <c r="D127" s="714"/>
      <c r="E127" s="750"/>
      <c r="F127" s="751"/>
      <c r="G127" s="465" t="s">
        <v>309</v>
      </c>
      <c r="H127" s="475"/>
      <c r="I127" s="514">
        <v>0.29399999999999998</v>
      </c>
      <c r="J127" s="475"/>
      <c r="K127" s="477"/>
      <c r="L127" s="481"/>
      <c r="M127" s="475"/>
      <c r="N127" s="525"/>
      <c r="O127" s="528"/>
      <c r="P127" s="520"/>
      <c r="Q127" s="523"/>
      <c r="R127" s="520"/>
      <c r="S127" s="520"/>
      <c r="T127" s="64"/>
    </row>
    <row r="128" spans="1:20" ht="27" customHeight="1">
      <c r="A128" s="3"/>
      <c r="B128" s="703" t="s">
        <v>455</v>
      </c>
      <c r="C128" s="704"/>
      <c r="D128" s="705"/>
      <c r="E128" s="711" t="s">
        <v>447</v>
      </c>
      <c r="F128" s="701" t="s">
        <v>442</v>
      </c>
      <c r="G128" s="488" t="s">
        <v>308</v>
      </c>
      <c r="H128" s="454"/>
      <c r="I128" s="512" t="s">
        <v>460</v>
      </c>
      <c r="J128" s="454"/>
      <c r="K128" s="512" t="s">
        <v>461</v>
      </c>
      <c r="L128" s="453"/>
      <c r="M128" s="512" t="s">
        <v>462</v>
      </c>
      <c r="N128" s="529"/>
      <c r="O128" s="529"/>
      <c r="P128" s="529"/>
      <c r="Q128" s="529"/>
      <c r="R128" s="520"/>
      <c r="S128" s="520"/>
      <c r="T128" s="64"/>
    </row>
    <row r="129" spans="1:21" ht="27" customHeight="1">
      <c r="A129" s="3"/>
      <c r="B129" s="703"/>
      <c r="C129" s="704"/>
      <c r="D129" s="705"/>
      <c r="E129" s="711"/>
      <c r="F129" s="702"/>
      <c r="G129" s="488" t="s">
        <v>309</v>
      </c>
      <c r="H129" s="454"/>
      <c r="I129" s="513">
        <v>0.79400000000000004</v>
      </c>
      <c r="J129" s="473"/>
      <c r="K129" s="513"/>
      <c r="L129" s="473"/>
      <c r="M129" s="513"/>
      <c r="N129" s="530"/>
      <c r="O129" s="530"/>
      <c r="P129" s="530"/>
      <c r="Q129" s="530"/>
      <c r="R129" s="520"/>
      <c r="S129" s="520"/>
      <c r="T129" s="64"/>
    </row>
    <row r="130" spans="1:21" ht="24" hidden="1" customHeight="1">
      <c r="A130" s="3"/>
      <c r="B130" s="703"/>
      <c r="C130" s="704"/>
      <c r="D130" s="705"/>
      <c r="E130" s="711"/>
      <c r="F130" s="701"/>
      <c r="G130" s="488"/>
      <c r="H130" s="454"/>
      <c r="I130" s="454"/>
      <c r="J130" s="454"/>
      <c r="K130" s="453"/>
      <c r="L130" s="454"/>
      <c r="M130" s="454"/>
      <c r="N130" s="517"/>
      <c r="O130" s="517"/>
      <c r="P130" s="517"/>
      <c r="Q130" s="517"/>
      <c r="R130" s="517"/>
      <c r="S130" s="518"/>
      <c r="T130" s="64"/>
    </row>
    <row r="131" spans="1:21" ht="24" hidden="1" customHeight="1">
      <c r="A131" s="3"/>
      <c r="B131" s="703"/>
      <c r="C131" s="704"/>
      <c r="D131" s="705"/>
      <c r="E131" s="711"/>
      <c r="F131" s="702"/>
      <c r="G131" s="488"/>
      <c r="H131" s="473"/>
      <c r="I131" s="473"/>
      <c r="J131" s="473"/>
      <c r="K131" s="476"/>
      <c r="L131" s="473"/>
      <c r="M131" s="473"/>
      <c r="N131" s="482"/>
      <c r="O131" s="482"/>
      <c r="P131" s="482"/>
      <c r="Q131" s="482"/>
      <c r="R131" s="239"/>
      <c r="S131" s="312"/>
      <c r="T131" s="64"/>
    </row>
    <row r="132" spans="1:21" ht="24" hidden="1" customHeight="1">
      <c r="A132" s="3"/>
      <c r="B132" s="715"/>
      <c r="C132" s="713"/>
      <c r="D132" s="714"/>
      <c r="E132" s="777"/>
      <c r="F132" s="706"/>
      <c r="G132" s="488"/>
      <c r="H132" s="450"/>
      <c r="I132" s="450"/>
      <c r="J132" s="450"/>
      <c r="K132" s="455"/>
      <c r="L132" s="450"/>
      <c r="M132" s="450"/>
      <c r="N132" s="506"/>
      <c r="O132" s="506"/>
      <c r="P132" s="506"/>
      <c r="Q132" s="506"/>
      <c r="R132" s="434"/>
      <c r="S132" s="435"/>
      <c r="T132" s="64"/>
    </row>
    <row r="133" spans="1:21" ht="24" hidden="1" customHeight="1">
      <c r="A133" s="3"/>
      <c r="B133" s="715"/>
      <c r="C133" s="713"/>
      <c r="D133" s="714"/>
      <c r="E133" s="777"/>
      <c r="F133" s="707"/>
      <c r="G133" s="488"/>
      <c r="H133" s="475"/>
      <c r="I133" s="475"/>
      <c r="J133" s="475"/>
      <c r="K133" s="477"/>
      <c r="L133" s="475"/>
      <c r="M133" s="475"/>
      <c r="N133" s="507"/>
      <c r="O133" s="507"/>
      <c r="P133" s="507"/>
      <c r="Q133" s="507"/>
      <c r="R133" s="434"/>
      <c r="S133" s="435"/>
      <c r="T133" s="64"/>
    </row>
    <row r="134" spans="1:21" ht="24" hidden="1" customHeight="1">
      <c r="A134" s="3"/>
      <c r="B134" s="703"/>
      <c r="C134" s="704"/>
      <c r="D134" s="705"/>
      <c r="E134" s="711"/>
      <c r="F134" s="701"/>
      <c r="G134" s="488"/>
      <c r="H134" s="454"/>
      <c r="I134" s="454"/>
      <c r="J134" s="454"/>
      <c r="K134" s="453"/>
      <c r="L134" s="454"/>
      <c r="M134" s="454"/>
      <c r="N134" s="508"/>
      <c r="O134" s="508"/>
      <c r="P134" s="508"/>
      <c r="Q134" s="508"/>
      <c r="R134" s="313"/>
      <c r="S134" s="436"/>
      <c r="T134" s="64"/>
    </row>
    <row r="135" spans="1:21" ht="24" hidden="1" customHeight="1">
      <c r="A135" s="3"/>
      <c r="B135" s="703"/>
      <c r="C135" s="704"/>
      <c r="D135" s="705"/>
      <c r="E135" s="711"/>
      <c r="F135" s="702"/>
      <c r="G135" s="488"/>
      <c r="H135" s="473"/>
      <c r="I135" s="473"/>
      <c r="J135" s="473"/>
      <c r="K135" s="476"/>
      <c r="L135" s="473"/>
      <c r="M135" s="473"/>
      <c r="N135" s="509"/>
      <c r="O135" s="509"/>
      <c r="P135" s="510"/>
      <c r="Q135" s="510"/>
      <c r="R135" s="313"/>
      <c r="S135" s="436"/>
      <c r="T135" s="64"/>
    </row>
    <row r="136" spans="1:21" ht="24" hidden="1" customHeight="1">
      <c r="A136" s="3"/>
      <c r="B136" s="715"/>
      <c r="C136" s="713"/>
      <c r="D136" s="714"/>
      <c r="E136" s="750"/>
      <c r="F136" s="687"/>
      <c r="G136" s="488"/>
      <c r="H136" s="450"/>
      <c r="I136" s="450"/>
      <c r="J136" s="450"/>
      <c r="K136" s="466"/>
      <c r="L136" s="455"/>
      <c r="M136" s="455"/>
      <c r="N136" s="434"/>
      <c r="O136" s="434"/>
      <c r="P136" s="434"/>
      <c r="Q136" s="434"/>
      <c r="R136" s="434"/>
      <c r="S136" s="435"/>
      <c r="T136" s="64"/>
    </row>
    <row r="137" spans="1:21" ht="24" hidden="1" customHeight="1">
      <c r="A137" s="3"/>
      <c r="B137" s="715"/>
      <c r="C137" s="713"/>
      <c r="D137" s="714"/>
      <c r="E137" s="750"/>
      <c r="F137" s="687"/>
      <c r="G137" s="488"/>
      <c r="H137" s="450"/>
      <c r="I137" s="474"/>
      <c r="J137" s="450"/>
      <c r="K137" s="478"/>
      <c r="L137" s="475"/>
      <c r="M137" s="475"/>
      <c r="N137" s="434"/>
      <c r="O137" s="434"/>
      <c r="P137" s="434"/>
      <c r="Q137" s="434"/>
      <c r="R137" s="434"/>
      <c r="S137" s="435"/>
      <c r="T137" s="64"/>
    </row>
    <row r="138" spans="1:21" ht="24" hidden="1" customHeight="1">
      <c r="A138" s="3"/>
      <c r="B138" s="703"/>
      <c r="C138" s="704"/>
      <c r="D138" s="705"/>
      <c r="E138" s="711"/>
      <c r="F138" s="701"/>
      <c r="G138" s="488"/>
      <c r="H138" s="454"/>
      <c r="I138" s="454"/>
      <c r="J138" s="454"/>
      <c r="K138" s="453"/>
      <c r="L138" s="454"/>
      <c r="M138" s="454"/>
      <c r="N138" s="313"/>
      <c r="O138" s="313"/>
      <c r="P138" s="313"/>
      <c r="Q138" s="313"/>
      <c r="R138" s="313"/>
      <c r="S138" s="436"/>
      <c r="T138" s="64"/>
    </row>
    <row r="139" spans="1:21" ht="24" hidden="1" customHeight="1">
      <c r="A139" s="3"/>
      <c r="B139" s="703"/>
      <c r="C139" s="704"/>
      <c r="D139" s="705"/>
      <c r="E139" s="711"/>
      <c r="F139" s="702"/>
      <c r="G139" s="465"/>
      <c r="H139" s="473"/>
      <c r="I139" s="473"/>
      <c r="J139" s="473"/>
      <c r="K139" s="476"/>
      <c r="L139" s="473"/>
      <c r="M139" s="473"/>
      <c r="N139" s="313"/>
      <c r="O139" s="313"/>
      <c r="P139" s="313"/>
      <c r="Q139" s="313"/>
      <c r="R139" s="313"/>
      <c r="S139" s="436"/>
      <c r="T139" s="64"/>
    </row>
    <row r="140" spans="1:21" ht="24" hidden="1" customHeight="1">
      <c r="A140" s="3"/>
      <c r="B140" s="744"/>
      <c r="C140" s="745"/>
      <c r="D140" s="746"/>
      <c r="E140" s="685"/>
      <c r="F140" s="687"/>
      <c r="G140" s="465"/>
      <c r="H140" s="450"/>
      <c r="I140" s="452"/>
      <c r="J140" s="450"/>
      <c r="K140" s="451"/>
      <c r="L140" s="450"/>
      <c r="M140" s="452"/>
      <c r="N140" s="129"/>
      <c r="O140" s="501"/>
      <c r="P140" s="129"/>
      <c r="Q140" s="129"/>
      <c r="R140" s="129"/>
      <c r="S140" s="129"/>
      <c r="T140" s="64"/>
    </row>
    <row r="141" spans="1:21" ht="24" hidden="1" customHeight="1">
      <c r="A141" s="3"/>
      <c r="B141" s="747"/>
      <c r="C141" s="748"/>
      <c r="D141" s="749"/>
      <c r="E141" s="686"/>
      <c r="F141" s="687"/>
      <c r="G141" s="465"/>
      <c r="H141" s="450"/>
      <c r="I141" s="502"/>
      <c r="J141" s="503"/>
      <c r="K141" s="502"/>
      <c r="L141" s="503"/>
      <c r="M141" s="502"/>
      <c r="N141" s="504"/>
      <c r="O141" s="502"/>
      <c r="P141" s="129"/>
      <c r="Q141" s="129"/>
      <c r="R141" s="129"/>
      <c r="S141" s="129"/>
      <c r="T141" s="64"/>
    </row>
    <row r="142" spans="1:21">
      <c r="A142" s="3"/>
      <c r="B142" s="3"/>
      <c r="C142" s="3"/>
      <c r="D142" s="3"/>
      <c r="E142" s="3"/>
      <c r="F142" s="3"/>
      <c r="G142" s="2"/>
      <c r="H142" s="3"/>
      <c r="I142" s="3"/>
      <c r="J142" s="3"/>
      <c r="K142" s="3"/>
      <c r="L142" s="3"/>
      <c r="M142" s="3"/>
      <c r="N142" s="3"/>
      <c r="O142" s="3"/>
      <c r="R142" s="36"/>
      <c r="S142" s="36"/>
    </row>
    <row r="143" spans="1:21" ht="15.75" thickBot="1">
      <c r="A143" s="3"/>
      <c r="B143" s="3"/>
      <c r="C143" s="3"/>
      <c r="D143" s="3"/>
      <c r="E143" s="3"/>
      <c r="F143" s="3"/>
      <c r="G143" s="2"/>
      <c r="H143" s="3"/>
      <c r="I143" s="3"/>
      <c r="J143" s="3"/>
      <c r="K143" s="3"/>
      <c r="L143" s="3"/>
      <c r="M143" s="3"/>
      <c r="N143" s="3"/>
      <c r="O143" s="3"/>
      <c r="R143" s="36"/>
      <c r="S143" s="36"/>
    </row>
    <row r="144" spans="1:21" ht="39" thickBot="1">
      <c r="A144" s="3"/>
      <c r="B144" s="3" t="s">
        <v>372</v>
      </c>
      <c r="C144" s="3"/>
      <c r="D144" s="3"/>
      <c r="E144" s="314" t="s">
        <v>465</v>
      </c>
      <c r="F144" s="469" t="s">
        <v>373</v>
      </c>
      <c r="G144" s="242"/>
      <c r="H144" s="516" t="s">
        <v>448</v>
      </c>
      <c r="I144" s="516" t="s">
        <v>449</v>
      </c>
      <c r="J144" s="516" t="s">
        <v>450</v>
      </c>
      <c r="K144" s="516" t="s">
        <v>451</v>
      </c>
      <c r="L144" s="516" t="s">
        <v>452</v>
      </c>
      <c r="M144" s="531" t="s">
        <v>453</v>
      </c>
      <c r="N144" s="519"/>
      <c r="O144" s="519"/>
      <c r="P144" s="519"/>
      <c r="Q144" s="519"/>
      <c r="R144" s="519"/>
      <c r="S144" s="519"/>
      <c r="T144" s="36"/>
      <c r="U144" s="36"/>
    </row>
    <row r="145" spans="1:21" ht="31.5" customHeight="1">
      <c r="A145" s="3"/>
      <c r="B145" s="778" t="str">
        <f>IF(ISBLANK(B118),"",(B118))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79"/>
      <c r="D145" s="780"/>
      <c r="E145" s="767" t="str">
        <f>IF(ISBLANK(E118),"",(E118))</f>
        <v>Indicator de rezultat durabil</v>
      </c>
      <c r="F145" s="731" t="str">
        <f>IF(ISBLANK(F118),"",(F118))</f>
        <v>partial</v>
      </c>
      <c r="G145" s="491" t="s">
        <v>62</v>
      </c>
      <c r="H145" s="537">
        <f t="shared" ref="H145:M148" si="6">H118</f>
        <v>0</v>
      </c>
      <c r="I145" s="537">
        <f t="shared" si="6"/>
        <v>0.83</v>
      </c>
      <c r="J145" s="537">
        <f t="shared" si="6"/>
        <v>0</v>
      </c>
      <c r="K145" s="537">
        <f t="shared" si="6"/>
        <v>0.84</v>
      </c>
      <c r="L145" s="537">
        <f t="shared" si="6"/>
        <v>0</v>
      </c>
      <c r="M145" s="537" t="str">
        <f t="shared" si="6"/>
        <v>≧85%</v>
      </c>
      <c r="N145" s="533"/>
      <c r="O145" s="534"/>
      <c r="P145" s="533"/>
      <c r="Q145" s="534"/>
      <c r="R145" s="533"/>
      <c r="S145" s="533"/>
      <c r="T145" s="36"/>
      <c r="U145" s="36"/>
    </row>
    <row r="146" spans="1:21" ht="31.5" customHeight="1">
      <c r="A146" s="3"/>
      <c r="B146" s="781"/>
      <c r="C146" s="782"/>
      <c r="D146" s="783"/>
      <c r="E146" s="767"/>
      <c r="F146" s="731"/>
      <c r="G146" s="492" t="s">
        <v>63</v>
      </c>
      <c r="H146" s="537">
        <f t="shared" si="6"/>
        <v>0</v>
      </c>
      <c r="I146" s="538">
        <f>I119</f>
        <v>0.84</v>
      </c>
      <c r="J146" s="537">
        <f t="shared" si="6"/>
        <v>0</v>
      </c>
      <c r="K146" s="537">
        <f t="shared" si="6"/>
        <v>0</v>
      </c>
      <c r="L146" s="537">
        <f t="shared" si="6"/>
        <v>0</v>
      </c>
      <c r="M146" s="537">
        <f t="shared" si="6"/>
        <v>0</v>
      </c>
      <c r="N146" s="533"/>
      <c r="O146" s="534"/>
      <c r="P146" s="533"/>
      <c r="Q146" s="534"/>
      <c r="R146" s="533"/>
      <c r="S146" s="533"/>
      <c r="T146" s="36"/>
      <c r="U146" s="36"/>
    </row>
    <row r="147" spans="1:21" ht="31.5" customHeight="1">
      <c r="A147" s="3"/>
      <c r="B147" s="741" t="str">
        <f>IF(ISBLANK(B120),"",(B120))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147" s="742"/>
      <c r="D147" s="743"/>
      <c r="E147" s="776" t="str">
        <f>IF(ISBLANK(E120),"",(E120))</f>
        <v>PMTCT-2</v>
      </c>
      <c r="F147" s="732" t="str">
        <f>IF(ISBLANK(F120),"",(F120))</f>
        <v>partial</v>
      </c>
      <c r="G147" s="493" t="s">
        <v>62</v>
      </c>
      <c r="H147" s="539">
        <f t="shared" si="6"/>
        <v>0.95</v>
      </c>
      <c r="I147" s="539">
        <f t="shared" si="6"/>
        <v>0.95</v>
      </c>
      <c r="J147" s="539">
        <f t="shared" si="6"/>
        <v>0.95</v>
      </c>
      <c r="K147" s="540">
        <f t="shared" si="6"/>
        <v>0.95</v>
      </c>
      <c r="L147" s="539">
        <f t="shared" si="6"/>
        <v>0.95</v>
      </c>
      <c r="M147" s="540">
        <f t="shared" si="6"/>
        <v>0.95</v>
      </c>
      <c r="N147" s="533"/>
      <c r="O147" s="535"/>
      <c r="P147" s="533"/>
      <c r="Q147" s="535"/>
      <c r="R147" s="533"/>
      <c r="S147" s="533"/>
      <c r="T147" s="36"/>
      <c r="U147" s="36"/>
    </row>
    <row r="148" spans="1:21" ht="31.5" customHeight="1">
      <c r="A148" s="3"/>
      <c r="B148" s="741"/>
      <c r="C148" s="742"/>
      <c r="D148" s="743"/>
      <c r="E148" s="776"/>
      <c r="F148" s="732"/>
      <c r="G148" s="493" t="s">
        <v>63</v>
      </c>
      <c r="H148" s="542">
        <f t="shared" si="6"/>
        <v>0.91</v>
      </c>
      <c r="I148" s="542">
        <f t="shared" si="6"/>
        <v>0.97</v>
      </c>
      <c r="J148" s="539">
        <f t="shared" si="6"/>
        <v>0</v>
      </c>
      <c r="K148" s="540">
        <f t="shared" si="6"/>
        <v>0</v>
      </c>
      <c r="L148" s="539">
        <f t="shared" si="6"/>
        <v>0</v>
      </c>
      <c r="M148" s="540">
        <f t="shared" si="6"/>
        <v>0</v>
      </c>
      <c r="N148" s="533"/>
      <c r="O148" s="535"/>
      <c r="P148" s="533"/>
      <c r="Q148" s="535"/>
      <c r="R148" s="533"/>
      <c r="S148" s="533"/>
      <c r="T148" s="36"/>
      <c r="U148" s="36"/>
    </row>
    <row r="149" spans="1:21" ht="31.5" customHeight="1">
      <c r="A149" s="3"/>
      <c r="B149" s="770" t="str">
        <f>IF(ISBLANK(B124),"",(B124))</f>
        <v>TCS-1: Percentage of adults and children currently receiving antiretroviral therapy among all adults and children living with HIV // Procentul adultilor si copiilor in TARV in totalul adultilor si copiilor care traiesc cu HIV</v>
      </c>
      <c r="C149" s="771"/>
      <c r="D149" s="772"/>
      <c r="E149" s="767" t="str">
        <f>IF(ISBLANK(E124),"",(E124))</f>
        <v>TCS-1</v>
      </c>
      <c r="F149" s="731" t="str">
        <f>IF(ISBLANK(F124),"",(F124))</f>
        <v>partial</v>
      </c>
      <c r="G149" s="492" t="s">
        <v>62</v>
      </c>
      <c r="H149" s="538"/>
      <c r="I149" s="538">
        <f t="shared" ref="I149:K150" si="7">I124</f>
        <v>0.27</v>
      </c>
      <c r="J149" s="537">
        <f t="shared" si="7"/>
        <v>0</v>
      </c>
      <c r="K149" s="537">
        <f t="shared" si="7"/>
        <v>0.3</v>
      </c>
      <c r="L149" s="537">
        <f t="shared" ref="L149:M149" si="8">L124</f>
        <v>0</v>
      </c>
      <c r="M149" s="537">
        <f t="shared" si="8"/>
        <v>0.33</v>
      </c>
      <c r="N149" s="533"/>
      <c r="O149" s="533"/>
      <c r="P149" s="533"/>
      <c r="Q149" s="533"/>
      <c r="R149" s="533"/>
      <c r="S149" s="533"/>
      <c r="T149" s="36"/>
      <c r="U149" s="36"/>
    </row>
    <row r="150" spans="1:21" ht="31.5" customHeight="1" thickBot="1">
      <c r="A150" s="3"/>
      <c r="B150" s="773"/>
      <c r="C150" s="774"/>
      <c r="D150" s="775"/>
      <c r="E150" s="768"/>
      <c r="F150" s="769"/>
      <c r="G150" s="494" t="s">
        <v>63</v>
      </c>
      <c r="H150" s="543"/>
      <c r="I150" s="543">
        <f t="shared" si="7"/>
        <v>0.21</v>
      </c>
      <c r="J150" s="541">
        <f t="shared" si="7"/>
        <v>0</v>
      </c>
      <c r="K150" s="541">
        <f t="shared" si="7"/>
        <v>0</v>
      </c>
      <c r="L150" s="541">
        <f t="shared" ref="L150:M150" si="9">L125</f>
        <v>0</v>
      </c>
      <c r="M150" s="541">
        <f t="shared" si="9"/>
        <v>0</v>
      </c>
      <c r="N150" s="533"/>
      <c r="O150" s="533"/>
      <c r="P150" s="533"/>
      <c r="Q150" s="533"/>
      <c r="R150" s="533"/>
      <c r="S150" s="533"/>
      <c r="T150" s="36"/>
      <c r="U150" s="36"/>
    </row>
    <row r="151" spans="1:21">
      <c r="A151" s="3"/>
      <c r="B151" s="3"/>
      <c r="C151" s="3"/>
      <c r="D151" s="3"/>
      <c r="E151" s="3"/>
      <c r="F151" s="3"/>
      <c r="G151" s="3"/>
      <c r="H151" s="3"/>
      <c r="I151" s="3"/>
      <c r="J151" s="3"/>
      <c r="K151" s="3"/>
      <c r="L151" s="3"/>
      <c r="M151" s="3"/>
      <c r="N151"/>
      <c r="O151"/>
      <c r="P151" s="36"/>
      <c r="Q151" s="36"/>
      <c r="S151" s="19"/>
    </row>
    <row r="152" spans="1:21">
      <c r="N152"/>
      <c r="O152"/>
      <c r="P152" s="36"/>
      <c r="Q152" s="36"/>
    </row>
    <row r="153" spans="1:21">
      <c r="N153"/>
      <c r="O153"/>
      <c r="P153" s="36"/>
      <c r="Q153" s="36"/>
    </row>
  </sheetData>
  <mergeCells count="79">
    <mergeCell ref="E149:E150"/>
    <mergeCell ref="B128:D129"/>
    <mergeCell ref="F149:F150"/>
    <mergeCell ref="E136:E137"/>
    <mergeCell ref="F136:F137"/>
    <mergeCell ref="E138:E139"/>
    <mergeCell ref="F138:F139"/>
    <mergeCell ref="E145:E146"/>
    <mergeCell ref="E128:E129"/>
    <mergeCell ref="E134:E135"/>
    <mergeCell ref="B149:D150"/>
    <mergeCell ref="B138:D139"/>
    <mergeCell ref="E147:E148"/>
    <mergeCell ref="E132:E133"/>
    <mergeCell ref="B132:D133"/>
    <mergeCell ref="B145:D146"/>
    <mergeCell ref="O31:O34"/>
    <mergeCell ref="E118:E119"/>
    <mergeCell ref="F118:F119"/>
    <mergeCell ref="F120:F121"/>
    <mergeCell ref="E120:E121"/>
    <mergeCell ref="F47:I47"/>
    <mergeCell ref="E126:E127"/>
    <mergeCell ref="F126:F127"/>
    <mergeCell ref="I24:J24"/>
    <mergeCell ref="B21:J21"/>
    <mergeCell ref="B73:C73"/>
    <mergeCell ref="E124:E125"/>
    <mergeCell ref="B116:D116"/>
    <mergeCell ref="D24:E24"/>
    <mergeCell ref="B122:D123"/>
    <mergeCell ref="E122:E123"/>
    <mergeCell ref="F122:F123"/>
    <mergeCell ref="B147:D148"/>
    <mergeCell ref="B134:D135"/>
    <mergeCell ref="B130:D131"/>
    <mergeCell ref="B136:D137"/>
    <mergeCell ref="B140:D141"/>
    <mergeCell ref="F145:F146"/>
    <mergeCell ref="F147:F14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B71:C71"/>
    <mergeCell ref="B26:C26"/>
    <mergeCell ref="E140:E141"/>
    <mergeCell ref="F140:F141"/>
    <mergeCell ref="A118:A125"/>
    <mergeCell ref="B29:N29"/>
    <mergeCell ref="B118:D119"/>
    <mergeCell ref="B60:D60"/>
    <mergeCell ref="F124:F125"/>
    <mergeCell ref="B120:D121"/>
    <mergeCell ref="B124:D125"/>
    <mergeCell ref="F132:F133"/>
    <mergeCell ref="B108:B111"/>
    <mergeCell ref="F134:F135"/>
    <mergeCell ref="E130:E131"/>
    <mergeCell ref="F130:F131"/>
    <mergeCell ref="F128:F129"/>
    <mergeCell ref="B126:D127"/>
  </mergeCells>
  <phoneticPr fontId="30" type="noConversion"/>
  <conditionalFormatting sqref="B34 B32 C32:D33 E32:H32 E33:N33 C31">
    <cfRule type="expression" dxfId="56" priority="10" stopIfTrue="1">
      <formula>+AND(B30&gt;=#REF!,B30&lt;=#REF!)</formula>
    </cfRule>
  </conditionalFormatting>
  <conditionalFormatting sqref="C34:N34">
    <cfRule type="expression" dxfId="55" priority="11" stopIfTrue="1">
      <formula>+AND(C32&gt;=#REF!,C32&lt;=#REF!)</formula>
    </cfRule>
  </conditionalFormatting>
  <conditionalFormatting sqref="C30:N30 C94:N94">
    <cfRule type="cellIs" dxfId="54" priority="14" stopIfTrue="1" operator="equal">
      <formula>$C$16</formula>
    </cfRule>
  </conditionalFormatting>
  <conditionalFormatting sqref="C12:D12">
    <cfRule type="cellIs" dxfId="53" priority="16" stopIfTrue="1" operator="equal">
      <formula>"C"</formula>
    </cfRule>
    <cfRule type="cellIs" dxfId="52" priority="17" stopIfTrue="1" operator="equal">
      <formula>"B2"</formula>
    </cfRule>
    <cfRule type="cellIs" dxfId="51" priority="18" stopIfTrue="1" operator="equal">
      <formula>"B1"</formula>
    </cfRule>
  </conditionalFormatting>
  <conditionalFormatting sqref="C30:H30 H116:S117 H144:S144 C94:H94">
    <cfRule type="cellIs" dxfId="50" priority="25" stopIfTrue="1" operator="equal">
      <formula>$C$16</formula>
    </cfRule>
  </conditionalFormatting>
  <conditionalFormatting sqref="F47:I47">
    <cfRule type="expression" dxfId="49" priority="26" stopIfTrue="1">
      <formula>LEFT($F$47,2)="OK"</formula>
    </cfRule>
  </conditionalFormatting>
  <conditionalFormatting sqref="C32:E32 C31">
    <cfRule type="expression" dxfId="48" priority="8" stopIfTrue="1">
      <formula>+AND(C30&gt;=#REF!,C30&lt;=#REF!)</formula>
    </cfRule>
  </conditionalFormatting>
  <conditionalFormatting sqref="B34">
    <cfRule type="expression" dxfId="47" priority="5" stopIfTrue="1">
      <formula>+AND(B33&gt;=#REF!,B33&lt;=#REF!)</formula>
    </cfRule>
  </conditionalFormatting>
  <conditionalFormatting sqref="C32:H32 C31">
    <cfRule type="expression" dxfId="46" priority="2" stopIfTrue="1">
      <formula>+AND(C30&gt;=#REF!,C30&lt;=#REF!)</formula>
    </cfRule>
  </conditionalFormatting>
  <conditionalFormatting sqref="C32:E32 C31">
    <cfRule type="expression" dxfId="45"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3622047244094491" right="0.23622047244094491" top="0.74803149606299213" bottom="0.74803149606299213" header="0.31496062992125984" footer="0.31496062992125984"/>
  <pageSetup paperSize="8" scale="70" orientation="landscape" r:id="rId1"/>
  <headerFooter>
    <oddFooter>&amp;L&amp;F&amp;C&amp;A&amp;RV1.0          &amp;D</oddFooter>
  </headerFooter>
  <rowBreaks count="1" manualBreakCount="1">
    <brk id="65" max="14" man="1"/>
  </rowBreaks>
  <ignoredErrors>
    <ignoredError sqref="E145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O6" sqref="O6"/>
    </sheetView>
  </sheetViews>
  <sheetFormatPr defaultColWidth="11.42578125" defaultRowHeight="15"/>
  <cols>
    <col min="1" max="1" width="26.140625" style="3" customWidth="1"/>
    <col min="2" max="4" width="15.28515625" style="3" customWidth="1"/>
    <col min="5" max="6" width="17.7109375" style="3" customWidth="1"/>
    <col min="7" max="7" width="11.7109375" style="3" customWidth="1"/>
    <col min="8" max="8" width="15" style="3" customWidth="1"/>
    <col min="9" max="10" width="8.710937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4"/>
      <c r="H1" s="2"/>
      <c r="I1" s="2"/>
      <c r="J1" s="2"/>
    </row>
    <row r="2" spans="1:24" ht="25.5" customHeight="1"/>
    <row r="3" spans="1:24" ht="36">
      <c r="B3" s="784" t="str">
        <f>+"Dashboard: "&amp;" "&amp;+IF('Introducerea datelor'!C4="Please Select","",'Introducerea datelor'!C4&amp;" - ")&amp;+IF('Introducerea datelor'!G6="Please Select","",'Introducerea datelor'!G6)</f>
        <v>Dashboard:  Moldova - HIV / AIDS</v>
      </c>
      <c r="C3" s="784"/>
      <c r="D3" s="784"/>
      <c r="E3" s="784"/>
      <c r="F3" s="784"/>
      <c r="G3" s="784"/>
      <c r="H3" s="784"/>
      <c r="I3" s="784"/>
      <c r="J3" s="78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0" t="s">
        <v>513</v>
      </c>
      <c r="B6" s="786" t="str">
        <f>+IF('Introducerea datelor'!C4="Please Select","",'Introducerea datelor'!C4)</f>
        <v>Moldova</v>
      </c>
      <c r="C6" s="786"/>
      <c r="D6" s="790" t="s">
        <v>4</v>
      </c>
      <c r="E6" s="790"/>
      <c r="F6" s="791" t="str">
        <f>+'Introducerea datelor'!G4</f>
        <v xml:space="preserve">Fortificarea controlului infecției HIV în RM (2015-2017)
</v>
      </c>
      <c r="G6" s="791"/>
      <c r="H6" s="791"/>
      <c r="I6" s="791"/>
      <c r="J6" s="791"/>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68" t="s">
        <v>385</v>
      </c>
      <c r="B9" s="332" t="str">
        <f>+IF('Introducerea datelor'!G6="Please Select","",'Introducerea datelor'!G6)</f>
        <v>HIV / AIDS</v>
      </c>
      <c r="C9" s="222" t="s">
        <v>263</v>
      </c>
      <c r="D9" s="333" t="str">
        <f>+'Introducerea datelor'!C6</f>
        <v>MDA-H-PCIMU</v>
      </c>
      <c r="E9" s="788" t="s">
        <v>517</v>
      </c>
      <c r="F9" s="788"/>
      <c r="G9" s="334">
        <f>+IF(ISBLANK('Introducerea datelor'!C10),"",'Introducerea datelor'!C10)</f>
        <v>42005</v>
      </c>
      <c r="H9" s="368" t="s">
        <v>519</v>
      </c>
      <c r="I9" s="787">
        <f>+IF(ISBLANK('Introducerea datelor'!I6),"",'Introducerea datelor'!I6)</f>
        <v>3212688</v>
      </c>
      <c r="J9" s="787"/>
      <c r="K9" s="50"/>
      <c r="L9" s="50"/>
      <c r="M9" s="50"/>
      <c r="N9" s="50"/>
      <c r="O9" s="52"/>
      <c r="P9" s="51"/>
      <c r="Q9" s="52"/>
      <c r="R9" s="53"/>
      <c r="S9" s="17"/>
      <c r="T9" s="11"/>
      <c r="U9" s="11"/>
      <c r="V9" s="10"/>
      <c r="W9" s="10"/>
      <c r="X9" s="10"/>
    </row>
    <row r="10" spans="1:24" ht="25.5" customHeight="1">
      <c r="A10" s="368" t="s">
        <v>386</v>
      </c>
      <c r="B10" s="335" t="str">
        <f>+IF('Introducerea datelor'!G8="Please Select","",'Introducerea datelor'!G8)</f>
        <v/>
      </c>
      <c r="C10" s="222" t="s">
        <v>262</v>
      </c>
      <c r="D10" s="336">
        <f>+IF('Introducerea datelor'!I8="Please Select","",'Introducerea datelor'!I8)</f>
        <v>0</v>
      </c>
      <c r="E10" s="789" t="s">
        <v>518</v>
      </c>
      <c r="F10" s="789"/>
      <c r="G10" s="785" t="str">
        <f>+'Introducerea datelor'!C8</f>
        <v>IP "UCIMP DS"</v>
      </c>
      <c r="H10" s="785"/>
      <c r="I10" s="785"/>
      <c r="J10" s="785"/>
      <c r="K10" s="54"/>
      <c r="L10" s="54"/>
      <c r="M10" s="50"/>
      <c r="N10" s="54"/>
      <c r="O10" s="52"/>
      <c r="P10" s="51"/>
      <c r="Q10" s="11"/>
      <c r="R10" s="53"/>
      <c r="S10" s="17"/>
      <c r="T10" s="11"/>
      <c r="U10" s="11"/>
    </row>
    <row r="11" spans="1:24" ht="25.5" customHeight="1">
      <c r="A11" s="368" t="s">
        <v>514</v>
      </c>
      <c r="B11" s="337" t="str">
        <f>+'Introducerea datelor'!C16</f>
        <v>P2</v>
      </c>
      <c r="C11" s="318" t="s">
        <v>229</v>
      </c>
      <c r="D11" s="338">
        <f>+IF(ISBLANK('Introducerea datelor'!E16),"",'Introducerea datelor'!E16)</f>
        <v>42186</v>
      </c>
      <c r="E11" s="788" t="s">
        <v>12</v>
      </c>
      <c r="F11" s="788"/>
      <c r="G11" s="338">
        <f>+IF(ISBLANK('Introducerea datelor'!G16),"",'Introducerea datelor'!G16)</f>
        <v>42369</v>
      </c>
      <c r="H11" s="368" t="s">
        <v>383</v>
      </c>
      <c r="I11" s="792" t="s">
        <v>29</v>
      </c>
      <c r="J11" s="792"/>
      <c r="K11" s="263"/>
      <c r="L11" s="54"/>
      <c r="M11" s="50"/>
      <c r="N11" s="54"/>
      <c r="O11" s="54"/>
      <c r="P11" s="51"/>
      <c r="Q11" s="11"/>
      <c r="R11" s="53"/>
      <c r="S11" s="17"/>
      <c r="T11" s="12"/>
      <c r="U11" s="11"/>
    </row>
    <row r="12" spans="1:24" ht="25.5" customHeight="1">
      <c r="A12" s="368" t="s">
        <v>515</v>
      </c>
      <c r="B12" s="785" t="str">
        <f>+IF('Introducerea datelor'!G10="Please Select","",'Introducerea datelor'!G10)</f>
        <v>PwC (PricewaterhouseCoopers)</v>
      </c>
      <c r="C12" s="785"/>
      <c r="D12" s="785"/>
      <c r="E12" s="789" t="s">
        <v>520</v>
      </c>
      <c r="F12" s="789"/>
      <c r="G12" s="785" t="str">
        <f>+'Introducerea datelor'!G12</f>
        <v>Tsovinar Tsakanyan</v>
      </c>
      <c r="H12" s="785"/>
      <c r="I12" s="785"/>
      <c r="J12" s="785"/>
      <c r="K12" s="54"/>
      <c r="L12" s="54"/>
      <c r="M12" s="50"/>
      <c r="N12" s="54"/>
      <c r="O12" s="17"/>
      <c r="P12" s="51"/>
      <c r="Q12" s="11"/>
      <c r="R12" s="53"/>
      <c r="S12" s="17"/>
      <c r="T12" s="11"/>
      <c r="U12" s="55"/>
      <c r="V12" s="11"/>
      <c r="W12" s="12"/>
      <c r="X12" s="11"/>
    </row>
    <row r="13" spans="1:24" ht="25.5" customHeight="1">
      <c r="A13" s="368" t="s">
        <v>516</v>
      </c>
      <c r="B13" s="785" t="str">
        <f>+'Introducerea datelor'!D18</f>
        <v>IP UCIMP DS</v>
      </c>
      <c r="C13" s="785"/>
      <c r="D13" s="785"/>
      <c r="E13" s="789" t="s">
        <v>521</v>
      </c>
      <c r="F13" s="789"/>
      <c r="G13" s="793">
        <f>+IF(ISBLANK('Introducerea datelor'!J16),"",'Introducerea datelor'!J16)</f>
        <v>42415</v>
      </c>
      <c r="H13" s="794"/>
      <c r="I13" s="794"/>
      <c r="J13" s="794"/>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1"/>
      <c r="D16" s="16"/>
      <c r="E16" s="36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44" priority="1" stopIfTrue="1" operator="equal">
      <formula>"C"</formula>
    </cfRule>
    <cfRule type="cellIs" dxfId="43" priority="2" stopIfTrue="1" operator="equal">
      <formula>"B2"</formula>
    </cfRule>
    <cfRule type="cellIs" dxfId="42"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15" zoomScaleNormal="115" zoomScalePageLayoutView="115" workbookViewId="0">
      <selection activeCell="M28" sqref="M28"/>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33" t="str">
        <f>+"Dashboard:  "&amp;"  "&amp;IF(+'Introducerea datelor'!C4="Please Select","",'Introducerea datelor'!C4&amp;" - ")&amp;IF('Introducerea datelor'!G6="Please Select","",'Introducerea datelor'!G6)</f>
        <v>Dashboard:    Moldova - HIV / AIDS</v>
      </c>
      <c r="C2" s="733"/>
      <c r="D2" s="733"/>
      <c r="E2" s="733"/>
      <c r="F2" s="733"/>
      <c r="G2" s="733"/>
      <c r="H2" s="733"/>
      <c r="I2" s="733"/>
      <c r="J2" s="733"/>
      <c r="K2" s="733"/>
      <c r="L2" s="1"/>
      <c r="M2" s="1"/>
      <c r="N2" s="1"/>
      <c r="O2" s="1"/>
    </row>
    <row r="3" spans="2:15">
      <c r="B3" s="130" t="str">
        <f>+IF('Introducerea datelor'!G8="Please Select","",'Introducerea datelor'!G8)</f>
        <v/>
      </c>
      <c r="C3" s="799">
        <f>+IF('Introducerea datelor'!I8="Please Select","",'Introducerea datelor'!I8)</f>
        <v>0</v>
      </c>
      <c r="D3" s="799"/>
      <c r="E3" s="798"/>
      <c r="F3" s="798"/>
      <c r="G3" s="798"/>
      <c r="H3" s="798"/>
      <c r="I3" s="796" t="str">
        <f>+'Introducerea datelor'!B16</f>
        <v>Perioada de Raportare:</v>
      </c>
      <c r="J3" s="796"/>
      <c r="K3" s="195" t="str">
        <f>+'Introducerea datelor'!C16</f>
        <v>P2</v>
      </c>
      <c r="L3" s="83"/>
    </row>
    <row r="4" spans="2:15">
      <c r="B4" s="130" t="str">
        <f>+'Introducerea datelor'!B12</f>
        <v>Ultimul Rating:</v>
      </c>
      <c r="C4" s="800" t="str">
        <f>+IF('Introducerea datelor'!C12="Please Select","",'Introducerea datelor'!C12)</f>
        <v>A2</v>
      </c>
      <c r="D4" s="800"/>
      <c r="E4" s="798" t="str">
        <f>+'Introducerea datelor'!C8</f>
        <v>IP "UCIMP DS"</v>
      </c>
      <c r="F4" s="798"/>
      <c r="G4" s="798"/>
      <c r="H4" s="798"/>
      <c r="I4" s="796" t="str">
        <f>+'Introducerea datelor'!D16</f>
        <v>De la:</v>
      </c>
      <c r="J4" s="797"/>
      <c r="K4" s="197">
        <f>+IF(ISBLANK('Introducerea datelor'!E16),"",'Introducerea datelor'!E16)</f>
        <v>42186</v>
      </c>
    </row>
    <row r="5" spans="2:15" ht="49.5" customHeight="1">
      <c r="B5" s="130"/>
      <c r="C5" s="130"/>
      <c r="D5" s="795" t="str">
        <f>+'Introducerea datelor'!G4</f>
        <v xml:space="preserve">Fortificarea controlului infecției HIV în RM (2015-2017)
</v>
      </c>
      <c r="E5" s="795"/>
      <c r="F5" s="795"/>
      <c r="G5" s="795"/>
      <c r="H5" s="795"/>
      <c r="I5" s="795"/>
      <c r="J5" s="130" t="str">
        <f>+'Introducerea datelor'!F16</f>
        <v>Pînă la:</v>
      </c>
      <c r="K5" s="197">
        <f>+IF(ISBLANK('Introducerea datelor'!G16),"",'Introducerea datelor'!G16)</f>
        <v>42369</v>
      </c>
    </row>
    <row r="6" spans="2:15" ht="18.75">
      <c r="B6" s="134"/>
      <c r="C6" s="130"/>
      <c r="D6" s="131"/>
      <c r="E6" s="807" t="s">
        <v>47</v>
      </c>
      <c r="F6" s="807"/>
      <c r="G6" s="807"/>
      <c r="H6" s="807"/>
      <c r="I6" s="3"/>
      <c r="J6" s="3"/>
      <c r="K6" s="3"/>
    </row>
    <row r="7" spans="2:15" ht="10.5" customHeight="1">
      <c r="B7" s="135"/>
      <c r="C7" s="136"/>
      <c r="D7" s="137"/>
      <c r="E7" s="138"/>
      <c r="F7" s="138"/>
      <c r="G7" s="139"/>
      <c r="H7" s="139"/>
      <c r="I7" s="133"/>
      <c r="J7" s="133"/>
      <c r="K7" s="132"/>
    </row>
    <row r="8" spans="2:15">
      <c r="B8" s="200" t="str">
        <f>+'Introducerea datelor'!B27&amp; " - in ("&amp;'Introducerea datelor'!D26&amp;")         "&amp;+I3&amp;" "&amp;+K3</f>
        <v>F1: Bugetul și debursările de către Fondul Global - in (€)         Perioada de Raportare: P2</v>
      </c>
      <c r="C8" s="140"/>
      <c r="D8" s="2"/>
      <c r="E8" s="2"/>
      <c r="F8" s="2"/>
      <c r="H8" s="200" t="str">
        <f>+'Introducerea datelor'!B49&amp; " - in ("&amp;'Introducerea datelor'!D26&amp;")         "&amp;+I3&amp;" "&amp;+K3</f>
        <v>F3: Debursări și cheltuieli - in (€)         Perioada de Raportare: P2</v>
      </c>
      <c r="I8" s="3"/>
      <c r="J8" s="3"/>
      <c r="K8" s="3"/>
    </row>
    <row r="9" spans="2:15">
      <c r="B9" s="341" t="s">
        <v>466</v>
      </c>
      <c r="C9" s="811" t="s">
        <v>405</v>
      </c>
      <c r="D9" s="812"/>
      <c r="E9" s="812"/>
      <c r="F9" s="813"/>
      <c r="H9" s="342" t="s">
        <v>3</v>
      </c>
      <c r="I9" s="821" t="s">
        <v>406</v>
      </c>
      <c r="J9" s="812"/>
      <c r="K9" s="813"/>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1" t="str">
        <f>+'Introducerea datelor'!B36&amp; " - in ("&amp;'Introducerea datelor'!D26&amp;")  "&amp;+I3&amp;" "&amp;+K3</f>
        <v>F2: Bugetul și cheltuielile actuale după Obiectivele Grantului - in (€)  Perioada de Raportare: P2</v>
      </c>
      <c r="C22" s="2"/>
      <c r="D22" s="2"/>
      <c r="E22" s="2"/>
      <c r="F22" s="2"/>
      <c r="H22" s="814" t="str">
        <f>+'Introducerea datelor'!B58&amp;"  
"&amp;+I3&amp;" "&amp;+K3</f>
        <v>F4: Ultima perioadă de raportare și debursare a RP   
Perioada de Raportare: P2</v>
      </c>
      <c r="I22" s="814"/>
      <c r="J22" s="814"/>
      <c r="K22" s="814"/>
    </row>
    <row r="23" spans="1:11" ht="204" customHeight="1">
      <c r="B23" s="497" t="s">
        <v>467</v>
      </c>
      <c r="C23" s="818" t="s">
        <v>476</v>
      </c>
      <c r="D23" s="819"/>
      <c r="E23" s="819"/>
      <c r="F23" s="820"/>
      <c r="G23" s="499"/>
      <c r="H23" s="497" t="s">
        <v>3</v>
      </c>
      <c r="I23" s="815" t="s">
        <v>477</v>
      </c>
      <c r="J23" s="816"/>
      <c r="K23" s="817"/>
    </row>
    <row r="24" spans="1:11" ht="15.75" thickBot="1">
      <c r="B24" s="210"/>
      <c r="C24" s="210"/>
      <c r="D24" s="210"/>
      <c r="E24" s="210"/>
      <c r="F24" s="210"/>
      <c r="G24" s="210"/>
      <c r="H24" s="211"/>
      <c r="I24" s="211"/>
      <c r="J24" s="210"/>
      <c r="K24" s="210"/>
    </row>
    <row r="25" spans="1:11" ht="29.25" customHeight="1" thickBot="1">
      <c r="B25" s="3"/>
      <c r="C25" s="3"/>
      <c r="D25" s="3"/>
      <c r="E25" s="3"/>
      <c r="F25" s="3"/>
      <c r="G25" s="316"/>
      <c r="H25" s="808" t="s">
        <v>254</v>
      </c>
      <c r="I25" s="809"/>
      <c r="J25" s="809"/>
      <c r="K25" s="810"/>
    </row>
    <row r="26" spans="1:11" ht="24.75">
      <c r="B26" s="3"/>
      <c r="C26" s="3"/>
      <c r="D26" s="3"/>
      <c r="E26" s="3"/>
      <c r="F26" s="3"/>
      <c r="G26" s="279"/>
      <c r="H26" s="805"/>
      <c r="I26" s="806"/>
      <c r="J26" s="295" t="s">
        <v>45</v>
      </c>
      <c r="K26" s="296" t="s">
        <v>46</v>
      </c>
    </row>
    <row r="27" spans="1:11" ht="23.25" customHeight="1">
      <c r="B27" s="3"/>
      <c r="C27" s="3"/>
      <c r="D27" s="3"/>
      <c r="E27" s="3"/>
      <c r="F27" s="3"/>
      <c r="G27" s="317"/>
      <c r="H27" s="803" t="str">
        <f>'Introducerea datelor'!B62</f>
        <v>Zile necesare pentru remiterea PU/DR final către ALF</v>
      </c>
      <c r="I27" s="804"/>
      <c r="J27" s="297">
        <v>60</v>
      </c>
      <c r="K27" s="544">
        <f>+'Introducerea datelor'!D62</f>
        <v>45</v>
      </c>
    </row>
    <row r="28" spans="1:11" ht="21" customHeight="1">
      <c r="B28" s="3"/>
      <c r="C28" s="3"/>
      <c r="D28" s="3"/>
      <c r="E28" s="3"/>
      <c r="F28" s="3"/>
      <c r="G28" s="317"/>
      <c r="H28" s="803" t="str">
        <f>'Introducerea datelor'!B63</f>
        <v>Zile necesare pentru debursare către RP</v>
      </c>
      <c r="I28" s="804"/>
      <c r="J28" s="297">
        <f>+'Introducerea datelor'!C63</f>
        <v>0</v>
      </c>
      <c r="K28" s="544">
        <f>+'Introducerea datelor'!D63</f>
        <v>0</v>
      </c>
    </row>
    <row r="29" spans="1:11" ht="21" customHeight="1" thickBot="1">
      <c r="B29" s="3"/>
      <c r="C29" s="3"/>
      <c r="D29" s="3"/>
      <c r="E29" s="3"/>
      <c r="F29" s="3"/>
      <c r="G29" s="317"/>
      <c r="H29" s="801" t="str">
        <f>'Introducerea datelor'!B64</f>
        <v>Zile necesare pentru debursare către SR</v>
      </c>
      <c r="I29" s="802"/>
      <c r="J29" s="298">
        <f>+'Introducerea datelor'!C64</f>
        <v>0</v>
      </c>
      <c r="K29" s="545">
        <f>+'Introducerea datelor'!D64</f>
        <v>0</v>
      </c>
    </row>
    <row r="30" spans="1:11">
      <c r="B30" s="3"/>
      <c r="C30" s="3"/>
      <c r="D30" s="3"/>
      <c r="E30" s="3"/>
      <c r="F30" s="3"/>
      <c r="G30" s="3"/>
      <c r="H30" s="3"/>
      <c r="I30" s="3"/>
      <c r="J30" s="3"/>
      <c r="K30" s="3"/>
    </row>
    <row r="31" spans="1:11">
      <c r="B31" s="3"/>
      <c r="C31" s="15"/>
      <c r="D31" s="232"/>
      <c r="E31" s="3"/>
      <c r="F31" s="3"/>
      <c r="G31" s="3"/>
      <c r="H31" s="3"/>
      <c r="I31" s="3"/>
      <c r="J31" s="3"/>
      <c r="K31" s="3"/>
    </row>
    <row r="32" spans="1:11">
      <c r="B32" s="3"/>
      <c r="C32" s="15"/>
      <c r="D32" s="232"/>
      <c r="E32" s="3"/>
      <c r="F32" s="3"/>
      <c r="G32" s="3"/>
      <c r="H32" s="3"/>
      <c r="I32" s="3"/>
      <c r="J32" s="3"/>
      <c r="K32" s="3"/>
    </row>
    <row r="34" spans="5:5">
      <c r="E34" s="19"/>
    </row>
  </sheetData>
  <mergeCells count="19">
    <mergeCell ref="H29:I29"/>
    <mergeCell ref="H28:I28"/>
    <mergeCell ref="H27:I27"/>
    <mergeCell ref="H26:I26"/>
    <mergeCell ref="E6:H6"/>
    <mergeCell ref="H25:K25"/>
    <mergeCell ref="C9:F9"/>
    <mergeCell ref="H22:K22"/>
    <mergeCell ref="I23:K23"/>
    <mergeCell ref="C23:F23"/>
    <mergeCell ref="I9:K9"/>
    <mergeCell ref="B2:K2"/>
    <mergeCell ref="D5:I5"/>
    <mergeCell ref="I4:J4"/>
    <mergeCell ref="I3:J3"/>
    <mergeCell ref="E3:H3"/>
    <mergeCell ref="C3:D3"/>
    <mergeCell ref="C4:D4"/>
    <mergeCell ref="E4:H4"/>
  </mergeCells>
  <phoneticPr fontId="30" type="noConversion"/>
  <conditionalFormatting sqref="K27:K29">
    <cfRule type="cellIs" dxfId="41" priority="4" stopIfTrue="1" operator="greaterThan">
      <formula>J27</formula>
    </cfRule>
    <cfRule type="cellIs" dxfId="40" priority="5" stopIfTrue="1" operator="between">
      <formula>J27</formula>
      <formula>1</formula>
    </cfRule>
    <cfRule type="cellIs" dxfId="39" priority="6" stopIfTrue="1" operator="equal">
      <formula>0</formula>
    </cfRule>
  </conditionalFormatting>
  <conditionalFormatting sqref="C4:D4">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pageMargins left="0.23622047244094491" right="0.23622047244094491" top="0.74803149606299213" bottom="0.74803149606299213" header="0.31496062992125984" footer="0.31496062992125984"/>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6"/>
  <sheetViews>
    <sheetView showGridLines="0" topLeftCell="A13" zoomScaleNormal="100" zoomScalePageLayoutView="85" workbookViewId="0">
      <selection activeCell="P10" sqref="P10"/>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8"/>
      <c r="E1" s="229"/>
    </row>
    <row r="2" spans="1:16" ht="27.75" customHeight="1">
      <c r="B2" s="836" t="str">
        <f>+"Dashboard:  "&amp;"  "&amp;IF(+'Introducerea datelor'!C4="Please Select","",'Introducerea datelor'!C4&amp;" - ")&amp;IF('Introducerea datelor'!G6="Please Select","",'Introducerea datelor'!G6)</f>
        <v>Dashboard:    Moldova - HIV / AIDS</v>
      </c>
      <c r="C2" s="836"/>
      <c r="D2" s="836"/>
      <c r="E2" s="836"/>
      <c r="F2" s="836"/>
      <c r="G2" s="836"/>
      <c r="H2" s="836"/>
      <c r="I2" s="836"/>
      <c r="J2" s="836"/>
      <c r="K2" s="836"/>
      <c r="L2" s="836"/>
      <c r="M2" s="26"/>
      <c r="N2" s="26"/>
      <c r="O2" s="26"/>
      <c r="P2" s="26"/>
    </row>
    <row r="3" spans="1:16">
      <c r="B3" s="24" t="str">
        <f>+IF('Introducerea datelor'!G8="Please Select","",'Introducerea datelor'!G8)</f>
        <v/>
      </c>
      <c r="C3" s="834">
        <f>+IF('Introducerea datelor'!I8="Please Select","",'Introducerea datelor'!I8)</f>
        <v>0</v>
      </c>
      <c r="D3" s="834"/>
      <c r="E3" s="835"/>
      <c r="F3" s="835"/>
      <c r="G3" s="835"/>
      <c r="H3" s="835"/>
      <c r="I3" s="835"/>
      <c r="J3" s="825" t="str">
        <f>+'Introducerea datelor'!B16</f>
        <v>Perioada de Raportare:</v>
      </c>
      <c r="K3" s="825"/>
      <c r="L3" s="195" t="str">
        <f>+'Introducerea datelor'!C16</f>
        <v>P2</v>
      </c>
    </row>
    <row r="4" spans="1:16">
      <c r="B4" s="24" t="str">
        <f>+'Introducerea datelor'!B12</f>
        <v>Ultimul Rating:</v>
      </c>
      <c r="C4" s="800" t="str">
        <f>+IF('Introducerea datelor'!C12="Please Select","",'Introducerea datelor'!C12)</f>
        <v>A2</v>
      </c>
      <c r="D4" s="800"/>
      <c r="E4" s="835" t="str">
        <f>+'Introducerea datelor'!C8</f>
        <v>IP "UCIMP DS"</v>
      </c>
      <c r="F4" s="835"/>
      <c r="G4" s="835"/>
      <c r="H4" s="835"/>
      <c r="I4" s="835"/>
      <c r="J4" s="825" t="str">
        <f>+'Introducerea datelor'!D16</f>
        <v>De la:</v>
      </c>
      <c r="K4" s="826"/>
      <c r="L4" s="197">
        <f>+IF(ISBLANK('Introducerea datelor'!E16),"",'Introducerea datelor'!E16)</f>
        <v>42186</v>
      </c>
    </row>
    <row r="5" spans="1:16" ht="31.5" customHeight="1">
      <c r="B5" s="24"/>
      <c r="C5" s="24"/>
      <c r="D5" s="829" t="str">
        <f>+'Introducerea datelor'!G4</f>
        <v xml:space="preserve">Fortificarea controlului infecției HIV în RM (2015-2017)
</v>
      </c>
      <c r="E5" s="829"/>
      <c r="F5" s="829"/>
      <c r="G5" s="829"/>
      <c r="H5" s="829"/>
      <c r="I5" s="829"/>
      <c r="J5" s="829"/>
      <c r="K5" s="24" t="str">
        <f>+'Introducerea datelor'!F16</f>
        <v>Pînă la:</v>
      </c>
      <c r="L5" s="197">
        <f>+IF(ISBLANK('Introducerea datelor'!G16),"",'Introducerea datelor'!G16)</f>
        <v>42369</v>
      </c>
    </row>
    <row r="6" spans="1:16" ht="18.75">
      <c r="B6" s="23"/>
      <c r="C6" s="24"/>
      <c r="D6" s="25"/>
      <c r="E6" s="837" t="s">
        <v>48</v>
      </c>
      <c r="F6" s="837"/>
      <c r="G6" s="837"/>
      <c r="H6" s="837"/>
      <c r="I6" s="837"/>
    </row>
    <row r="7" spans="1:16" ht="22.5" customHeight="1">
      <c r="B7" s="366" t="str">
        <f>+'Introducerea datelor'!B69&amp;"   "&amp;+J3&amp;" "&amp;+L3</f>
        <v>M1: Statutul Condițiilor Precedente și a Acțiunilor Prestabilite în Timp    Perioada de Raportare: P2</v>
      </c>
      <c r="C7" s="21"/>
      <c r="H7" s="366" t="str">
        <f>+'Introducerea datelor'!B76&amp;"   "&amp;+J3&amp;"  "&amp;+L3</f>
        <v>M2: Statutul pozițiilor cheie ale RP    Perioada de Raportare:  P2</v>
      </c>
    </row>
    <row r="8" spans="1:16" ht="138" customHeight="1">
      <c r="B8" s="343" t="s">
        <v>3</v>
      </c>
      <c r="C8" s="830" t="s">
        <v>478</v>
      </c>
      <c r="D8" s="831"/>
      <c r="E8" s="831"/>
      <c r="F8" s="832"/>
      <c r="G8" s="367"/>
      <c r="H8" s="342" t="s">
        <v>3</v>
      </c>
      <c r="I8" s="821" t="s">
        <v>487</v>
      </c>
      <c r="J8" s="827"/>
      <c r="K8" s="827"/>
      <c r="L8" s="828"/>
    </row>
    <row r="9" spans="1:16" s="36" customFormat="1" ht="112.5" customHeight="1">
      <c r="B9" s="210"/>
      <c r="C9" s="546"/>
      <c r="D9" s="546"/>
      <c r="E9" s="546"/>
      <c r="F9" s="546"/>
      <c r="G9" s="547"/>
      <c r="H9" s="211"/>
      <c r="I9" s="548"/>
      <c r="J9" s="549"/>
      <c r="K9" s="549"/>
      <c r="L9" s="549"/>
    </row>
    <row r="10" spans="1:16" ht="48" customHeight="1">
      <c r="B10" s="19"/>
      <c r="C10" s="19"/>
      <c r="D10" s="19"/>
      <c r="E10" s="19"/>
      <c r="F10" s="19"/>
      <c r="G10" s="19"/>
      <c r="H10" s="19"/>
    </row>
    <row r="11" spans="1:16">
      <c r="A11" s="47"/>
      <c r="B11" s="19"/>
      <c r="C11" s="19"/>
      <c r="D11" s="833"/>
      <c r="E11" s="632"/>
      <c r="F11" s="632"/>
      <c r="G11" s="204"/>
      <c r="H11" s="19"/>
      <c r="N11" s="49"/>
      <c r="O11" s="49"/>
      <c r="P11" s="48"/>
    </row>
    <row r="12" spans="1:16">
      <c r="B12" s="19"/>
      <c r="C12" s="28"/>
      <c r="D12" s="833"/>
      <c r="E12" s="28"/>
      <c r="F12" s="28"/>
      <c r="G12" s="28"/>
      <c r="H12" s="28"/>
      <c r="N12" s="19"/>
      <c r="O12" s="19"/>
    </row>
    <row r="13" spans="1:16">
      <c r="B13" s="28"/>
      <c r="C13" s="79"/>
      <c r="D13" s="80"/>
      <c r="E13" s="80"/>
      <c r="F13" s="80"/>
      <c r="G13" s="80"/>
      <c r="H13" s="81"/>
    </row>
    <row r="14" spans="1:16" ht="27.75" customHeight="1">
      <c r="B14" s="366" t="str">
        <f>+'Introducerea datelor'!B81&amp;"     "&amp;+J3&amp;" "&amp;+L3</f>
        <v>M3: Aranjamente contractuale (SR)      Perioada de Raportare: P2</v>
      </c>
      <c r="H14" s="366" t="str">
        <f>+'Introducerea datelor'!B86&amp;"          "&amp;+J3&amp;" "&amp;+L3</f>
        <v>M4: Numărul rapoartelor complete recepționate la timp          Perioada de Raportare: P2</v>
      </c>
    </row>
    <row r="15" spans="1:16" ht="26.25" customHeight="1">
      <c r="B15" s="343" t="s">
        <v>3</v>
      </c>
      <c r="C15" s="830" t="s">
        <v>411</v>
      </c>
      <c r="D15" s="839"/>
      <c r="E15" s="839"/>
      <c r="F15" s="840"/>
      <c r="G15" s="367"/>
      <c r="H15" s="342" t="s">
        <v>3</v>
      </c>
      <c r="I15" s="830" t="s">
        <v>411</v>
      </c>
      <c r="J15" s="831"/>
      <c r="K15" s="831"/>
      <c r="L15" s="832"/>
    </row>
    <row r="16" spans="1:16">
      <c r="B16" s="29"/>
      <c r="H16" s="30"/>
    </row>
    <row r="17" spans="2:16">
      <c r="M17" s="83"/>
    </row>
    <row r="25" spans="2:16" ht="41.25" customHeight="1">
      <c r="B25" s="838" t="str">
        <f>+'Introducerea datelor'!B92</f>
        <v xml:space="preserve">M5: Bugetul și Procurarea produselor medicale, echipamentului medical, medicamentelor și produselor farmaceutice </v>
      </c>
      <c r="C25" s="838"/>
      <c r="D25" s="838"/>
      <c r="E25" s="838"/>
      <c r="F25" s="838"/>
      <c r="H25" s="366" t="str">
        <f>+'Introducerea datelor'!B105&amp;"      "&amp;+J3&amp;"  "&amp;+L3</f>
        <v>M6: Diferență între stocul curent și stocul de siguranță      Perioada de Raportare:  P2</v>
      </c>
    </row>
    <row r="26" spans="2:16" s="498" customFormat="1" ht="69" customHeight="1">
      <c r="B26" s="495" t="s">
        <v>3</v>
      </c>
      <c r="C26" s="842" t="s">
        <v>479</v>
      </c>
      <c r="D26" s="843"/>
      <c r="E26" s="843"/>
      <c r="F26" s="844"/>
      <c r="G26" s="496"/>
      <c r="H26" s="497" t="s">
        <v>3</v>
      </c>
      <c r="I26" s="815" t="s">
        <v>468</v>
      </c>
      <c r="J26" s="816"/>
      <c r="K26" s="816"/>
      <c r="L26" s="817"/>
      <c r="N26" s="500"/>
      <c r="O26" s="500"/>
      <c r="P26" s="500"/>
    </row>
    <row r="27" spans="2:16" ht="7.5" customHeight="1"/>
    <row r="28" spans="2:16" ht="44.25" hidden="1" customHeight="1">
      <c r="F28" s="323"/>
      <c r="G28" s="323"/>
      <c r="H28" s="216" t="s">
        <v>17</v>
      </c>
      <c r="I28" s="319" t="s">
        <v>58</v>
      </c>
      <c r="J28" s="340" t="s">
        <v>269</v>
      </c>
      <c r="K28" s="215" t="s">
        <v>265</v>
      </c>
      <c r="L28" s="320" t="s">
        <v>264</v>
      </c>
    </row>
    <row r="29" spans="2:16" ht="15" hidden="1" customHeight="1">
      <c r="F29" s="323"/>
      <c r="G29" s="323"/>
      <c r="H29" s="822" t="str">
        <f>+'Introducerea datelor'!B108</f>
        <v>Please Select</v>
      </c>
      <c r="I29" s="550" t="str">
        <f>+'Introducerea datelor'!C108</f>
        <v>Please Select</v>
      </c>
      <c r="J29" s="430" t="str">
        <f>+'Introducerea datelor'!I108</f>
        <v/>
      </c>
      <c r="K29" s="431">
        <f>+'Introducerea datelor'!J108</f>
        <v>0</v>
      </c>
      <c r="L29" s="409" t="str">
        <f>+'Introducerea datelor'!K108</f>
        <v/>
      </c>
    </row>
    <row r="30" spans="2:16" hidden="1">
      <c r="F30" s="323"/>
      <c r="G30" s="323"/>
      <c r="H30" s="823"/>
      <c r="I30" s="321" t="str">
        <f>+'Introducerea datelor'!C109</f>
        <v>Please Select</v>
      </c>
      <c r="J30" s="430" t="str">
        <f>+'Introducerea datelor'!I109</f>
        <v/>
      </c>
      <c r="K30" s="431">
        <f>+'Introducerea datelor'!J109</f>
        <v>0</v>
      </c>
      <c r="L30" s="410" t="str">
        <f>+'Introducerea datelor'!K109</f>
        <v/>
      </c>
    </row>
    <row r="31" spans="2:16" hidden="1">
      <c r="F31" s="323"/>
      <c r="G31" s="323"/>
      <c r="H31" s="823"/>
      <c r="I31" s="321" t="str">
        <f>+'Introducerea datelor'!C110</f>
        <v>Please Select</v>
      </c>
      <c r="J31" s="430" t="str">
        <f>+'Introducerea datelor'!I110</f>
        <v/>
      </c>
      <c r="K31" s="431">
        <f>+'Introducerea datelor'!J110</f>
        <v>0</v>
      </c>
      <c r="L31" s="409" t="str">
        <f>+'Introducerea datelor'!K110</f>
        <v/>
      </c>
    </row>
    <row r="32" spans="2:16" ht="15.75" hidden="1" thickBot="1">
      <c r="F32" s="323"/>
      <c r="G32" s="323"/>
      <c r="H32" s="824"/>
      <c r="I32" s="322" t="str">
        <f>+'Introducerea datelor'!C111</f>
        <v>Please Select</v>
      </c>
      <c r="J32" s="432" t="str">
        <f>+'Introducerea datelor'!I111</f>
        <v/>
      </c>
      <c r="K32" s="433">
        <f>+'Introducerea datelor'!J111</f>
        <v>0</v>
      </c>
      <c r="L32" s="409" t="str">
        <f>+'Introducerea datelor'!K111</f>
        <v/>
      </c>
    </row>
    <row r="33" spans="2:12" ht="11.25" customHeight="1"/>
    <row r="34" spans="2:12" ht="46.5" customHeight="1">
      <c r="F34" s="19"/>
      <c r="G34" s="19"/>
      <c r="H34" s="19"/>
      <c r="I34" s="19"/>
      <c r="J34" s="19"/>
      <c r="K34" s="19"/>
      <c r="L34" s="19"/>
    </row>
    <row r="35" spans="2:12" ht="73.5" customHeight="1"/>
    <row r="36" spans="2:12" ht="24.75" customHeight="1">
      <c r="B36" s="841" t="str">
        <f>+'Introducerea datelor'!B102</f>
        <v>* Include numai AFR categoriile 4, 5 și 6  (Produse medicale și Echipamente medicale &amp; Medicamente și Produse farmaceutice)</v>
      </c>
      <c r="C36" s="841"/>
      <c r="D36" s="841"/>
      <c r="E36" s="841"/>
      <c r="F36" s="19"/>
      <c r="G36" s="19"/>
      <c r="H36" s="212"/>
      <c r="I36" s="213"/>
      <c r="J36" s="214"/>
      <c r="K36" s="204"/>
      <c r="L36" s="20"/>
    </row>
  </sheetData>
  <mergeCells count="20">
    <mergeCell ref="B36:E36"/>
    <mergeCell ref="C26:F26"/>
    <mergeCell ref="C3:D3"/>
    <mergeCell ref="E4:I4"/>
    <mergeCell ref="B2:L2"/>
    <mergeCell ref="C4:D4"/>
    <mergeCell ref="E6:I6"/>
    <mergeCell ref="E3:I3"/>
    <mergeCell ref="J3:K3"/>
    <mergeCell ref="H29:H32"/>
    <mergeCell ref="J4:K4"/>
    <mergeCell ref="I8:L8"/>
    <mergeCell ref="D5:J5"/>
    <mergeCell ref="I15:L15"/>
    <mergeCell ref="I26:L26"/>
    <mergeCell ref="D11:D12"/>
    <mergeCell ref="B25:F25"/>
    <mergeCell ref="C15:F15"/>
    <mergeCell ref="E11:F11"/>
    <mergeCell ref="C8:F8"/>
  </mergeCells>
  <phoneticPr fontId="30" type="noConversion"/>
  <conditionalFormatting sqref="D13">
    <cfRule type="cellIs" dxfId="35" priority="1" stopIfTrue="1" operator="greaterThan">
      <formula>0</formula>
    </cfRule>
  </conditionalFormatting>
  <conditionalFormatting sqref="E13">
    <cfRule type="cellIs" dxfId="34" priority="2" stopIfTrue="1" operator="greaterThan">
      <formula>0</formula>
    </cfRule>
  </conditionalFormatting>
  <conditionalFormatting sqref="F13:G13">
    <cfRule type="cellIs" dxfId="33" priority="3" stopIfTrue="1" operator="greaterThan">
      <formula>0</formula>
    </cfRule>
  </conditionalFormatting>
  <conditionalFormatting sqref="C4:D4">
    <cfRule type="cellIs" dxfId="32" priority="4" stopIfTrue="1" operator="equal">
      <formula>"C"</formula>
    </cfRule>
    <cfRule type="cellIs" dxfId="31" priority="5" stopIfTrue="1" operator="equal">
      <formula>"B2"</formula>
    </cfRule>
    <cfRule type="cellIs" dxfId="30" priority="6" stopIfTrue="1" operator="equal">
      <formula>"B1"</formula>
    </cfRule>
  </conditionalFormatting>
  <conditionalFormatting sqref="L29 L31:L32">
    <cfRule type="cellIs" dxfId="29" priority="13" stopIfTrue="1" operator="lessThan">
      <formula>1</formula>
    </cfRule>
    <cfRule type="cellIs" dxfId="28" priority="14" stopIfTrue="1" operator="between">
      <formula>3</formula>
      <formula>17</formula>
    </cfRule>
    <cfRule type="cellIs" dxfId="27" priority="15" stopIfTrue="1" operator="between">
      <formula>1</formula>
      <formula>3</formula>
    </cfRule>
  </conditionalFormatting>
  <conditionalFormatting sqref="L30">
    <cfRule type="cellIs" dxfId="26" priority="16" stopIfTrue="1" operator="lessThan">
      <formula>1</formula>
    </cfRule>
    <cfRule type="cellIs" dxfId="25" priority="17" stopIfTrue="1" operator="between">
      <formula>3</formula>
      <formula>100</formula>
    </cfRule>
    <cfRule type="cellIs" dxfId="24" priority="18" stopIfTrue="1" operator="between">
      <formula>1</formula>
      <formula>3</formula>
    </cfRule>
  </conditionalFormatting>
  <pageMargins left="0.23622047244094491" right="0.23622047244094491" top="0.74803149606299213" bottom="0.74803149606299213" header="0.31496062992125984" footer="0.31496062992125984"/>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3"/>
  <sheetViews>
    <sheetView showGridLines="0" topLeftCell="A22" zoomScaleNormal="100" zoomScalePageLayoutView="115" workbookViewId="0">
      <selection activeCell="G23" sqref="G23:K23"/>
    </sheetView>
  </sheetViews>
  <sheetFormatPr defaultColWidth="11" defaultRowHeight="15"/>
  <cols>
    <col min="1" max="1" width="0.42578125" customWidth="1"/>
    <col min="2" max="2" width="13.85546875" customWidth="1"/>
    <col min="3" max="3" width="16.140625" customWidth="1"/>
    <col min="4" max="4" width="17.425781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7" width="10.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73" t="str">
        <f>+"Dashboard:  "&amp;"  "&amp;IF(+'Introducerea datelor'!C4="Please Select","",'Introducerea datelor'!C4&amp;" - ")&amp;IF('Introducerea datelor'!G6="Please Select","",'Introducerea datelor'!G6)</f>
        <v>Dashboard:    Moldova - HIV / AIDS</v>
      </c>
      <c r="C2" s="873"/>
      <c r="D2" s="873"/>
      <c r="E2" s="873"/>
      <c r="F2" s="873"/>
      <c r="G2" s="873"/>
      <c r="H2" s="873"/>
      <c r="I2" s="873"/>
      <c r="J2" s="873"/>
      <c r="K2" s="873"/>
      <c r="L2" s="873"/>
      <c r="M2" s="873"/>
      <c r="N2" s="873"/>
      <c r="O2" s="873"/>
      <c r="P2" s="873"/>
      <c r="Q2" s="873"/>
    </row>
    <row r="3" spans="1:35" ht="18.75">
      <c r="A3" s="3"/>
      <c r="B3" s="130" t="str">
        <f>+IF('Introducerea datelor'!G8="Please Select","",'Introducerea datelor'!G8)</f>
        <v/>
      </c>
      <c r="C3" s="799">
        <f>+IF('Introducerea datelor'!I8="Please Select","",'Introducerea datelor'!I8)</f>
        <v>0</v>
      </c>
      <c r="D3" s="799"/>
      <c r="E3" s="798"/>
      <c r="F3" s="798"/>
      <c r="G3" s="798"/>
      <c r="H3" s="798"/>
      <c r="I3" s="877"/>
      <c r="J3" s="877"/>
      <c r="K3" s="877"/>
      <c r="L3" s="3"/>
      <c r="M3" s="3"/>
      <c r="O3" s="796" t="str">
        <f>+'Introducerea datelor'!B16</f>
        <v>Perioada de Raportare:</v>
      </c>
      <c r="P3" s="796"/>
      <c r="Q3" s="484" t="str">
        <f>+'Introducerea datelor'!C16</f>
        <v>P2</v>
      </c>
      <c r="S3" s="36"/>
    </row>
    <row r="4" spans="1:35" ht="12" customHeight="1">
      <c r="A4" s="3"/>
      <c r="B4" s="130" t="str">
        <f>+'Introducerea datelor'!B12</f>
        <v>Ultimul Rating:</v>
      </c>
      <c r="C4" s="878" t="str">
        <f>+IF('Introducerea datelor'!C12="Please Select","",'Introducerea datelor'!C12)</f>
        <v>A2</v>
      </c>
      <c r="D4" s="878"/>
      <c r="E4" s="798" t="str">
        <f>+'Introducerea datelor'!C8</f>
        <v>IP "UCIMP DS"</v>
      </c>
      <c r="F4" s="798"/>
      <c r="G4" s="798"/>
      <c r="H4" s="798"/>
      <c r="I4" s="798"/>
      <c r="J4" s="798"/>
      <c r="K4" s="798"/>
      <c r="L4" s="798"/>
      <c r="M4" s="3"/>
      <c r="O4" s="325"/>
      <c r="P4" s="130" t="str">
        <f>+'Introducerea datelor'!D16</f>
        <v>De la:</v>
      </c>
      <c r="Q4" s="326">
        <f>+IF(ISBLANK('Introducerea datelor'!E16),"",'Introducerea datelor'!E16)</f>
        <v>42186</v>
      </c>
      <c r="S4" s="36"/>
      <c r="Y4" s="71"/>
      <c r="Z4" s="71"/>
      <c r="AA4" s="71"/>
      <c r="AB4" s="71"/>
      <c r="AC4" s="71"/>
    </row>
    <row r="5" spans="1:35" ht="54.75" customHeight="1">
      <c r="A5" s="3"/>
      <c r="B5" s="130"/>
      <c r="C5" s="130"/>
      <c r="D5" s="874" t="str">
        <f>+'Introducerea datelor'!G4</f>
        <v xml:space="preserve">Fortificarea controlului infecției HIV în RM (2015-2017)
</v>
      </c>
      <c r="E5" s="874"/>
      <c r="F5" s="874"/>
      <c r="G5" s="874"/>
      <c r="H5" s="874"/>
      <c r="I5" s="874"/>
      <c r="J5" s="874"/>
      <c r="K5" s="874"/>
      <c r="L5" s="874"/>
      <c r="M5" s="874"/>
      <c r="N5" s="874"/>
      <c r="P5" s="130" t="str">
        <f>+'Introducerea datelor'!F16</f>
        <v>Pînă la:</v>
      </c>
      <c r="Q5" s="326">
        <f>+IF(ISBLANK('Introducerea datelor'!G16),"",'Introducerea datelor'!G16)</f>
        <v>42369</v>
      </c>
      <c r="S5" s="487"/>
      <c r="T5" s="223"/>
      <c r="U5" s="223"/>
      <c r="V5" s="223"/>
      <c r="W5" s="223"/>
      <c r="X5" s="223"/>
      <c r="Y5" s="71"/>
      <c r="Z5" s="71"/>
      <c r="AA5" s="71" t="s">
        <v>27</v>
      </c>
      <c r="AB5" s="71"/>
      <c r="AC5" s="71" t="s">
        <v>227</v>
      </c>
      <c r="AD5" s="223"/>
      <c r="AE5" s="223"/>
      <c r="AF5" s="223"/>
      <c r="AG5" s="223"/>
      <c r="AH5" s="223"/>
      <c r="AI5" s="223"/>
    </row>
    <row r="6" spans="1:35" ht="19.5" customHeight="1">
      <c r="A6" s="3"/>
      <c r="B6" s="130"/>
      <c r="C6" s="130"/>
      <c r="D6" s="221"/>
      <c r="E6" s="221"/>
      <c r="F6" s="876" t="s">
        <v>498</v>
      </c>
      <c r="G6" s="876"/>
      <c r="H6" s="876"/>
      <c r="I6" s="876"/>
      <c r="J6" s="876"/>
      <c r="K6" s="876"/>
      <c r="L6" s="221"/>
      <c r="M6" s="3"/>
      <c r="N6" s="3"/>
      <c r="O6" s="198"/>
      <c r="P6" s="252"/>
      <c r="S6" s="487"/>
      <c r="T6" s="223"/>
      <c r="U6" s="223"/>
      <c r="V6" s="223"/>
      <c r="W6" s="223"/>
      <c r="X6" s="223"/>
      <c r="Y6" s="71"/>
      <c r="Z6" s="71"/>
      <c r="AA6" s="71"/>
      <c r="AB6" s="71"/>
      <c r="AC6" s="71"/>
      <c r="AD6" s="223"/>
      <c r="AE6" s="223"/>
      <c r="AF6" s="223"/>
      <c r="AG6" s="223"/>
      <c r="AH6" s="223"/>
      <c r="AI6" s="223"/>
    </row>
    <row r="7" spans="1:35" ht="3" customHeight="1">
      <c r="A7" s="3"/>
      <c r="B7" s="130"/>
      <c r="C7" s="130"/>
      <c r="D7" s="221"/>
      <c r="E7" s="221"/>
      <c r="F7" s="221"/>
      <c r="G7" s="221"/>
      <c r="H7" s="221"/>
      <c r="I7" s="221"/>
      <c r="J7" s="221"/>
      <c r="K7" s="221"/>
      <c r="L7" s="221"/>
      <c r="M7" s="3"/>
      <c r="N7" s="3"/>
      <c r="O7" s="198"/>
      <c r="P7" s="197"/>
      <c r="Q7" s="197"/>
      <c r="S7" s="223"/>
      <c r="T7" s="223"/>
      <c r="U7" s="223"/>
      <c r="V7" s="223"/>
      <c r="W7" s="223"/>
      <c r="X7" s="223"/>
      <c r="Y7" s="71"/>
      <c r="Z7" s="71"/>
      <c r="AA7" s="71"/>
      <c r="AB7" s="71"/>
      <c r="AC7" s="71"/>
      <c r="AD7" s="223"/>
      <c r="AE7" s="223"/>
      <c r="AF7" s="223"/>
      <c r="AG7" s="223"/>
      <c r="AH7" s="223"/>
      <c r="AI7" s="223"/>
    </row>
    <row r="8" spans="1:35" ht="60" customHeight="1">
      <c r="A8" s="3"/>
      <c r="B8" s="882"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8" s="882"/>
      <c r="D8" s="882"/>
      <c r="E8" s="882"/>
      <c r="F8" s="875"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G8" s="875"/>
      <c r="H8" s="875"/>
      <c r="I8" s="875"/>
      <c r="J8" s="875"/>
      <c r="K8" s="875"/>
      <c r="L8" s="875" t="str">
        <f>+'Introducerea datelor'!B124</f>
        <v>TCS-1: Percentage of adults and children currently receiving antiretroviral therapy among all adults and children living with HIV // Procentul adultilor si copiilor in TARV in totalul adultilor si copiilor care traiesc cu HIV</v>
      </c>
      <c r="M8" s="875"/>
      <c r="N8" s="875"/>
      <c r="O8" s="875"/>
      <c r="P8" s="875"/>
      <c r="Q8" s="875"/>
      <c r="S8" s="223"/>
      <c r="T8" s="223"/>
      <c r="U8" s="223"/>
      <c r="V8" s="223"/>
      <c r="W8" s="223"/>
      <c r="X8" s="223"/>
      <c r="Y8" s="71"/>
      <c r="Z8" s="71"/>
      <c r="AA8" s="71"/>
      <c r="AB8" s="71"/>
      <c r="AC8" s="71"/>
      <c r="AD8" s="223"/>
      <c r="AE8" s="223"/>
      <c r="AF8" s="223"/>
      <c r="AG8" s="223"/>
      <c r="AH8" s="223"/>
      <c r="AI8" s="223"/>
    </row>
    <row r="9" spans="1:35" ht="82.5" customHeight="1">
      <c r="A9" s="3"/>
      <c r="B9" s="449" t="s">
        <v>301</v>
      </c>
      <c r="C9" s="879" t="s">
        <v>483</v>
      </c>
      <c r="D9" s="883"/>
      <c r="E9" s="884"/>
      <c r="F9" s="449" t="s">
        <v>302</v>
      </c>
      <c r="G9" s="879" t="s">
        <v>485</v>
      </c>
      <c r="H9" s="883"/>
      <c r="I9" s="883"/>
      <c r="J9" s="883"/>
      <c r="K9" s="884"/>
      <c r="L9" s="449" t="s">
        <v>303</v>
      </c>
      <c r="M9" s="879" t="s">
        <v>486</v>
      </c>
      <c r="N9" s="880"/>
      <c r="O9" s="880"/>
      <c r="P9" s="880"/>
      <c r="Q9" s="881"/>
      <c r="S9" s="223"/>
      <c r="T9" s="223"/>
      <c r="U9" s="223"/>
      <c r="V9" s="223"/>
      <c r="W9" s="223"/>
      <c r="X9" s="223"/>
      <c r="Y9" s="223"/>
      <c r="Z9" s="223"/>
      <c r="AA9" s="223"/>
      <c r="AB9" s="223"/>
      <c r="AC9" s="223"/>
      <c r="AD9" s="223"/>
      <c r="AE9" s="223"/>
      <c r="AF9" s="223"/>
      <c r="AG9" s="223"/>
      <c r="AH9" s="223"/>
      <c r="AI9" s="223"/>
    </row>
    <row r="10" spans="1:35" ht="18.75" customHeight="1">
      <c r="A10" s="3"/>
      <c r="B10" s="130"/>
      <c r="C10" s="130"/>
      <c r="D10" s="221"/>
      <c r="E10" s="221"/>
      <c r="F10" s="221"/>
      <c r="G10" s="221"/>
      <c r="H10" s="221"/>
      <c r="I10" s="221"/>
      <c r="J10" s="221"/>
      <c r="K10" s="221"/>
      <c r="L10" s="221"/>
      <c r="M10" s="3"/>
      <c r="N10" s="3"/>
      <c r="O10" s="198"/>
      <c r="P10" s="197"/>
      <c r="S10" s="223"/>
      <c r="T10" s="223"/>
      <c r="U10" s="223"/>
      <c r="V10" s="223"/>
      <c r="W10" s="223"/>
      <c r="X10" s="223"/>
      <c r="Y10" s="223"/>
      <c r="Z10" s="223"/>
      <c r="AA10" s="223"/>
      <c r="AB10" s="223"/>
      <c r="AC10" s="223"/>
      <c r="AD10" s="223"/>
      <c r="AE10" s="223"/>
      <c r="AF10" s="223"/>
      <c r="AG10" s="223"/>
      <c r="AH10" s="223"/>
      <c r="AI10" s="223"/>
    </row>
    <row r="11" spans="1:35" ht="18.75" customHeight="1">
      <c r="A11" s="3"/>
      <c r="B11" s="130"/>
      <c r="C11" s="130"/>
      <c r="D11" s="221"/>
      <c r="E11" s="221"/>
      <c r="F11" s="221"/>
      <c r="G11" s="221"/>
      <c r="H11" s="221"/>
      <c r="I11" s="221"/>
      <c r="J11" s="221"/>
      <c r="K11" s="221"/>
      <c r="L11" s="221"/>
      <c r="M11" s="3"/>
      <c r="N11" s="3"/>
      <c r="O11" s="198"/>
      <c r="P11" s="197"/>
      <c r="S11" s="223"/>
      <c r="T11" s="223"/>
      <c r="U11" s="223"/>
      <c r="V11" s="223"/>
      <c r="W11" s="223"/>
      <c r="X11" s="223"/>
      <c r="Y11" s="223"/>
      <c r="Z11" s="223"/>
      <c r="AA11" s="223"/>
      <c r="AB11" s="223"/>
      <c r="AC11" s="223"/>
      <c r="AD11" s="223"/>
      <c r="AE11" s="223"/>
      <c r="AF11" s="223"/>
      <c r="AG11" s="223"/>
      <c r="AH11" s="223"/>
      <c r="AI11" s="223"/>
    </row>
    <row r="12" spans="1:35" ht="18.75" customHeight="1">
      <c r="A12" s="3"/>
      <c r="B12" s="130"/>
      <c r="C12" s="130"/>
      <c r="D12" s="221"/>
      <c r="E12" s="221"/>
      <c r="F12" s="221"/>
      <c r="G12" s="221"/>
      <c r="H12" s="221"/>
      <c r="I12" s="221"/>
      <c r="J12" s="221"/>
      <c r="K12" s="221"/>
      <c r="L12" s="221"/>
      <c r="M12" s="3"/>
      <c r="N12" s="3"/>
      <c r="O12" s="198"/>
      <c r="P12" s="197"/>
      <c r="S12" s="223"/>
      <c r="T12" s="223"/>
      <c r="U12" s="223"/>
      <c r="V12" s="223"/>
      <c r="W12" s="223"/>
      <c r="X12" s="223"/>
      <c r="Y12" s="223"/>
      <c r="Z12" s="223"/>
      <c r="AA12" s="223"/>
      <c r="AB12" s="223"/>
      <c r="AC12" s="223"/>
      <c r="AD12" s="223"/>
      <c r="AE12" s="223"/>
      <c r="AF12" s="223"/>
      <c r="AG12" s="223"/>
      <c r="AH12" s="223"/>
      <c r="AI12" s="223"/>
    </row>
    <row r="13" spans="1:35" ht="18.75" customHeight="1">
      <c r="A13" s="3"/>
      <c r="B13" s="130"/>
      <c r="C13" s="130"/>
      <c r="D13" s="221"/>
      <c r="E13" s="221"/>
      <c r="F13" s="221"/>
      <c r="G13" s="221"/>
      <c r="H13" s="221"/>
      <c r="I13" s="221"/>
      <c r="J13" s="221"/>
      <c r="K13" s="221"/>
      <c r="L13" s="221"/>
      <c r="M13" s="3"/>
      <c r="N13" s="3"/>
      <c r="O13" s="198"/>
      <c r="P13" s="197"/>
      <c r="S13" s="223"/>
      <c r="T13" s="223"/>
      <c r="U13" s="223"/>
      <c r="V13" s="223"/>
      <c r="W13" s="223"/>
      <c r="X13" s="223"/>
      <c r="Y13" s="223"/>
      <c r="Z13" s="223"/>
      <c r="AA13" s="223"/>
      <c r="AB13" s="223"/>
      <c r="AC13" s="223"/>
      <c r="AD13" s="223"/>
      <c r="AE13" s="223"/>
      <c r="AF13" s="223"/>
      <c r="AG13" s="223"/>
      <c r="AH13" s="223"/>
      <c r="AI13" s="223"/>
    </row>
    <row r="14" spans="1:35" ht="18.75" customHeight="1">
      <c r="A14" s="3"/>
      <c r="B14" s="130"/>
      <c r="C14" s="130"/>
      <c r="D14" s="221"/>
      <c r="E14" s="221"/>
      <c r="F14" s="221"/>
      <c r="G14" s="221"/>
      <c r="H14" s="221"/>
      <c r="I14" s="221"/>
      <c r="J14" s="221"/>
      <c r="K14" s="221"/>
      <c r="L14" s="221"/>
      <c r="M14" s="3"/>
      <c r="N14" s="3"/>
      <c r="O14" s="198"/>
      <c r="P14" s="197"/>
      <c r="S14" s="223"/>
      <c r="T14" s="223"/>
      <c r="U14" s="223"/>
      <c r="V14" s="223"/>
      <c r="W14" s="223"/>
      <c r="X14" s="223"/>
      <c r="Y14" s="223"/>
      <c r="Z14" s="223"/>
      <c r="AA14" s="223"/>
      <c r="AB14" s="223"/>
      <c r="AC14" s="223"/>
      <c r="AD14" s="223"/>
      <c r="AE14" s="223"/>
      <c r="AF14" s="223"/>
      <c r="AG14" s="223"/>
      <c r="AH14" s="223"/>
      <c r="AI14" s="223"/>
    </row>
    <row r="15" spans="1:35" ht="18.75" customHeight="1">
      <c r="A15" s="3"/>
      <c r="B15" s="130"/>
      <c r="C15" s="130"/>
      <c r="D15" s="221"/>
      <c r="E15" s="221"/>
      <c r="F15" s="221"/>
      <c r="G15" s="221"/>
      <c r="H15" s="221"/>
      <c r="I15" s="221"/>
      <c r="J15" s="221"/>
      <c r="K15" s="221"/>
      <c r="L15" s="221"/>
      <c r="M15" s="3"/>
      <c r="N15" s="3"/>
      <c r="O15" s="198"/>
      <c r="P15" s="197"/>
      <c r="S15" s="223"/>
      <c r="T15" s="223"/>
      <c r="U15" s="223"/>
      <c r="V15" s="223"/>
      <c r="W15" s="223"/>
      <c r="X15" s="223"/>
      <c r="Y15" s="223"/>
      <c r="Z15" s="223"/>
      <c r="AA15" s="223"/>
      <c r="AB15" s="223"/>
      <c r="AC15" s="223"/>
      <c r="AD15" s="223"/>
      <c r="AE15" s="223"/>
      <c r="AF15" s="223"/>
      <c r="AG15" s="223"/>
      <c r="AH15" s="223"/>
      <c r="AI15" s="223"/>
    </row>
    <row r="16" spans="1:35" ht="18.75" customHeight="1">
      <c r="A16" s="3"/>
      <c r="B16" s="130"/>
      <c r="C16" s="130"/>
      <c r="D16" s="221"/>
      <c r="E16" s="221"/>
      <c r="F16" s="221"/>
      <c r="G16" s="221"/>
      <c r="H16" s="221"/>
      <c r="I16" s="221"/>
      <c r="J16" s="221"/>
      <c r="K16" s="221"/>
      <c r="L16" s="221"/>
      <c r="M16" s="3"/>
      <c r="N16" s="3"/>
      <c r="O16" s="198"/>
      <c r="P16" s="197"/>
      <c r="S16" s="223"/>
      <c r="T16" s="223"/>
      <c r="U16" s="223"/>
      <c r="V16" s="223"/>
      <c r="W16" s="223"/>
      <c r="X16" s="223"/>
      <c r="Y16" s="223"/>
      <c r="Z16" s="223"/>
      <c r="AA16" s="223"/>
      <c r="AB16" s="223"/>
      <c r="AC16" s="223"/>
      <c r="AD16" s="223"/>
      <c r="AE16" s="223"/>
      <c r="AF16" s="223"/>
      <c r="AG16" s="223"/>
      <c r="AH16" s="223"/>
      <c r="AI16" s="223"/>
    </row>
    <row r="17" spans="1:35" ht="26.25" customHeight="1">
      <c r="A17" s="3"/>
      <c r="B17" s="130"/>
      <c r="C17" s="130"/>
      <c r="D17" s="221"/>
      <c r="E17" s="221"/>
      <c r="F17" s="221"/>
      <c r="G17" s="221"/>
      <c r="H17" s="221"/>
      <c r="I17" s="221"/>
      <c r="J17" s="221"/>
      <c r="K17" s="221"/>
      <c r="L17" s="221"/>
      <c r="M17" s="3"/>
      <c r="N17" s="3"/>
      <c r="O17" s="198"/>
      <c r="P17" s="197"/>
      <c r="S17" s="223"/>
      <c r="T17" s="223"/>
      <c r="U17" s="223"/>
      <c r="V17" s="223"/>
      <c r="W17" s="223"/>
      <c r="X17" s="223"/>
      <c r="Y17" s="223"/>
      <c r="Z17" s="223"/>
      <c r="AA17" s="223"/>
      <c r="AB17" s="223"/>
      <c r="AC17" s="223"/>
      <c r="AD17" s="223"/>
      <c r="AE17" s="223"/>
      <c r="AF17" s="223"/>
      <c r="AG17" s="223"/>
      <c r="AH17" s="223"/>
      <c r="AI17" s="223"/>
    </row>
    <row r="18" spans="1:35" ht="22.5" customHeight="1">
      <c r="A18" s="3"/>
      <c r="B18" s="134"/>
      <c r="C18" s="130"/>
      <c r="D18" s="131"/>
      <c r="E18" s="858"/>
      <c r="F18" s="858"/>
      <c r="G18" s="858"/>
      <c r="H18" s="858"/>
      <c r="I18" s="858"/>
      <c r="J18" s="858"/>
      <c r="K18" s="858"/>
      <c r="L18" s="3"/>
      <c r="M18" s="3"/>
      <c r="N18" s="3"/>
      <c r="O18" s="3"/>
      <c r="P18" s="3"/>
      <c r="S18" s="223"/>
      <c r="T18" s="223"/>
      <c r="U18" s="223"/>
      <c r="V18" s="223"/>
      <c r="W18" s="223"/>
      <c r="X18" s="223"/>
      <c r="Y18" s="223"/>
      <c r="Z18" s="223"/>
      <c r="AA18" s="223"/>
      <c r="AB18" s="223"/>
      <c r="AC18" s="223"/>
      <c r="AD18" s="223"/>
      <c r="AE18" s="223"/>
      <c r="AF18" s="223"/>
      <c r="AG18" s="223"/>
      <c r="AH18" s="223"/>
      <c r="AI18" s="223"/>
    </row>
    <row r="19" spans="1:35" ht="24" customHeight="1">
      <c r="A19" s="3"/>
      <c r="B19" s="859" t="s">
        <v>65</v>
      </c>
      <c r="C19" s="859"/>
      <c r="D19" s="859"/>
      <c r="E19" s="141" t="s">
        <v>62</v>
      </c>
      <c r="F19" s="141" t="s">
        <v>66</v>
      </c>
      <c r="G19" s="851" t="s">
        <v>266</v>
      </c>
      <c r="H19" s="852"/>
      <c r="I19" s="853" t="s">
        <v>267</v>
      </c>
      <c r="J19" s="854"/>
      <c r="K19" s="324" t="s">
        <v>268</v>
      </c>
      <c r="L19" s="855" t="s">
        <v>69</v>
      </c>
      <c r="M19" s="856"/>
      <c r="N19" s="856"/>
      <c r="O19" s="856"/>
      <c r="P19" s="856"/>
      <c r="Q19" s="857"/>
      <c r="S19" s="65" t="s">
        <v>67</v>
      </c>
      <c r="T19" s="66">
        <v>0</v>
      </c>
      <c r="U19" s="67">
        <v>0.3</v>
      </c>
      <c r="V19" s="67">
        <v>0.6</v>
      </c>
      <c r="W19" s="67">
        <v>0.9</v>
      </c>
      <c r="X19" s="67">
        <v>1</v>
      </c>
      <c r="Y19" s="71"/>
      <c r="Z19" s="71"/>
      <c r="AA19" s="65" t="s">
        <v>67</v>
      </c>
      <c r="AB19" s="66">
        <v>0</v>
      </c>
      <c r="AC19" s="67">
        <v>0.2</v>
      </c>
      <c r="AD19" s="67">
        <v>0.4</v>
      </c>
      <c r="AE19" s="67">
        <v>0.6</v>
      </c>
      <c r="AF19" s="67">
        <v>0.8</v>
      </c>
      <c r="AG19" s="71"/>
      <c r="AH19" s="71"/>
      <c r="AI19" s="71"/>
    </row>
    <row r="20" spans="1:35" ht="55.5" customHeight="1">
      <c r="A20" s="3"/>
      <c r="B20" s="845"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0" s="846"/>
      <c r="D20" s="846"/>
      <c r="E20" s="470"/>
      <c r="F20" s="470"/>
      <c r="G20" s="847" t="s">
        <v>411</v>
      </c>
      <c r="H20" s="848"/>
      <c r="I20" s="848"/>
      <c r="J20" s="848"/>
      <c r="K20" s="849"/>
      <c r="L20" s="862" t="s">
        <v>480</v>
      </c>
      <c r="M20" s="863"/>
      <c r="N20" s="863"/>
      <c r="O20" s="863"/>
      <c r="P20" s="863"/>
      <c r="Q20" s="863"/>
      <c r="S20" s="65" t="s">
        <v>68</v>
      </c>
      <c r="T20" s="68">
        <v>0.3</v>
      </c>
      <c r="U20" s="67">
        <v>0.6</v>
      </c>
      <c r="V20" s="67">
        <v>0.9</v>
      </c>
      <c r="W20" s="67">
        <v>1</v>
      </c>
      <c r="X20" s="67">
        <v>2</v>
      </c>
      <c r="Y20" s="71"/>
      <c r="Z20" s="71"/>
      <c r="AA20" s="65" t="s">
        <v>68</v>
      </c>
      <c r="AB20" s="68">
        <v>0.2</v>
      </c>
      <c r="AC20" s="67">
        <v>0.4</v>
      </c>
      <c r="AD20" s="67">
        <v>0.6</v>
      </c>
      <c r="AE20" s="67">
        <v>0.8</v>
      </c>
      <c r="AF20" s="67">
        <v>1</v>
      </c>
      <c r="AG20" s="71"/>
      <c r="AH20" s="71"/>
      <c r="AI20" s="71"/>
    </row>
    <row r="21" spans="1:35" ht="178.5" customHeight="1">
      <c r="A21" s="3"/>
      <c r="B21" s="846"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21" s="846"/>
      <c r="D21" s="846"/>
      <c r="E21" s="511">
        <v>0.95</v>
      </c>
      <c r="F21" s="511">
        <v>0.97</v>
      </c>
      <c r="G21" s="847">
        <f>F21/E21</f>
        <v>1.0210526315789474</v>
      </c>
      <c r="H21" s="848"/>
      <c r="I21" s="848"/>
      <c r="J21" s="848"/>
      <c r="K21" s="849"/>
      <c r="L21" s="864" t="s">
        <v>484</v>
      </c>
      <c r="M21" s="865"/>
      <c r="N21" s="865"/>
      <c r="O21" s="865"/>
      <c r="P21" s="865"/>
      <c r="Q21" s="865"/>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228</v>
      </c>
      <c r="AA21" s="69" t="s">
        <v>227</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56.25" customHeight="1">
      <c r="A22" s="3"/>
      <c r="B22" s="845" t="str">
        <f>+'Introducerea datelor'!B122</f>
        <v>PMTCT-3: Percentage of infants born to HIV-positive women receiving a virological test for HIV within 2 months of birth // Procentul copiilor nascuti de femei  infectate cu HIV care au fost testati la HIV in primele 2 luni de la nastere</v>
      </c>
      <c r="C22" s="846"/>
      <c r="D22" s="846"/>
      <c r="E22" s="511">
        <v>0.9</v>
      </c>
      <c r="F22" s="511">
        <v>1</v>
      </c>
      <c r="G22" s="847">
        <f>F22/E22</f>
        <v>1.1111111111111112</v>
      </c>
      <c r="H22" s="848"/>
      <c r="I22" s="848"/>
      <c r="J22" s="848"/>
      <c r="K22" s="849"/>
      <c r="L22" s="862" t="s">
        <v>488</v>
      </c>
      <c r="M22" s="863"/>
      <c r="N22" s="863"/>
      <c r="O22" s="863"/>
      <c r="P22" s="863"/>
      <c r="Q22" s="863"/>
      <c r="S22" s="69"/>
      <c r="T22" s="67" t="e">
        <f t="shared" ref="T22:W23" si="0">IF($K19&gt;T$19,IF($K19&lt;=T$20,$K19,NA()),NA())</f>
        <v>#N/A</v>
      </c>
      <c r="U22" s="67" t="e">
        <f t="shared" si="0"/>
        <v>#N/A</v>
      </c>
      <c r="V22" s="67" t="e">
        <f t="shared" si="0"/>
        <v>#N/A</v>
      </c>
      <c r="W22" s="67" t="e">
        <f t="shared" si="0"/>
        <v>#N/A</v>
      </c>
      <c r="X22" s="67" t="e">
        <f>IF($K19&gt;X$19,IF($K19&lt;=X$20,1,NA()),NA())</f>
        <v>#N/A</v>
      </c>
      <c r="Y22" s="71"/>
      <c r="Z22" s="194" t="e">
        <f>+'Detalii despre Grant'!#REF!</f>
        <v>#REF!</v>
      </c>
      <c r="AA22" s="67" t="e">
        <f>+IF(Z22="A1",1,IF(Z22="A2",0.8,IF(Z22="B1",0.6,IF(Z22="B2",0.4,0.2))))</f>
        <v>#REF!</v>
      </c>
      <c r="AB22" s="67" t="e">
        <f t="shared" ref="AB22:AF25" si="1">IF($AA22&gt;AB$19,IF($AA22&lt;=AB$20,$AA22,NA()),NA())</f>
        <v>#REF!</v>
      </c>
      <c r="AC22" s="67" t="e">
        <f t="shared" si="1"/>
        <v>#REF!</v>
      </c>
      <c r="AD22" s="67" t="e">
        <f t="shared" si="1"/>
        <v>#REF!</v>
      </c>
      <c r="AE22" s="67" t="e">
        <f t="shared" si="1"/>
        <v>#REF!</v>
      </c>
      <c r="AF22" s="67" t="e">
        <f t="shared" si="1"/>
        <v>#REF!</v>
      </c>
      <c r="AG22" s="71"/>
      <c r="AH22" s="71"/>
      <c r="AI22" s="71"/>
    </row>
    <row r="23" spans="1:35" ht="229.5" customHeight="1">
      <c r="A23" s="3"/>
      <c r="B23" s="846" t="str">
        <f>+'Introducerea datelor'!B124</f>
        <v>TCS-1: Percentage of adults and children currently receiving antiretroviral therapy among all adults and children living with HIV // Procentul adultilor si copiilor in TARV in totalul adultilor si copiilor care traiesc cu HIV</v>
      </c>
      <c r="C23" s="846"/>
      <c r="D23" s="846"/>
      <c r="E23" s="511">
        <v>0.27</v>
      </c>
      <c r="F23" s="511">
        <v>0.21</v>
      </c>
      <c r="G23" s="847">
        <f>F23/E23</f>
        <v>0.77777777777777768</v>
      </c>
      <c r="H23" s="848"/>
      <c r="I23" s="848"/>
      <c r="J23" s="848"/>
      <c r="K23" s="849"/>
      <c r="L23" s="862" t="s">
        <v>481</v>
      </c>
      <c r="M23" s="863"/>
      <c r="N23" s="863"/>
      <c r="O23" s="863"/>
      <c r="P23" s="863"/>
      <c r="Q23" s="863"/>
      <c r="S23" s="69"/>
      <c r="T23" s="67" t="e">
        <f t="shared" si="0"/>
        <v>#N/A</v>
      </c>
      <c r="U23" s="67" t="e">
        <f t="shared" si="0"/>
        <v>#N/A</v>
      </c>
      <c r="V23" s="67" t="e">
        <f t="shared" si="0"/>
        <v>#N/A</v>
      </c>
      <c r="W23" s="67" t="e">
        <f t="shared" si="0"/>
        <v>#N/A</v>
      </c>
      <c r="X23" s="67" t="e">
        <f>IF($K20&gt;X$19,IF($K20&lt;=X$20,1,NA()),NA())</f>
        <v>#N/A</v>
      </c>
      <c r="Y23" s="71"/>
      <c r="Z23" s="194" t="e">
        <f>+'Detalii despre Grant'!#REF!</f>
        <v>#REF!</v>
      </c>
      <c r="AA23" s="67" t="e">
        <f>+IF(Z23="A1",1,IF(Z23="A2",0.8,IF(Z23="B1",0.6,IF(Z23="B2",0.4,0.2))))</f>
        <v>#REF!</v>
      </c>
      <c r="AB23" s="67" t="e">
        <f t="shared" si="1"/>
        <v>#REF!</v>
      </c>
      <c r="AC23" s="67" t="e">
        <f t="shared" si="1"/>
        <v>#REF!</v>
      </c>
      <c r="AD23" s="67" t="e">
        <f t="shared" si="1"/>
        <v>#REF!</v>
      </c>
      <c r="AE23" s="67" t="e">
        <f t="shared" si="1"/>
        <v>#REF!</v>
      </c>
      <c r="AF23" s="67" t="e">
        <f t="shared" si="1"/>
        <v>#REF!</v>
      </c>
      <c r="AG23" s="71"/>
      <c r="AH23" s="71"/>
      <c r="AI23" s="71"/>
    </row>
    <row r="24" spans="1:35" ht="49.5" customHeight="1">
      <c r="A24" s="3"/>
      <c r="B24" s="845" t="str">
        <f>+'Introducerea datelor'!B126</f>
        <v>TCS-2: Percentage of people living with HIV that initiated ART with CD4 count of &lt;200 cells/mm³ // Procentul persoanelor infectate cu HIV care au initiat TARV cu nivelul CD4 &lt;200 celule/mm³</v>
      </c>
      <c r="C24" s="846"/>
      <c r="D24" s="846"/>
      <c r="E24" s="551" t="s">
        <v>457</v>
      </c>
      <c r="F24" s="511">
        <v>0.28999999999999998</v>
      </c>
      <c r="G24" s="847">
        <f>40/29</f>
        <v>1.3793103448275863</v>
      </c>
      <c r="H24" s="848"/>
      <c r="I24" s="848"/>
      <c r="J24" s="848"/>
      <c r="K24" s="849"/>
      <c r="L24" s="850" t="s">
        <v>522</v>
      </c>
      <c r="M24" s="850"/>
      <c r="N24" s="850"/>
      <c r="O24" s="850"/>
      <c r="P24" s="850"/>
      <c r="Q24" s="850"/>
      <c r="S24" s="69"/>
      <c r="T24" s="67" t="e">
        <f t="shared" ref="T24:W25" si="2">IF($K20&gt;T$19,IF($K20&lt;=T$20,$K20,NA()),NA())</f>
        <v>#N/A</v>
      </c>
      <c r="U24" s="67" t="e">
        <f t="shared" si="2"/>
        <v>#N/A</v>
      </c>
      <c r="V24" s="67" t="e">
        <f t="shared" si="2"/>
        <v>#N/A</v>
      </c>
      <c r="W24" s="67" t="e">
        <f t="shared" si="2"/>
        <v>#N/A</v>
      </c>
      <c r="X24" s="67" t="e">
        <f>IF($K20&gt;X$19,IF($K20&lt;=X$20,1,1),NA())</f>
        <v>#N/A</v>
      </c>
      <c r="Y24" s="71"/>
      <c r="Z24" s="194"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57" customHeight="1">
      <c r="A25" s="3"/>
      <c r="B25" s="867" t="str">
        <f>+'Introducerea datelor'!B128</f>
        <v>TCS-3: Percentage of adults and children that initiated ART, with an undetectable viral load at 12 months (&lt;1000 copies/ml) // Procentul adultilor si copiilor care au initiat TARV, care au incarcatura virala nedetectabila la 12 luni (&lt;1000 copii/ml)</v>
      </c>
      <c r="C25" s="868"/>
      <c r="D25" s="869"/>
      <c r="E25" s="511">
        <v>0.79</v>
      </c>
      <c r="F25" s="511">
        <v>0.79400000000000004</v>
      </c>
      <c r="G25" s="847">
        <f>F25/E25</f>
        <v>1.0050632911392405</v>
      </c>
      <c r="H25" s="848"/>
      <c r="I25" s="848"/>
      <c r="J25" s="848"/>
      <c r="K25" s="849"/>
      <c r="L25" s="850" t="s">
        <v>482</v>
      </c>
      <c r="M25" s="850"/>
      <c r="N25" s="850"/>
      <c r="O25" s="850"/>
      <c r="P25" s="850"/>
      <c r="Q25" s="850"/>
      <c r="S25" s="69"/>
      <c r="T25" s="67" t="e">
        <f t="shared" si="2"/>
        <v>#N/A</v>
      </c>
      <c r="U25" s="67" t="e">
        <f t="shared" si="2"/>
        <v>#N/A</v>
      </c>
      <c r="V25" s="67" t="e">
        <f t="shared" si="2"/>
        <v>#N/A</v>
      </c>
      <c r="W25" s="67" t="e">
        <f t="shared" si="2"/>
        <v>#N/A</v>
      </c>
      <c r="X25" s="67" t="e">
        <f>IF($K21&gt;X$19,IF($K21&lt;=X$20,1,1),NA())</f>
        <v>#N/A</v>
      </c>
      <c r="Y25" s="71"/>
      <c r="Z25" s="194"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24.5" hidden="1" customHeight="1">
      <c r="A26" s="3"/>
      <c r="B26" s="846">
        <f>+'Introducerea datelor'!B136</f>
        <v>0</v>
      </c>
      <c r="C26" s="846"/>
      <c r="D26" s="846"/>
      <c r="E26" s="471" t="s">
        <v>407</v>
      </c>
      <c r="F26" s="472">
        <v>50.2</v>
      </c>
      <c r="G26" s="847">
        <v>0.63</v>
      </c>
      <c r="H26" s="848"/>
      <c r="I26" s="848"/>
      <c r="J26" s="848"/>
      <c r="K26" s="849"/>
      <c r="L26" s="862" t="s">
        <v>408</v>
      </c>
      <c r="M26" s="863"/>
      <c r="N26" s="863"/>
      <c r="O26" s="863"/>
      <c r="P26" s="863"/>
      <c r="Q26" s="863"/>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375.75" hidden="1" customHeight="1">
      <c r="A27" s="3"/>
      <c r="B27" s="872">
        <f>+'Introducerea datelor'!B138</f>
        <v>0</v>
      </c>
      <c r="C27" s="868"/>
      <c r="D27" s="869"/>
      <c r="E27" s="471">
        <v>2323</v>
      </c>
      <c r="F27" s="472">
        <v>2307</v>
      </c>
      <c r="G27" s="847">
        <f t="shared" ref="G27" si="3">+IF(ISERROR(F27/E27),0,F27/E27)</f>
        <v>0.99311235471373227</v>
      </c>
      <c r="H27" s="848"/>
      <c r="I27" s="848"/>
      <c r="J27" s="848"/>
      <c r="K27" s="849"/>
      <c r="L27" s="863" t="s">
        <v>409</v>
      </c>
      <c r="M27" s="863"/>
      <c r="N27" s="863"/>
      <c r="O27" s="863"/>
      <c r="P27" s="863"/>
      <c r="Q27" s="863"/>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ht="22.5" customHeight="1">
      <c r="A28" s="3"/>
      <c r="B28" s="870"/>
      <c r="C28" s="870"/>
      <c r="D28" s="870"/>
      <c r="E28" s="871"/>
      <c r="F28" s="860"/>
      <c r="G28" s="861"/>
      <c r="H28" s="861"/>
      <c r="I28" s="861"/>
      <c r="J28" s="861"/>
      <c r="K28" s="871"/>
      <c r="L28" s="860"/>
      <c r="M28" s="861"/>
      <c r="N28" s="861"/>
      <c r="O28" s="861"/>
      <c r="P28" s="861"/>
      <c r="S28" s="69"/>
      <c r="T28" s="67" t="e">
        <f>IF($K27&gt;T$19,IF($K27&lt;=T$20,$K27,NA()),NA())</f>
        <v>#N/A</v>
      </c>
      <c r="U28" s="67" t="e">
        <f>IF($K27&gt;U$19,IF($K27&lt;=U$20,$K27,NA()),NA())</f>
        <v>#N/A</v>
      </c>
      <c r="V28" s="67" t="e">
        <f>IF($K27&gt;V$19,IF($K27&lt;=V$20,$K27,NA()),NA())</f>
        <v>#N/A</v>
      </c>
      <c r="W28" s="67" t="e">
        <f>IF($K27&gt;W$19,IF($K27&lt;=W$20,$K27,NA()),NA())</f>
        <v>#N/A</v>
      </c>
      <c r="X28" s="67" t="e">
        <f>IF($K27&gt;X$19,IF($K27&lt;=X$20,1,NA()),NA())</f>
        <v>#N/A</v>
      </c>
      <c r="Y28" s="71"/>
      <c r="Z28" s="71"/>
      <c r="AA28" s="71"/>
      <c r="AB28" s="71"/>
      <c r="AC28" s="71"/>
      <c r="AD28" s="71"/>
      <c r="AE28" s="71"/>
      <c r="AF28" s="71"/>
      <c r="AG28" s="71"/>
      <c r="AH28" s="71"/>
      <c r="AI28" s="71"/>
    </row>
    <row r="29" spans="1:35">
      <c r="A29" s="3"/>
      <c r="B29" s="224"/>
      <c r="C29" s="224"/>
      <c r="D29" s="224"/>
      <c r="E29" s="224"/>
      <c r="F29" s="224"/>
      <c r="G29" s="224"/>
      <c r="H29" s="225"/>
      <c r="I29" s="224"/>
      <c r="J29" s="224"/>
      <c r="K29" s="224"/>
      <c r="L29" s="224"/>
      <c r="M29" s="224"/>
      <c r="N29" s="224"/>
      <c r="O29" s="224"/>
      <c r="P29" s="224"/>
      <c r="S29" s="69"/>
      <c r="T29" s="67" t="e">
        <f>IF(#REF!&gt;T$19,IF(#REF!&lt;=T$20,#REF!,NA()),NA())</f>
        <v>#REF!</v>
      </c>
      <c r="U29" s="67" t="e">
        <f>IF(#REF!&gt;U$19,IF(#REF!&lt;=U$20,#REF!,NA()),NA())</f>
        <v>#REF!</v>
      </c>
      <c r="V29" s="67" t="e">
        <f>IF(#REF!&gt;V$19,IF(#REF!&lt;=V$20,#REF!,NA()),NA())</f>
        <v>#REF!</v>
      </c>
      <c r="W29" s="67" t="e">
        <f>IF(#REF!&gt;W$19,IF(#REF!&lt;=W$20,#REF!,NA()),NA())</f>
        <v>#REF!</v>
      </c>
      <c r="X29" s="67" t="e">
        <f>IF(#REF!&gt;X$19,IF(#REF!&lt;=X$20,1,NA()),NA())</f>
        <v>#REF!</v>
      </c>
      <c r="Y29" s="71"/>
      <c r="Z29" s="71"/>
      <c r="AA29" s="71"/>
      <c r="AB29" s="71"/>
      <c r="AC29" s="71"/>
      <c r="AD29" s="71"/>
      <c r="AE29" s="71"/>
      <c r="AF29" s="71"/>
      <c r="AG29" s="71"/>
      <c r="AH29" s="71"/>
      <c r="AI29" s="71"/>
    </row>
    <row r="30" spans="1:35">
      <c r="A30" s="3"/>
      <c r="B30" s="866"/>
      <c r="C30" s="866"/>
      <c r="D30" s="866"/>
      <c r="E30" s="866"/>
      <c r="F30" s="866"/>
      <c r="G30" s="866"/>
      <c r="H30" s="866"/>
      <c r="I30" s="866"/>
      <c r="J30" s="866"/>
      <c r="K30" s="866"/>
      <c r="L30" s="224"/>
      <c r="M30" s="224"/>
      <c r="N30" s="224"/>
      <c r="O30" s="224"/>
      <c r="P30" s="224"/>
      <c r="S30" s="69"/>
      <c r="T30" s="67" t="e">
        <f>IF($K28&gt;T$19,IF($K28&lt;=T$20,$K28,NA()),NA())</f>
        <v>#N/A</v>
      </c>
      <c r="U30" s="67" t="e">
        <f>IF($K28&gt;U$19,IF($K28&lt;=U$20,$K28,NA()),NA())</f>
        <v>#N/A</v>
      </c>
      <c r="V30" s="67" t="e">
        <f>IF($K28&gt;V$19,IF($K28&lt;=V$20,$K28,NA()),NA())</f>
        <v>#N/A</v>
      </c>
      <c r="W30" s="67" t="e">
        <f>IF($K28&gt;W$19,IF($K28&lt;=W$20,$K28,NA()),NA())</f>
        <v>#N/A</v>
      </c>
      <c r="X30" s="67" t="e">
        <f>IF($K28&gt;X$19,IF($K28&lt;=X$20,1,NA()),NA())</f>
        <v>#N/A</v>
      </c>
      <c r="Y30" s="71"/>
      <c r="Z30" s="71"/>
      <c r="AA30" s="71"/>
      <c r="AB30" s="71"/>
      <c r="AC30" s="71"/>
      <c r="AD30" s="71"/>
      <c r="AE30" s="71"/>
      <c r="AF30" s="71"/>
      <c r="AG30" s="71"/>
      <c r="AH30" s="71"/>
      <c r="AI30" s="71"/>
    </row>
    <row r="31" spans="1:35">
      <c r="A31" s="3"/>
      <c r="B31" s="866"/>
      <c r="C31" s="866"/>
      <c r="D31" s="866"/>
      <c r="E31" s="866"/>
      <c r="F31" s="866"/>
      <c r="G31" s="866"/>
      <c r="H31" s="866"/>
      <c r="I31" s="866"/>
      <c r="J31" s="866"/>
      <c r="K31" s="866"/>
      <c r="L31" s="224"/>
      <c r="M31" s="224"/>
      <c r="N31" s="224"/>
      <c r="O31" s="224"/>
      <c r="P31" s="224"/>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00"/>
      <c r="J32" s="100"/>
      <c r="K32" s="100"/>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2"/>
      <c r="J33" s="143"/>
      <c r="K33" s="143"/>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4"/>
      <c r="J34" s="145"/>
      <c r="K34" s="102"/>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6"/>
      <c r="J35" s="145"/>
      <c r="K35" s="102"/>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02"/>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3"/>
      <c r="J39" s="3"/>
      <c r="K39" s="3"/>
      <c r="L39" s="3"/>
      <c r="M39" s="3"/>
      <c r="N39" s="3"/>
      <c r="O39" s="3"/>
      <c r="P39" s="3"/>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row r="43" spans="1:35">
      <c r="S43" s="64"/>
      <c r="T43" s="64"/>
      <c r="U43" s="64"/>
      <c r="V43" s="64"/>
      <c r="W43" s="64"/>
      <c r="X43" s="64"/>
      <c r="Y43" s="64"/>
      <c r="Z43" s="64"/>
      <c r="AA43" s="64"/>
      <c r="AB43" s="64"/>
    </row>
  </sheetData>
  <mergeCells count="49">
    <mergeCell ref="M9:Q9"/>
    <mergeCell ref="C3:D3"/>
    <mergeCell ref="E4:L4"/>
    <mergeCell ref="B8:E8"/>
    <mergeCell ref="F8:K8"/>
    <mergeCell ref="C9:E9"/>
    <mergeCell ref="G9:K9"/>
    <mergeCell ref="B2:Q2"/>
    <mergeCell ref="O3:P3"/>
    <mergeCell ref="D5:N5"/>
    <mergeCell ref="L8:Q8"/>
    <mergeCell ref="F6:K6"/>
    <mergeCell ref="E3:K3"/>
    <mergeCell ref="C4:D4"/>
    <mergeCell ref="B30:D31"/>
    <mergeCell ref="E30:G31"/>
    <mergeCell ref="H30:K31"/>
    <mergeCell ref="B25:D25"/>
    <mergeCell ref="G25:K25"/>
    <mergeCell ref="B28:E28"/>
    <mergeCell ref="F28:K28"/>
    <mergeCell ref="G26:K26"/>
    <mergeCell ref="G27:K27"/>
    <mergeCell ref="B26:D26"/>
    <mergeCell ref="B27:D27"/>
    <mergeCell ref="L28:P28"/>
    <mergeCell ref="L20:Q20"/>
    <mergeCell ref="L21:Q21"/>
    <mergeCell ref="L23:Q23"/>
    <mergeCell ref="L26:Q26"/>
    <mergeCell ref="L25:Q25"/>
    <mergeCell ref="L27:Q27"/>
    <mergeCell ref="L22:Q22"/>
    <mergeCell ref="E18:K18"/>
    <mergeCell ref="B19:D19"/>
    <mergeCell ref="B20:D20"/>
    <mergeCell ref="B21:D21"/>
    <mergeCell ref="G20:K20"/>
    <mergeCell ref="G21:K21"/>
    <mergeCell ref="B24:D24"/>
    <mergeCell ref="G24:K24"/>
    <mergeCell ref="L24:Q24"/>
    <mergeCell ref="B23:D23"/>
    <mergeCell ref="G19:H19"/>
    <mergeCell ref="I19:J19"/>
    <mergeCell ref="G23:K23"/>
    <mergeCell ref="G22:K22"/>
    <mergeCell ref="L19:Q19"/>
    <mergeCell ref="B22:D22"/>
  </mergeCells>
  <phoneticPr fontId="30" type="noConversion"/>
  <conditionalFormatting sqref="C4:D4">
    <cfRule type="cellIs" dxfId="23" priority="74" stopIfTrue="1" operator="equal">
      <formula>"C"</formula>
    </cfRule>
    <cfRule type="cellIs" dxfId="22" priority="75" stopIfTrue="1" operator="equal">
      <formula>"B2"</formula>
    </cfRule>
    <cfRule type="cellIs" dxfId="21" priority="76" stopIfTrue="1" operator="equal">
      <formula>"B1"</formula>
    </cfRule>
  </conditionalFormatting>
  <conditionalFormatting sqref="G20:G21 G26:G27">
    <cfRule type="cellIs" dxfId="20" priority="80" stopIfTrue="1" operator="between">
      <formula>0</formula>
      <formula>0.599</formula>
    </cfRule>
    <cfRule type="cellIs" dxfId="19" priority="81" stopIfTrue="1" operator="between">
      <formula>0.6</formula>
      <formula>0.899</formula>
    </cfRule>
    <cfRule type="cellIs" dxfId="18" priority="82" stopIfTrue="1" operator="greaterThanOrEqual">
      <formula>0.9</formula>
    </cfRule>
  </conditionalFormatting>
  <conditionalFormatting sqref="G22">
    <cfRule type="cellIs" dxfId="17" priority="16" stopIfTrue="1" operator="between">
      <formula>0</formula>
      <formula>0.599</formula>
    </cfRule>
    <cfRule type="cellIs" dxfId="16" priority="17" stopIfTrue="1" operator="between">
      <formula>0.6</formula>
      <formula>0.899</formula>
    </cfRule>
    <cfRule type="cellIs" dxfId="15" priority="18" stopIfTrue="1" operator="greaterThanOrEqual">
      <formula>0.9</formula>
    </cfRule>
  </conditionalFormatting>
  <conditionalFormatting sqref="G24">
    <cfRule type="cellIs" dxfId="14" priority="10" stopIfTrue="1" operator="between">
      <formula>0</formula>
      <formula>0.599</formula>
    </cfRule>
    <cfRule type="cellIs" dxfId="13" priority="11" stopIfTrue="1" operator="between">
      <formula>0.6</formula>
      <formula>0.899</formula>
    </cfRule>
    <cfRule type="cellIs" dxfId="12" priority="12" stopIfTrue="1" operator="greaterThanOrEqual">
      <formula>0.9</formula>
    </cfRule>
  </conditionalFormatting>
  <conditionalFormatting sqref="G23">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5">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5:Y25" formula="1"/>
    <ignoredError sqref="Z25:AC25" evalError="1" formula="1"/>
    <ignoredError sqref="AD25:AF25 T29:X2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0"/>
  <sheetViews>
    <sheetView showGridLines="0" zoomScale="130" zoomScaleNormal="130" zoomScalePageLayoutView="40" workbookViewId="0">
      <selection activeCell="D31" sqref="D31:G31"/>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0.42578125" style="31" customWidth="1"/>
    <col min="10" max="10" width="3.5703125" style="31" customWidth="1"/>
    <col min="11" max="11" width="4.140625" style="32" customWidth="1"/>
    <col min="12" max="12" width="19.85546875" style="31" customWidth="1"/>
    <col min="13" max="13" width="12" style="31" customWidth="1"/>
    <col min="14" max="14" width="14.28515625" style="31" customWidth="1"/>
    <col min="15" max="15" width="2.5703125" style="31" customWidth="1"/>
    <col min="16" max="16384" width="9.140625" style="31"/>
  </cols>
  <sheetData>
    <row r="1" spans="1:15" ht="38.25" customHeight="1">
      <c r="A1" s="148"/>
      <c r="B1" s="148"/>
      <c r="C1" s="148"/>
      <c r="D1" s="148"/>
      <c r="E1" s="148"/>
      <c r="F1" s="148"/>
      <c r="G1" s="148"/>
      <c r="H1" s="148"/>
      <c r="I1" s="148"/>
      <c r="J1" s="148"/>
      <c r="K1" s="149"/>
      <c r="L1" s="148"/>
      <c r="M1" s="148"/>
      <c r="N1" s="148"/>
    </row>
    <row r="2" spans="1:15" customFormat="1" ht="27.75" customHeight="1">
      <c r="A2" s="3"/>
      <c r="B2" s="873" t="str">
        <f>+"Dashboard:  "&amp;"  "&amp;IF(+'Introducerea datelor'!C4="Please Select","",'Introducerea datelor'!C4&amp;" - ")&amp;IF('Introducerea datelor'!G6="Please Select","",'Introducerea datelor'!G6)</f>
        <v>Dashboard:    Moldova - HIV / AIDS</v>
      </c>
      <c r="C2" s="873"/>
      <c r="D2" s="873"/>
      <c r="E2" s="873"/>
      <c r="F2" s="873"/>
      <c r="G2" s="873"/>
      <c r="H2" s="873"/>
      <c r="I2" s="873"/>
      <c r="J2" s="873"/>
      <c r="K2" s="873"/>
      <c r="L2" s="873"/>
      <c r="M2" s="873"/>
      <c r="N2" s="873"/>
      <c r="O2" s="73"/>
    </row>
    <row r="3" spans="1:15" customFormat="1" ht="18.75">
      <c r="A3" s="3"/>
      <c r="B3" s="130" t="str">
        <f>+IF('Introducerea datelor'!G8="Please Select","",'Introducerea datelor'!G8)</f>
        <v/>
      </c>
      <c r="C3" s="799">
        <f>+IF('Introducerea datelor'!I8="Please Select","",'Introducerea datelor'!I8)</f>
        <v>0</v>
      </c>
      <c r="D3" s="799"/>
      <c r="E3" s="877"/>
      <c r="F3" s="877"/>
      <c r="G3" s="877"/>
      <c r="H3" s="877"/>
      <c r="I3" s="877"/>
      <c r="J3" s="877"/>
      <c r="K3" s="877"/>
      <c r="L3" s="130" t="str">
        <f>+'Introducerea datelor'!B16</f>
        <v>Perioada de Raportare:</v>
      </c>
      <c r="M3" s="196" t="str">
        <f>+'Introducerea datelor'!C16</f>
        <v>P2</v>
      </c>
      <c r="N3" s="196"/>
      <c r="O3" s="31"/>
    </row>
    <row r="4" spans="1:15" customFormat="1" ht="15">
      <c r="A4" s="3"/>
      <c r="B4" s="130" t="str">
        <f>+'Introducerea datelor'!B12</f>
        <v>Ultimul Rating:</v>
      </c>
      <c r="C4" s="930" t="str">
        <f>+IF('Introducerea datelor'!C12="Please Select","",'Introducerea datelor'!C12)</f>
        <v>A2</v>
      </c>
      <c r="D4" s="930"/>
      <c r="E4" s="798" t="str">
        <f>+'Introducerea datelor'!C8</f>
        <v>IP "UCIMP DS"</v>
      </c>
      <c r="F4" s="798"/>
      <c r="G4" s="798"/>
      <c r="H4" s="798"/>
      <c r="I4" s="798"/>
      <c r="J4" s="798"/>
      <c r="K4" s="798"/>
      <c r="L4" s="130" t="str">
        <f>+'Introducerea datelor'!D16</f>
        <v>De la:</v>
      </c>
      <c r="M4" s="197">
        <f>+IF(ISBLANK('Introducerea datelor'!E16),"",'Introducerea datelor'!E16)</f>
        <v>42186</v>
      </c>
      <c r="N4" s="197"/>
      <c r="O4" s="31"/>
    </row>
    <row r="5" spans="1:15" customFormat="1" ht="18.75" customHeight="1">
      <c r="A5" s="3"/>
      <c r="B5" s="130"/>
      <c r="C5" s="130"/>
      <c r="D5" s="131"/>
      <c r="E5" s="798" t="str">
        <f>+'Introducerea datelor'!G4</f>
        <v xml:space="preserve">Fortificarea controlului infecției HIV în RM (2015-2017)
</v>
      </c>
      <c r="F5" s="798"/>
      <c r="G5" s="798"/>
      <c r="H5" s="798"/>
      <c r="I5" s="798"/>
      <c r="J5" s="798"/>
      <c r="K5" s="798"/>
      <c r="L5" s="130" t="str">
        <f>+'Introducerea datelor'!F16</f>
        <v>Pînă la:</v>
      </c>
      <c r="M5" s="197">
        <f>+IF(ISBLANK('Introducerea datelor'!G16),"",'Introducerea datelor'!G16)</f>
        <v>42369</v>
      </c>
      <c r="N5" s="197"/>
    </row>
    <row r="6" spans="1:15" customFormat="1" ht="22.5" customHeight="1">
      <c r="A6" s="3"/>
      <c r="B6" s="135"/>
      <c r="C6" s="136"/>
      <c r="D6" s="137"/>
      <c r="E6" s="929" t="s">
        <v>489</v>
      </c>
      <c r="F6" s="929"/>
      <c r="G6" s="929"/>
      <c r="H6" s="929"/>
      <c r="I6" s="929"/>
      <c r="J6" s="929"/>
      <c r="K6" s="929"/>
      <c r="L6" s="2"/>
      <c r="M6" s="2"/>
      <c r="N6" s="2"/>
    </row>
    <row r="7" spans="1:15" s="33" customFormat="1" ht="4.5" customHeight="1">
      <c r="A7" s="150"/>
      <c r="B7" s="151"/>
      <c r="C7" s="151"/>
      <c r="D7" s="151"/>
      <c r="E7" s="151"/>
      <c r="F7" s="151"/>
      <c r="G7" s="151"/>
      <c r="H7" s="151"/>
      <c r="I7" s="151"/>
      <c r="J7" s="151"/>
      <c r="K7" s="151"/>
      <c r="L7" s="152"/>
      <c r="M7" s="152"/>
      <c r="N7" s="153"/>
    </row>
    <row r="8" spans="1:15" s="33" customFormat="1" ht="21" customHeight="1" thickBot="1">
      <c r="A8" s="150"/>
      <c r="B8" s="905" t="s">
        <v>490</v>
      </c>
      <c r="C8" s="905"/>
      <c r="D8" s="905"/>
      <c r="E8" s="905"/>
      <c r="F8" s="905"/>
      <c r="G8" s="905"/>
      <c r="H8" s="905"/>
      <c r="I8" s="905"/>
      <c r="J8" s="905"/>
      <c r="K8" s="905"/>
      <c r="L8" s="905"/>
      <c r="M8" s="905"/>
      <c r="N8" s="905"/>
    </row>
    <row r="9" spans="1:15" s="33" customFormat="1" ht="3.75" customHeight="1" thickBot="1">
      <c r="A9" s="150"/>
      <c r="B9" s="151"/>
      <c r="C9" s="151"/>
      <c r="D9" s="151"/>
      <c r="E9" s="151"/>
      <c r="F9" s="151"/>
      <c r="G9" s="151"/>
      <c r="H9" s="151"/>
      <c r="I9" s="151"/>
      <c r="J9" s="151"/>
      <c r="K9" s="151"/>
      <c r="L9" s="152"/>
      <c r="M9" s="152"/>
      <c r="N9" s="153"/>
    </row>
    <row r="10" spans="1:15" s="34" customFormat="1" ht="25.5" customHeight="1" thickBot="1">
      <c r="A10" s="154"/>
      <c r="B10" s="888" t="s">
        <v>492</v>
      </c>
      <c r="C10" s="940"/>
      <c r="D10" s="931" t="s">
        <v>491</v>
      </c>
      <c r="E10" s="932"/>
      <c r="F10" s="932"/>
      <c r="G10" s="933"/>
      <c r="H10" s="157"/>
      <c r="I10" s="931" t="s">
        <v>489</v>
      </c>
      <c r="J10" s="932"/>
      <c r="K10" s="932"/>
      <c r="L10" s="932"/>
      <c r="M10" s="932"/>
      <c r="N10" s="933"/>
    </row>
    <row r="11" spans="1:15" s="34" customFormat="1" ht="28.5" customHeight="1">
      <c r="A11" s="154"/>
      <c r="B11" s="414" t="s">
        <v>71</v>
      </c>
      <c r="C11" s="174"/>
      <c r="D11" s="906" t="str">
        <f>IF(ISBLANK(Financiar!C9),"",(Financiar!C9))</f>
        <v xml:space="preserve">conform planului si cererii de debursare </v>
      </c>
      <c r="E11" s="906"/>
      <c r="F11" s="906"/>
      <c r="G11" s="907"/>
      <c r="H11" s="180"/>
      <c r="I11" s="920"/>
      <c r="J11" s="921"/>
      <c r="K11" s="921"/>
      <c r="L11" s="921"/>
      <c r="M11" s="921"/>
      <c r="N11" s="922"/>
    </row>
    <row r="12" spans="1:15" s="34" customFormat="1" ht="197.25" customHeight="1">
      <c r="A12" s="154"/>
      <c r="B12" s="415" t="s">
        <v>72</v>
      </c>
      <c r="C12" s="175"/>
      <c r="D12" s="906" t="str">
        <f>IF(ISBLANK(Financiar!C23),"",(Financiar!C23))</f>
        <v xml:space="preserve">Utilizarea resurselor în perioada de raportare a fost la un nivel de 75% față de bugetul planificat, variația absolută față de bugetul planificat constituind 300,837 EUR, fiind condiționată in special de:
- cheltuieli sub nivelul planificat in legătura cu (i) întârzieri in implementarea activităților la componenta de fortificare a capacităților de laborator prin dotare echipamente, implementarea sistemului integrat SIME HIV, fortificarea capacităților unității de coordonare a PN și elaborarea planului de sustenabilitate a PN și (ii) economii înregistrate în legătură cu achizițiile de lapte-praf pentru copiii născuți de mame infectate cu HIV; fortificarea capacităților medicilor-infecționiști și specialiștilor CTV; procurarea preparatelor ARV, reactivelor și consumabilelor destinate monitorizării pacienților infectați cu HIV; vizitelor de monitorizare desfășurate de specialiștii responsabili pentru coordonarea programului național; cheltuielilor administrative ale unității de management a programului național
-cheltuieli peste nivelul planificat în special în legătură cu realizarea angajamentelor fazei II a grantului consolidat.
*Cashflow-ul pentru perioada de raportare se anexează.
   </v>
      </c>
      <c r="E12" s="906"/>
      <c r="F12" s="906"/>
      <c r="G12" s="907"/>
      <c r="H12" s="180"/>
      <c r="I12" s="941"/>
      <c r="J12" s="942"/>
      <c r="K12" s="942"/>
      <c r="L12" s="942"/>
      <c r="M12" s="942"/>
      <c r="N12" s="943"/>
    </row>
    <row r="13" spans="1:15" s="34" customFormat="1" ht="26.25" customHeight="1">
      <c r="A13" s="154"/>
      <c r="B13" s="415" t="s">
        <v>73</v>
      </c>
      <c r="C13" s="175"/>
      <c r="D13" s="906" t="str">
        <f>IF(ISBLANK(Financiar!I9),"",(Financiar!I9))</f>
        <v xml:space="preserve">conform cererii de debursare din partea RP </v>
      </c>
      <c r="E13" s="906"/>
      <c r="F13" s="906"/>
      <c r="G13" s="907"/>
      <c r="H13" s="180"/>
      <c r="I13" s="941"/>
      <c r="J13" s="942"/>
      <c r="K13" s="942"/>
      <c r="L13" s="942"/>
      <c r="M13" s="942"/>
      <c r="N13" s="943"/>
    </row>
    <row r="14" spans="1:15" s="34" customFormat="1" ht="45" customHeight="1" thickBot="1">
      <c r="A14" s="154"/>
      <c r="B14" s="416" t="s">
        <v>74</v>
      </c>
      <c r="C14" s="176"/>
      <c r="D14" s="947" t="str">
        <f>IF(ISBLANK(Financiar!I23),"",(Financiar!I23))</f>
        <v xml:space="preserve">Raportul de Progres privind implementarea grantului NFM in Semestrul II 2015 a fost remis Agentului Local al FG spre examinare si aprobare de către GFATM. </v>
      </c>
      <c r="E14" s="947"/>
      <c r="F14" s="947"/>
      <c r="G14" s="948"/>
      <c r="H14" s="180"/>
      <c r="I14" s="944"/>
      <c r="J14" s="945"/>
      <c r="K14" s="945"/>
      <c r="L14" s="945"/>
      <c r="M14" s="945"/>
      <c r="N14" s="946"/>
    </row>
    <row r="15" spans="1:15" s="34" customFormat="1" ht="4.5" customHeight="1">
      <c r="A15" s="154"/>
      <c r="B15" s="177"/>
      <c r="C15" s="178"/>
      <c r="D15" s="179"/>
      <c r="E15" s="179"/>
      <c r="F15" s="179"/>
      <c r="G15" s="179"/>
      <c r="H15" s="180"/>
      <c r="I15" s="181"/>
      <c r="J15" s="181"/>
      <c r="K15" s="181"/>
      <c r="L15" s="181"/>
      <c r="M15" s="181"/>
      <c r="N15" s="181"/>
      <c r="O15" s="75"/>
    </row>
    <row r="16" spans="1:15" s="33" customFormat="1" ht="21" customHeight="1" thickBot="1">
      <c r="A16" s="150"/>
      <c r="B16" s="905" t="s">
        <v>493</v>
      </c>
      <c r="C16" s="905"/>
      <c r="D16" s="905"/>
      <c r="E16" s="905"/>
      <c r="F16" s="905"/>
      <c r="G16" s="905"/>
      <c r="H16" s="905"/>
      <c r="I16" s="905"/>
      <c r="J16" s="905"/>
      <c r="K16" s="905"/>
      <c r="L16" s="905"/>
      <c r="M16" s="905"/>
      <c r="N16" s="905"/>
    </row>
    <row r="17" spans="1:15" s="34" customFormat="1" ht="3.75" customHeight="1" thickBot="1">
      <c r="A17" s="154"/>
      <c r="B17" s="163"/>
      <c r="C17" s="164"/>
      <c r="D17" s="165"/>
      <c r="E17" s="166"/>
      <c r="F17" s="167"/>
      <c r="G17" s="167"/>
      <c r="H17" s="168"/>
      <c r="I17" s="169"/>
      <c r="J17" s="170"/>
      <c r="K17" s="159"/>
      <c r="L17" s="160"/>
      <c r="M17" s="161"/>
      <c r="N17" s="162"/>
    </row>
    <row r="18" spans="1:15" s="34" customFormat="1" ht="22.5" customHeight="1" thickBot="1">
      <c r="A18" s="154"/>
      <c r="B18" s="940" t="s">
        <v>70</v>
      </c>
      <c r="C18" s="889"/>
      <c r="D18" s="926" t="s">
        <v>491</v>
      </c>
      <c r="E18" s="927"/>
      <c r="F18" s="927"/>
      <c r="G18" s="928"/>
      <c r="H18" s="157"/>
      <c r="I18" s="923" t="s">
        <v>489</v>
      </c>
      <c r="J18" s="924"/>
      <c r="K18" s="924"/>
      <c r="L18" s="924"/>
      <c r="M18" s="925"/>
      <c r="N18" s="925"/>
    </row>
    <row r="19" spans="1:15" s="34" customFormat="1" ht="130.5" customHeight="1">
      <c r="A19" s="154"/>
      <c r="B19" s="417" t="s">
        <v>79</v>
      </c>
      <c r="C19" s="182"/>
      <c r="D19" s="911" t="str">
        <f>IF(ISBLANK(Management!C8),"",(Management!C8))</f>
        <v xml:space="preserve">Descriere: În cazul IP UCIMPDS a fost stabilită acțiunea de management care condiționează deblocarea si posibilitatea valorificarii fondurilor alocate operaționalizării sistemului informațional SIME HIV de înregistrarea SIME HIV în Registrul sistemelor informationale utilizate la prelucrarea datelor cu caracter personal, in conformitate cu legislația Republicii Moldova, precum și de desemnarea oficială a instituției responsabile pentru SIME HIV.
Statut: A fost aprobat de către Ministerul Sănătății a Regulamentul privind organizarea și funcționarea subsistemului informațional integrat ”SIME HIV/SIDA/ITS”, precum si desemnata instituția responsabila pentru administrarea registrului și soluționarea problemelor ce țin de operaționalizarea acestuia. </v>
      </c>
      <c r="E19" s="911"/>
      <c r="F19" s="911"/>
      <c r="G19" s="912"/>
      <c r="H19" s="183"/>
      <c r="I19" s="934"/>
      <c r="J19" s="935"/>
      <c r="K19" s="935"/>
      <c r="L19" s="935"/>
      <c r="M19" s="935"/>
      <c r="N19" s="936"/>
    </row>
    <row r="20" spans="1:15" ht="24.75" customHeight="1">
      <c r="A20" s="148"/>
      <c r="B20" s="418" t="s">
        <v>80</v>
      </c>
      <c r="C20" s="184"/>
      <c r="D20" s="906" t="str">
        <f>IF(ISBLANK(Management!I8),"",(Management!I8))</f>
        <v>Sunt suplinite toate functiile de personal.</v>
      </c>
      <c r="E20" s="906">
        <f>+'Introducerea datelor'!D73/'Introducerea datelor'!G73</f>
        <v>0</v>
      </c>
      <c r="F20" s="906">
        <f>+('Introducerea datelor'!E73+'Introducerea datelor'!F73)/'Introducerea datelor'!G73</f>
        <v>1</v>
      </c>
      <c r="G20" s="913"/>
      <c r="H20" s="183"/>
      <c r="I20" s="890"/>
      <c r="J20" s="891"/>
      <c r="K20" s="891"/>
      <c r="L20" s="891"/>
      <c r="M20" s="891"/>
      <c r="N20" s="892"/>
      <c r="O20" s="35"/>
    </row>
    <row r="21" spans="1:15" ht="29.25" customHeight="1">
      <c r="A21" s="148"/>
      <c r="B21" s="419" t="s">
        <v>81</v>
      </c>
      <c r="C21" s="184"/>
      <c r="D21" s="906" t="str">
        <f>IF(ISBLANK(Management!C15),"",(Management!C15))</f>
        <v>n/a</v>
      </c>
      <c r="E21" s="906"/>
      <c r="F21" s="906"/>
      <c r="G21" s="913"/>
      <c r="H21" s="183"/>
      <c r="I21" s="890"/>
      <c r="J21" s="891"/>
      <c r="K21" s="891"/>
      <c r="L21" s="891"/>
      <c r="M21" s="891"/>
      <c r="N21" s="892"/>
      <c r="O21" s="35"/>
    </row>
    <row r="22" spans="1:15" ht="26.25" customHeight="1">
      <c r="A22" s="148"/>
      <c r="B22" s="419" t="s">
        <v>82</v>
      </c>
      <c r="C22" s="184"/>
      <c r="D22" s="906" t="str">
        <f>IF(ISBLANK(Management!I15),"",(Management!I15))</f>
        <v>n/a</v>
      </c>
      <c r="E22" s="906"/>
      <c r="F22" s="906"/>
      <c r="G22" s="913"/>
      <c r="H22" s="183"/>
      <c r="I22" s="890"/>
      <c r="J22" s="891"/>
      <c r="K22" s="891"/>
      <c r="L22" s="891"/>
      <c r="M22" s="891"/>
      <c r="N22" s="892"/>
      <c r="O22" s="35"/>
    </row>
    <row r="23" spans="1:15" ht="66.75" customHeight="1">
      <c r="A23" s="148"/>
      <c r="B23" s="419" t="s">
        <v>83</v>
      </c>
      <c r="C23" s="184"/>
      <c r="D23" s="906" t="str">
        <f>IF(ISBLANK(Management!C26),"",(Management!C26))</f>
        <v xml:space="preserve">Preparatele ARV pentru a. 2015 au fost livrate in termenii prestabiliti. Sunt in proces livrarile de preparate ARV pentru acoperirea necesitatilor a. 2016. Specificatiile tehnice pentru echipamentele destinate dotarii serviciului de laborator HIV sunt in proces de aprobare de catre comisia specializata a Ministerului Sanatatii, procesul de achizitie urmind a fi lansat in prima jumatate a anului 2016. </v>
      </c>
      <c r="E23" s="906"/>
      <c r="F23" s="906"/>
      <c r="G23" s="913"/>
      <c r="H23" s="183"/>
      <c r="I23" s="890"/>
      <c r="J23" s="891"/>
      <c r="K23" s="891"/>
      <c r="L23" s="891"/>
      <c r="M23" s="891"/>
      <c r="N23" s="892"/>
      <c r="O23" s="35"/>
    </row>
    <row r="24" spans="1:15" ht="54.75" customHeight="1" thickBot="1">
      <c r="A24" s="148"/>
      <c r="B24" s="420" t="s">
        <v>84</v>
      </c>
      <c r="C24" s="185"/>
      <c r="D24" s="915" t="str">
        <f>IF(ISBLANK(Management!I26),"",(Management!I26))</f>
        <v>Nu au fost inregistrate lipsuri de medicamente ARV sau intreruperi de tratament.</v>
      </c>
      <c r="E24" s="915"/>
      <c r="F24" s="915"/>
      <c r="G24" s="916"/>
      <c r="H24" s="183"/>
      <c r="I24" s="937"/>
      <c r="J24" s="938"/>
      <c r="K24" s="938"/>
      <c r="L24" s="938"/>
      <c r="M24" s="938"/>
      <c r="N24" s="939"/>
      <c r="O24" s="35"/>
    </row>
    <row r="25" spans="1:15" ht="4.5" customHeight="1">
      <c r="A25" s="150"/>
      <c r="B25" s="155"/>
      <c r="C25" s="156"/>
      <c r="D25" s="171"/>
      <c r="E25" s="172"/>
      <c r="F25" s="173"/>
      <c r="G25" s="173"/>
      <c r="H25" s="157"/>
      <c r="I25" s="172"/>
      <c r="J25" s="158"/>
      <c r="K25" s="159"/>
      <c r="L25" s="160"/>
      <c r="M25" s="161"/>
      <c r="N25" s="162"/>
      <c r="O25" s="35"/>
    </row>
    <row r="26" spans="1:15" s="33" customFormat="1" ht="21" customHeight="1" thickBot="1">
      <c r="A26" s="150"/>
      <c r="B26" s="905" t="s">
        <v>494</v>
      </c>
      <c r="C26" s="905"/>
      <c r="D26" s="905"/>
      <c r="E26" s="905"/>
      <c r="F26" s="905"/>
      <c r="G26" s="905"/>
      <c r="H26" s="905"/>
      <c r="I26" s="905"/>
      <c r="J26" s="905"/>
      <c r="K26" s="905"/>
      <c r="L26" s="905"/>
      <c r="M26" s="905"/>
      <c r="N26" s="905"/>
    </row>
    <row r="27" spans="1:15" ht="10.5" customHeight="1" thickBot="1">
      <c r="A27" s="150"/>
      <c r="B27" s="155"/>
      <c r="C27" s="156"/>
      <c r="D27" s="171"/>
      <c r="E27" s="172"/>
      <c r="F27" s="173"/>
      <c r="G27" s="173"/>
      <c r="H27" s="157"/>
      <c r="I27" s="172"/>
      <c r="J27" s="158"/>
      <c r="K27" s="159"/>
      <c r="L27" s="160"/>
      <c r="M27" s="161"/>
      <c r="N27" s="162"/>
      <c r="O27" s="35"/>
    </row>
    <row r="28" spans="1:15" ht="21.75" customHeight="1" thickBot="1">
      <c r="A28" s="148"/>
      <c r="B28" s="888" t="s">
        <v>2</v>
      </c>
      <c r="C28" s="889"/>
      <c r="D28" s="896" t="s">
        <v>495</v>
      </c>
      <c r="E28" s="897"/>
      <c r="F28" s="897"/>
      <c r="G28" s="898"/>
      <c r="H28" s="157"/>
      <c r="I28" s="896" t="s">
        <v>489</v>
      </c>
      <c r="J28" s="897"/>
      <c r="K28" s="897"/>
      <c r="L28" s="897"/>
      <c r="M28" s="897"/>
      <c r="N28" s="898"/>
      <c r="O28" s="35"/>
    </row>
    <row r="29" spans="1:15" ht="30.75" customHeight="1">
      <c r="A29" s="148"/>
      <c r="B29" s="421" t="s">
        <v>258</v>
      </c>
      <c r="C29" s="186"/>
      <c r="D29" s="899" t="str">
        <f>IF(ISBLANK(Programatic!C9),"",(Programatic!C9))</f>
        <v xml:space="preserve">Indicatorul este raportabil catre 15 august 2016.
</v>
      </c>
      <c r="E29" s="900"/>
      <c r="F29" s="900"/>
      <c r="G29" s="901"/>
      <c r="H29" s="183"/>
      <c r="I29" s="917"/>
      <c r="J29" s="918"/>
      <c r="K29" s="918"/>
      <c r="L29" s="918"/>
      <c r="M29" s="918"/>
      <c r="N29" s="919"/>
      <c r="O29" s="35"/>
    </row>
    <row r="30" spans="1:15" ht="47.25" customHeight="1">
      <c r="A30" s="148"/>
      <c r="B30" s="422" t="s">
        <v>259</v>
      </c>
      <c r="C30" s="187"/>
      <c r="D30" s="914" t="str">
        <f>IF(ISBLANK(Programatic!G9),"",(Programatic!G9))</f>
        <v>83 din cele 86 femei infectate cu HIV care au nascut in semestrul II 2015 au beneficiat de TARV in vederea reducerii riscului de transmitere materno-fetala a infectiei (97%). Nivelul de realizare a tintei - 102%.</v>
      </c>
      <c r="E30" s="894"/>
      <c r="F30" s="894"/>
      <c r="G30" s="895"/>
      <c r="H30" s="183"/>
      <c r="I30" s="885"/>
      <c r="J30" s="886"/>
      <c r="K30" s="886"/>
      <c r="L30" s="886"/>
      <c r="M30" s="886"/>
      <c r="N30" s="887"/>
      <c r="O30" s="35"/>
    </row>
    <row r="31" spans="1:15" ht="41.25" customHeight="1">
      <c r="A31" s="148"/>
      <c r="B31" s="422" t="s">
        <v>260</v>
      </c>
      <c r="C31" s="187"/>
      <c r="D31" s="914" t="str">
        <f>IF(ISBLANK(Programatic!M9),"",(Programatic!M9))</f>
        <v>3,850 adulti si copii erau in TARV la finele perioadei de raportare, inclusiv 2,681 - pe malul drept si 1,169 - in Transnistria. Nivelul de realizare a tintei - 78%.</v>
      </c>
      <c r="E31" s="894"/>
      <c r="F31" s="894"/>
      <c r="G31" s="895"/>
      <c r="H31" s="183"/>
      <c r="I31" s="885"/>
      <c r="J31" s="886"/>
      <c r="K31" s="886"/>
      <c r="L31" s="886"/>
      <c r="M31" s="886"/>
      <c r="N31" s="887"/>
      <c r="O31" s="35"/>
    </row>
    <row r="32" spans="1:15" ht="26.25" customHeight="1">
      <c r="A32" s="148"/>
      <c r="B32" s="423" t="s">
        <v>75</v>
      </c>
      <c r="C32" s="187"/>
      <c r="D32" s="893" t="str">
        <f>IF(ISBLANK(Programatic!L20),"",(Programatic!L20))</f>
        <v>Indicatorul este raportabil catre 15 august 2016.</v>
      </c>
      <c r="E32" s="894"/>
      <c r="F32" s="894"/>
      <c r="G32" s="895"/>
      <c r="H32" s="183"/>
      <c r="I32" s="885"/>
      <c r="J32" s="886"/>
      <c r="K32" s="886"/>
      <c r="L32" s="886"/>
      <c r="M32" s="886"/>
      <c r="N32" s="887"/>
      <c r="O32" s="35"/>
    </row>
    <row r="33" spans="1:15" ht="165.75" customHeight="1">
      <c r="A33" s="148"/>
      <c r="B33" s="423" t="s">
        <v>76</v>
      </c>
      <c r="C33" s="187"/>
      <c r="D33" s="893" t="str">
        <f>IF(ISBLANK(Programatic!L21),"",(Programatic!L21))</f>
        <v xml:space="preserve">83 din cele 86 femei infectate cu HIV care au nascut in semestrul II 2015 au beneficiat de TARV in vederea reducerii riscului de transmitere materno-fetala a infectiei. 
Dezagregarea indicatorului pe tip de regim este urmatoarea: 
- TARV pe viata inclusiv optiunea B+ (nou-initiate pe parcuirsul perioadei curente de sarcina): 69% (57/83)                                                                                                                  - TARV pe viata inclusiv optiunea B + (deja in TARV la inceputul sarcinii curente): 30% (25/83)                                                                                                           
- Doza singulara de NVP (profilaxia de urgenta, in nastere): 1% (1/83) 
Copii nascuti de femei HIV+ primesc TARV profilactic si formula de lapte praf timp de 12 luni. 
Activitatile ce tin de acest indicator sunt partial sustinute din Grantul curent. </v>
      </c>
      <c r="E33" s="894"/>
      <c r="F33" s="894"/>
      <c r="G33" s="895"/>
      <c r="H33" s="183"/>
      <c r="I33" s="885"/>
      <c r="J33" s="886"/>
      <c r="K33" s="886"/>
      <c r="L33" s="886"/>
      <c r="M33" s="886"/>
      <c r="N33" s="887"/>
      <c r="O33" s="35"/>
    </row>
    <row r="34" spans="1:15" ht="51.75" customHeight="1">
      <c r="A34" s="148"/>
      <c r="B34" s="423" t="s">
        <v>77</v>
      </c>
      <c r="C34" s="187"/>
      <c r="D34" s="893" t="str">
        <f>IF(ISBLANK(Programatic!L22),"",(Programatic!L22))</f>
        <v xml:space="preserve">Toti cei 87 copii nascuti de femei HIV+ pe parcursul semestrului II 2015 au fost testati la HIV in primele 2 luni de la nastere.
</v>
      </c>
      <c r="E34" s="894"/>
      <c r="F34" s="894"/>
      <c r="G34" s="895"/>
      <c r="H34" s="183"/>
      <c r="I34" s="885"/>
      <c r="J34" s="886"/>
      <c r="K34" s="886"/>
      <c r="L34" s="886"/>
      <c r="M34" s="886"/>
      <c r="N34" s="887"/>
      <c r="O34" s="35"/>
    </row>
    <row r="35" spans="1:15" ht="205.5" customHeight="1">
      <c r="A35" s="148"/>
      <c r="B35" s="423" t="s">
        <v>78</v>
      </c>
      <c r="C35" s="230"/>
      <c r="D35" s="893" t="str">
        <f>IF(ISBLANK(Programatic!L23),"",(Programatic!L23))</f>
        <v>3,850 adulti si copii erau in TARV la finele perioadei de raportare, inclusiv 2,681 - pe malul drept si 1,169 - in Transnistria.
N.B. Procentul de acoperire cu TARV a fost calculat reiesind din cele mai recente estimari SPECTRUM (martie-aprilie 2015) privind numarul populatiei persoanelor infectate cu HIV, respectiv, numitorul utilizat la calcularea indicatorului  fiind 4,941 in loc de 4,131 - numitorul utilizat la calcularea tintei indicatorului in cadrul de performanta a grantului. 
In pofida inrolarii primare in TARV a 954 pacienti pe parcursul a. 2015, regretabil, pe malul drept, aderenta la tratament ramine a fi joasa (387 de pacienti au abandonat TARV in 2015, inclusiv pe motiv de deces din cauza depistarii tardive - 104 cazuri). Aditional, de mentionat este si tranzitia intarziata a Transnistriei la noile recomandari privind ridicarea pragului pt. celulele CD4 de la 350 la 500 celule/mm3  la inrolarea in tratament (se preconiza a avea 1306 adulti in TARV pe malul sting, in locul celor 1059 real inregistrati). 
Activitatile in cadrul acestui indicator sunt partial acoperite de Grantul FG.</v>
      </c>
      <c r="E35" s="894"/>
      <c r="F35" s="894"/>
      <c r="G35" s="895"/>
      <c r="H35" s="183"/>
      <c r="I35" s="885"/>
      <c r="J35" s="886"/>
      <c r="K35" s="886"/>
      <c r="L35" s="886"/>
      <c r="M35" s="886"/>
      <c r="N35" s="887"/>
      <c r="O35" s="35"/>
    </row>
    <row r="36" spans="1:15" ht="38.25" customHeight="1">
      <c r="A36" s="148"/>
      <c r="B36" s="423" t="s">
        <v>85</v>
      </c>
      <c r="C36" s="230"/>
      <c r="D36" s="893" t="str">
        <f>IF(ISBLANK(Programatic!L24),"",(Programatic!L24))</f>
        <v>Pe parcursul anului 2015, 281 din cei 954 PTHS inrolati primar in TARV   au initiat tratamentul antiretroviral cu nivelul de celule CD4 mai mic de 200 celule/mm3, inclusiv  180 barbati si 101 femei, 207 - pe malul drept si 74 - pe malul sting.</v>
      </c>
      <c r="E36" s="894"/>
      <c r="F36" s="894"/>
      <c r="G36" s="895"/>
      <c r="H36" s="183"/>
      <c r="I36" s="885"/>
      <c r="J36" s="886"/>
      <c r="K36" s="886"/>
      <c r="L36" s="886"/>
      <c r="M36" s="886"/>
      <c r="N36" s="887"/>
      <c r="O36" s="35"/>
    </row>
    <row r="37" spans="1:15" ht="45" customHeight="1">
      <c r="A37" s="148"/>
      <c r="B37" s="423" t="s">
        <v>86</v>
      </c>
      <c r="C37" s="230"/>
      <c r="D37" s="893" t="str">
        <f>IF(ISBLANK(Programatic!L25),"",(Programatic!L25))</f>
        <v xml:space="preserve">2,300 persoane infectate cu HIV (2,220 adulti si 80 copii) aveau incarcatura virala nedetectabila (&lt; 1000 copii/ml) dupa 12 luni de la initierea terapiei antiretrovirale, inclusiv 1,631 - pe malul drept si 669 - in Transnistria.   </v>
      </c>
      <c r="E37" s="894"/>
      <c r="F37" s="894"/>
      <c r="G37" s="895"/>
      <c r="H37" s="183"/>
      <c r="I37" s="908"/>
      <c r="J37" s="909"/>
      <c r="K37" s="909"/>
      <c r="L37" s="909"/>
      <c r="M37" s="909"/>
      <c r="N37" s="910"/>
      <c r="O37" s="35"/>
    </row>
    <row r="38" spans="1:15" ht="150.75" hidden="1" customHeight="1">
      <c r="A38" s="148"/>
      <c r="B38" s="423" t="s">
        <v>89</v>
      </c>
      <c r="C38" s="230"/>
      <c r="D38" s="893" t="str">
        <f>IF(ISBLANK(Programatic!L26),"",(Programatic!L26))</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38" s="894"/>
      <c r="F38" s="894"/>
      <c r="G38" s="895"/>
      <c r="H38" s="183"/>
      <c r="I38" s="885"/>
      <c r="J38" s="886"/>
      <c r="K38" s="886"/>
      <c r="L38" s="886"/>
      <c r="M38" s="886"/>
      <c r="N38" s="887"/>
      <c r="O38" s="35"/>
    </row>
    <row r="39" spans="1:15" ht="409.5" hidden="1" customHeight="1" thickBot="1">
      <c r="A39" s="148"/>
      <c r="B39" s="423" t="s">
        <v>90</v>
      </c>
      <c r="C39" s="188"/>
      <c r="D39" s="893" t="str">
        <f>IF(ISBLANK(Programatic!L27),"",(Programatic!L27))</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39" s="894"/>
      <c r="F39" s="894"/>
      <c r="G39" s="895"/>
      <c r="H39" s="183"/>
      <c r="I39" s="902"/>
      <c r="J39" s="903"/>
      <c r="K39" s="903"/>
      <c r="L39" s="903"/>
      <c r="M39" s="903"/>
      <c r="N39" s="904"/>
      <c r="O39" s="35"/>
    </row>
    <row r="40" spans="1:15" ht="14.25">
      <c r="A40" s="148"/>
      <c r="B40" s="189"/>
      <c r="C40" s="189"/>
      <c r="D40" s="190"/>
      <c r="E40" s="148"/>
      <c r="F40" s="189"/>
      <c r="G40" s="189"/>
      <c r="H40" s="148"/>
      <c r="I40" s="191"/>
      <c r="J40" s="148"/>
      <c r="K40" s="192"/>
      <c r="L40" s="192"/>
      <c r="M40" s="192"/>
      <c r="N40" s="192"/>
      <c r="O40" s="35"/>
    </row>
  </sheetData>
  <mergeCells count="61">
    <mergeCell ref="I24:N24"/>
    <mergeCell ref="I20:N20"/>
    <mergeCell ref="B18:C18"/>
    <mergeCell ref="I13:N13"/>
    <mergeCell ref="I14:N14"/>
    <mergeCell ref="B16:N16"/>
    <mergeCell ref="D14:G14"/>
    <mergeCell ref="D22:G22"/>
    <mergeCell ref="I22:N22"/>
    <mergeCell ref="D23:G23"/>
    <mergeCell ref="B2:N2"/>
    <mergeCell ref="E5:K5"/>
    <mergeCell ref="E6:K6"/>
    <mergeCell ref="E3:K3"/>
    <mergeCell ref="C4:D4"/>
    <mergeCell ref="E4:K4"/>
    <mergeCell ref="C3:D3"/>
    <mergeCell ref="I10:N10"/>
    <mergeCell ref="I19:N19"/>
    <mergeCell ref="B10:C10"/>
    <mergeCell ref="D10:G10"/>
    <mergeCell ref="D11:G11"/>
    <mergeCell ref="D12:G12"/>
    <mergeCell ref="I12:N12"/>
    <mergeCell ref="I11:N11"/>
    <mergeCell ref="I18:N18"/>
    <mergeCell ref="D18:G18"/>
    <mergeCell ref="D20:G20"/>
    <mergeCell ref="I21:N21"/>
    <mergeCell ref="B8:N8"/>
    <mergeCell ref="D13:G13"/>
    <mergeCell ref="I37:N37"/>
    <mergeCell ref="D37:G37"/>
    <mergeCell ref="D19:G19"/>
    <mergeCell ref="D21:G21"/>
    <mergeCell ref="D36:G36"/>
    <mergeCell ref="D30:G30"/>
    <mergeCell ref="D31:G31"/>
    <mergeCell ref="D24:G24"/>
    <mergeCell ref="D33:G33"/>
    <mergeCell ref="I29:N29"/>
    <mergeCell ref="I33:N33"/>
    <mergeCell ref="I30:N30"/>
    <mergeCell ref="I31:N31"/>
    <mergeCell ref="B26:N26"/>
    <mergeCell ref="I36:N36"/>
    <mergeCell ref="B28:C28"/>
    <mergeCell ref="I23:N23"/>
    <mergeCell ref="D39:G39"/>
    <mergeCell ref="I28:N28"/>
    <mergeCell ref="D38:G38"/>
    <mergeCell ref="D34:G34"/>
    <mergeCell ref="D29:G29"/>
    <mergeCell ref="D28:G28"/>
    <mergeCell ref="I34:N34"/>
    <mergeCell ref="D35:G35"/>
    <mergeCell ref="D32:G32"/>
    <mergeCell ref="I38:N38"/>
    <mergeCell ref="I39:N39"/>
    <mergeCell ref="I35:N35"/>
    <mergeCell ref="I32:N3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4"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view="pageBreakPreview" zoomScale="110" zoomScaleNormal="110" zoomScaleSheetLayoutView="110" workbookViewId="0">
      <selection activeCell="B34" sqref="B34:E3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36" t="str">
        <f>+"Dashboard:  "&amp;"  "&amp;IF(+'Introducerea datelor'!C4="Please Select","",'Introducerea datelor'!C4&amp;" - ")&amp;IF('Introducerea datelor'!G6="Please Select","",'Introducerea datelor'!G6)</f>
        <v>Dashboard:    Moldova - HIV / AIDS</v>
      </c>
      <c r="C2" s="836"/>
      <c r="D2" s="836"/>
      <c r="E2" s="836"/>
      <c r="F2" s="836"/>
      <c r="G2" s="836"/>
      <c r="H2" s="836"/>
      <c r="I2" s="836"/>
      <c r="J2" s="836"/>
      <c r="K2" s="836"/>
      <c r="L2" s="836"/>
    </row>
    <row r="3" spans="1:13">
      <c r="B3" s="24" t="str">
        <f>+IF('Introducerea datelor'!G8="Please Select","",'Introducerea datelor'!G8)</f>
        <v/>
      </c>
      <c r="C3" s="834">
        <f>+IF('Introducerea datelor'!I8="Please Select","",'Introducerea datelor'!I8)</f>
        <v>0</v>
      </c>
      <c r="D3" s="834"/>
      <c r="E3" s="835"/>
      <c r="F3" s="835"/>
      <c r="G3" s="835"/>
      <c r="H3" s="835"/>
      <c r="I3" s="835"/>
      <c r="J3" s="825" t="str">
        <f>+'Introducerea datelor'!B16</f>
        <v>Perioada de Raportare:</v>
      </c>
      <c r="K3" s="825"/>
      <c r="L3" s="196" t="str">
        <f>+'Introducerea datelor'!C16</f>
        <v>P2</v>
      </c>
      <c r="M3" s="85"/>
    </row>
    <row r="4" spans="1:13">
      <c r="B4" s="24" t="str">
        <f>+'Introducerea datelor'!B12</f>
        <v>Ultimul Rating:</v>
      </c>
      <c r="C4" s="961"/>
      <c r="D4" s="961"/>
      <c r="E4" s="835" t="str">
        <f>+'Introducerea datelor'!C8</f>
        <v>IP "UCIMP DS"</v>
      </c>
      <c r="F4" s="835"/>
      <c r="G4" s="835"/>
      <c r="H4" s="835"/>
      <c r="I4" s="835"/>
      <c r="J4" s="825" t="str">
        <f>+'Introducerea datelor'!D16</f>
        <v>De la:</v>
      </c>
      <c r="K4" s="826"/>
      <c r="L4" s="197">
        <f>+IF(ISBLANK('Introducerea datelor'!E16),"",'Introducerea datelor'!E16)</f>
        <v>42186</v>
      </c>
    </row>
    <row r="5" spans="1:13" ht="18.75" customHeight="1">
      <c r="B5" s="24"/>
      <c r="C5" s="24"/>
      <c r="D5" s="835" t="str">
        <f>+'Introducerea datelor'!G4</f>
        <v xml:space="preserve">Fortificarea controlului infecției HIV în RM (2015-2017)
</v>
      </c>
      <c r="E5" s="835"/>
      <c r="F5" s="835"/>
      <c r="G5" s="835"/>
      <c r="H5" s="835"/>
      <c r="I5" s="835"/>
      <c r="J5" s="835"/>
      <c r="K5" s="24" t="str">
        <f>+'Introducerea datelor'!F16</f>
        <v>Pînă la:</v>
      </c>
      <c r="L5" s="197">
        <f>+IF(ISBLANK('Introducerea datelor'!G16),"",'Introducerea datelor'!G16)</f>
        <v>42369</v>
      </c>
    </row>
    <row r="6" spans="1:13" ht="18.75">
      <c r="B6" s="23"/>
      <c r="C6" s="24"/>
      <c r="D6" s="25"/>
      <c r="E6" s="837" t="s">
        <v>497</v>
      </c>
      <c r="F6" s="837"/>
      <c r="G6" s="837"/>
      <c r="H6" s="837"/>
      <c r="I6" s="837"/>
    </row>
    <row r="7" spans="1:13" ht="18.75">
      <c r="E7" s="72"/>
      <c r="F7" s="72"/>
      <c r="G7" s="72"/>
      <c r="H7" s="72"/>
      <c r="I7" s="72"/>
    </row>
    <row r="8" spans="1:13" s="33" customFormat="1" ht="21" customHeight="1" thickBot="1">
      <c r="B8" s="76" t="s">
        <v>496</v>
      </c>
      <c r="C8" s="76"/>
      <c r="D8" s="76"/>
      <c r="E8" s="76"/>
      <c r="F8" s="76"/>
      <c r="G8" s="76"/>
      <c r="H8" s="76"/>
      <c r="I8" s="76"/>
      <c r="J8" s="76"/>
      <c r="K8" s="76"/>
      <c r="L8" s="76"/>
    </row>
    <row r="9" spans="1:13" ht="6" customHeight="1">
      <c r="B9" s="74"/>
    </row>
    <row r="10" spans="1:13" ht="39" customHeight="1">
      <c r="B10" s="981" t="s">
        <v>469</v>
      </c>
      <c r="C10" s="982"/>
      <c r="D10" s="982"/>
      <c r="E10" s="982"/>
      <c r="F10" s="982"/>
      <c r="G10" s="982"/>
      <c r="H10" s="982"/>
      <c r="I10" s="982"/>
      <c r="J10" s="982"/>
      <c r="K10" s="982"/>
      <c r="L10" s="983"/>
    </row>
    <row r="11" spans="1:13" ht="39" customHeight="1">
      <c r="B11" s="984"/>
      <c r="C11" s="985"/>
      <c r="D11" s="985"/>
      <c r="E11" s="985"/>
      <c r="F11" s="985"/>
      <c r="G11" s="985"/>
      <c r="H11" s="985"/>
      <c r="I11" s="985"/>
      <c r="J11" s="985"/>
      <c r="K11" s="985"/>
      <c r="L11" s="986"/>
    </row>
    <row r="12" spans="1:13" ht="15.75" thickBot="1"/>
    <row r="13" spans="1:13" ht="26.25" customHeight="1" thickBot="1">
      <c r="B13" s="975" t="s">
        <v>500</v>
      </c>
      <c r="C13" s="976"/>
      <c r="D13" s="976"/>
      <c r="E13" s="977"/>
      <c r="F13" s="77"/>
      <c r="G13" s="993" t="s">
        <v>499</v>
      </c>
      <c r="H13" s="955"/>
      <c r="I13" s="955"/>
      <c r="J13" s="78" t="s">
        <v>502</v>
      </c>
      <c r="K13" s="955" t="s">
        <v>503</v>
      </c>
      <c r="L13" s="956"/>
    </row>
    <row r="14" spans="1:13" ht="13.5" customHeight="1">
      <c r="A14" s="968" t="s">
        <v>501</v>
      </c>
      <c r="B14" s="978"/>
      <c r="C14" s="979"/>
      <c r="D14" s="979"/>
      <c r="E14" s="980"/>
      <c r="F14" s="46"/>
      <c r="G14" s="973"/>
      <c r="H14" s="962"/>
      <c r="I14" s="962"/>
      <c r="J14" s="962"/>
      <c r="K14" s="962"/>
      <c r="L14" s="963"/>
    </row>
    <row r="15" spans="1:13" ht="13.5" customHeight="1">
      <c r="A15" s="969"/>
      <c r="B15" s="979"/>
      <c r="C15" s="979"/>
      <c r="D15" s="979"/>
      <c r="E15" s="980"/>
      <c r="F15" s="46"/>
      <c r="G15" s="974"/>
      <c r="H15" s="957"/>
      <c r="I15" s="957"/>
      <c r="J15" s="957"/>
      <c r="K15" s="957"/>
      <c r="L15" s="958"/>
    </row>
    <row r="16" spans="1:13" ht="13.5" customHeight="1">
      <c r="A16" s="969"/>
      <c r="B16" s="971"/>
      <c r="C16" s="971"/>
      <c r="D16" s="971"/>
      <c r="E16" s="972"/>
      <c r="F16" s="46"/>
      <c r="G16" s="974"/>
      <c r="H16" s="957"/>
      <c r="I16" s="957"/>
      <c r="J16" s="957"/>
      <c r="K16" s="957"/>
      <c r="L16" s="958"/>
    </row>
    <row r="17" spans="1:12" ht="13.5" customHeight="1">
      <c r="A17" s="969"/>
      <c r="B17" s="971"/>
      <c r="C17" s="971"/>
      <c r="D17" s="971"/>
      <c r="E17" s="972"/>
      <c r="F17" s="46"/>
      <c r="G17" s="974"/>
      <c r="H17" s="957"/>
      <c r="I17" s="957"/>
      <c r="J17" s="957"/>
      <c r="K17" s="957"/>
      <c r="L17" s="958"/>
    </row>
    <row r="18" spans="1:12" ht="13.5" customHeight="1">
      <c r="A18" s="969"/>
      <c r="B18" s="971"/>
      <c r="C18" s="971"/>
      <c r="D18" s="971"/>
      <c r="E18" s="972"/>
      <c r="F18" s="46"/>
      <c r="G18" s="987"/>
      <c r="H18" s="988"/>
      <c r="I18" s="989"/>
      <c r="J18" s="957"/>
      <c r="K18" s="957"/>
      <c r="L18" s="958"/>
    </row>
    <row r="19" spans="1:12" ht="13.5" customHeight="1">
      <c r="A19" s="969"/>
      <c r="B19" s="971"/>
      <c r="C19" s="971"/>
      <c r="D19" s="971"/>
      <c r="E19" s="972"/>
      <c r="F19" s="46"/>
      <c r="G19" s="990"/>
      <c r="H19" s="991"/>
      <c r="I19" s="992"/>
      <c r="J19" s="957"/>
      <c r="K19" s="957"/>
      <c r="L19" s="958"/>
    </row>
    <row r="20" spans="1:12" ht="13.5" customHeight="1">
      <c r="A20" s="969"/>
      <c r="B20" s="971"/>
      <c r="C20" s="971"/>
      <c r="D20" s="971"/>
      <c r="E20" s="972"/>
      <c r="F20" s="46"/>
      <c r="G20" s="974"/>
      <c r="H20" s="957"/>
      <c r="I20" s="957"/>
      <c r="J20" s="957"/>
      <c r="K20" s="957"/>
      <c r="L20" s="958"/>
    </row>
    <row r="21" spans="1:12" ht="13.5" customHeight="1">
      <c r="A21" s="969"/>
      <c r="B21" s="971"/>
      <c r="C21" s="971"/>
      <c r="D21" s="971"/>
      <c r="E21" s="972"/>
      <c r="F21" s="46"/>
      <c r="G21" s="974"/>
      <c r="H21" s="957"/>
      <c r="I21" s="957"/>
      <c r="J21" s="957"/>
      <c r="K21" s="957"/>
      <c r="L21" s="958"/>
    </row>
    <row r="22" spans="1:12" ht="13.5" customHeight="1">
      <c r="A22" s="969"/>
      <c r="B22" s="971"/>
      <c r="C22" s="971"/>
      <c r="D22" s="971"/>
      <c r="E22" s="972"/>
      <c r="F22" s="46"/>
      <c r="G22" s="974"/>
      <c r="H22" s="957"/>
      <c r="I22" s="957"/>
      <c r="J22" s="957"/>
      <c r="K22" s="957"/>
      <c r="L22" s="958"/>
    </row>
    <row r="23" spans="1:12" ht="13.5" customHeight="1">
      <c r="A23" s="969"/>
      <c r="B23" s="971"/>
      <c r="C23" s="971"/>
      <c r="D23" s="971"/>
      <c r="E23" s="972"/>
      <c r="F23" s="46"/>
      <c r="G23" s="974"/>
      <c r="H23" s="957"/>
      <c r="I23" s="957"/>
      <c r="J23" s="957"/>
      <c r="K23" s="957"/>
      <c r="L23" s="958"/>
    </row>
    <row r="24" spans="1:12" ht="13.5" customHeight="1">
      <c r="A24" s="969"/>
      <c r="B24" s="971"/>
      <c r="C24" s="971"/>
      <c r="D24" s="971"/>
      <c r="E24" s="972"/>
      <c r="F24" s="46"/>
      <c r="G24" s="974"/>
      <c r="H24" s="957"/>
      <c r="I24" s="957"/>
      <c r="J24" s="957"/>
      <c r="K24" s="957"/>
      <c r="L24" s="958"/>
    </row>
    <row r="25" spans="1:12" ht="13.5" customHeight="1" thickBot="1">
      <c r="A25" s="970"/>
      <c r="B25" s="1004"/>
      <c r="C25" s="1004"/>
      <c r="D25" s="1004"/>
      <c r="E25" s="1005"/>
      <c r="F25" s="46"/>
      <c r="G25" s="995"/>
      <c r="H25" s="959"/>
      <c r="I25" s="959"/>
      <c r="J25" s="959"/>
      <c r="K25" s="959"/>
      <c r="L25" s="960"/>
    </row>
    <row r="27" spans="1:12" ht="15.75">
      <c r="E27" s="994" t="s">
        <v>504</v>
      </c>
      <c r="F27" s="994"/>
      <c r="G27" s="994"/>
      <c r="H27" s="994"/>
      <c r="I27" s="994"/>
    </row>
    <row r="28" spans="1:12" ht="6" customHeight="1">
      <c r="E28" s="72"/>
      <c r="F28" s="72"/>
      <c r="G28" s="72"/>
      <c r="H28" s="72"/>
      <c r="I28" s="72"/>
    </row>
    <row r="29" spans="1:12" s="33" customFormat="1" ht="21" customHeight="1" thickBot="1">
      <c r="B29" s="76" t="s">
        <v>496</v>
      </c>
      <c r="C29" s="76"/>
      <c r="D29" s="76"/>
      <c r="E29" s="76"/>
      <c r="F29" s="76"/>
      <c r="G29" s="76"/>
      <c r="H29" s="76"/>
      <c r="I29" s="76"/>
      <c r="J29" s="76"/>
      <c r="K29" s="76"/>
      <c r="L29" s="76"/>
    </row>
    <row r="30" spans="1:12" ht="6" customHeight="1" thickBot="1">
      <c r="B30" s="74"/>
    </row>
    <row r="31" spans="1:12" ht="30" customHeight="1" thickBot="1">
      <c r="B31" s="975" t="s">
        <v>499</v>
      </c>
      <c r="C31" s="976"/>
      <c r="D31" s="976"/>
      <c r="E31" s="977"/>
      <c r="F31" s="77"/>
      <c r="G31" s="993" t="s">
        <v>505</v>
      </c>
      <c r="H31" s="955"/>
      <c r="I31" s="955"/>
      <c r="J31" s="78" t="s">
        <v>506</v>
      </c>
      <c r="K31" s="955" t="s">
        <v>507</v>
      </c>
      <c r="L31" s="956"/>
    </row>
    <row r="32" spans="1:12" ht="14.25" customHeight="1">
      <c r="A32" s="968" t="s">
        <v>508</v>
      </c>
      <c r="B32" s="996"/>
      <c r="C32" s="997"/>
      <c r="D32" s="997"/>
      <c r="E32" s="998"/>
      <c r="F32" s="46"/>
      <c r="G32" s="1006"/>
      <c r="H32" s="953"/>
      <c r="I32" s="953"/>
      <c r="J32" s="953"/>
      <c r="K32" s="953"/>
      <c r="L32" s="954"/>
    </row>
    <row r="33" spans="1:12" ht="16.5" customHeight="1">
      <c r="A33" s="969"/>
      <c r="B33" s="990"/>
      <c r="C33" s="991"/>
      <c r="D33" s="991"/>
      <c r="E33" s="999"/>
      <c r="F33" s="46"/>
      <c r="G33" s="964"/>
      <c r="H33" s="949"/>
      <c r="I33" s="949"/>
      <c r="J33" s="949"/>
      <c r="K33" s="949"/>
      <c r="L33" s="950"/>
    </row>
    <row r="34" spans="1:12">
      <c r="A34" s="969"/>
      <c r="B34" s="965" t="str">
        <f>IF(Recomandari!I41="","",Recomandari!I41)</f>
        <v/>
      </c>
      <c r="C34" s="966"/>
      <c r="D34" s="966"/>
      <c r="E34" s="967"/>
      <c r="F34" s="46"/>
      <c r="G34" s="964"/>
      <c r="H34" s="949"/>
      <c r="I34" s="949"/>
      <c r="J34" s="949"/>
      <c r="K34" s="949"/>
      <c r="L34" s="950"/>
    </row>
    <row r="35" spans="1:12">
      <c r="A35" s="969"/>
      <c r="B35" s="965"/>
      <c r="C35" s="966"/>
      <c r="D35" s="966"/>
      <c r="E35" s="967"/>
      <c r="F35" s="46"/>
      <c r="G35" s="964"/>
      <c r="H35" s="949"/>
      <c r="I35" s="949"/>
      <c r="J35" s="949"/>
      <c r="K35" s="949"/>
      <c r="L35" s="950"/>
    </row>
    <row r="36" spans="1:12">
      <c r="A36" s="969"/>
      <c r="B36" s="965" t="str">
        <f>+IF(Recomandari!I51="","",Recomandari!I51)</f>
        <v/>
      </c>
      <c r="C36" s="966"/>
      <c r="D36" s="966"/>
      <c r="E36" s="967"/>
      <c r="F36" s="46"/>
      <c r="G36" s="964"/>
      <c r="H36" s="949"/>
      <c r="I36" s="949"/>
      <c r="J36" s="949"/>
      <c r="K36" s="949"/>
      <c r="L36" s="950"/>
    </row>
    <row r="37" spans="1:12">
      <c r="A37" s="969"/>
      <c r="B37" s="965"/>
      <c r="C37" s="966"/>
      <c r="D37" s="966"/>
      <c r="E37" s="967"/>
      <c r="F37" s="46"/>
      <c r="G37" s="964"/>
      <c r="H37" s="949"/>
      <c r="I37" s="949"/>
      <c r="J37" s="949"/>
      <c r="K37" s="949"/>
      <c r="L37" s="950"/>
    </row>
    <row r="38" spans="1:12">
      <c r="A38" s="969"/>
      <c r="B38" s="965"/>
      <c r="C38" s="966"/>
      <c r="D38" s="966"/>
      <c r="E38" s="967"/>
      <c r="F38" s="46"/>
      <c r="G38" s="964"/>
      <c r="H38" s="949"/>
      <c r="I38" s="949"/>
      <c r="J38" s="949"/>
      <c r="K38" s="949"/>
      <c r="L38" s="950"/>
    </row>
    <row r="39" spans="1:12">
      <c r="A39" s="969"/>
      <c r="B39" s="965"/>
      <c r="C39" s="966"/>
      <c r="D39" s="966"/>
      <c r="E39" s="967"/>
      <c r="F39" s="46"/>
      <c r="G39" s="964"/>
      <c r="H39" s="949"/>
      <c r="I39" s="949"/>
      <c r="J39" s="949"/>
      <c r="K39" s="949"/>
      <c r="L39" s="950"/>
    </row>
    <row r="40" spans="1:12">
      <c r="A40" s="969"/>
      <c r="B40" s="965"/>
      <c r="C40" s="966"/>
      <c r="D40" s="966"/>
      <c r="E40" s="967"/>
      <c r="F40" s="46"/>
      <c r="G40" s="964"/>
      <c r="H40" s="949"/>
      <c r="I40" s="949"/>
      <c r="J40" s="949"/>
      <c r="K40" s="949"/>
      <c r="L40" s="950"/>
    </row>
    <row r="41" spans="1:12">
      <c r="A41" s="969"/>
      <c r="B41" s="965"/>
      <c r="C41" s="966"/>
      <c r="D41" s="966"/>
      <c r="E41" s="967"/>
      <c r="F41" s="46"/>
      <c r="G41" s="964"/>
      <c r="H41" s="949"/>
      <c r="I41" s="949"/>
      <c r="J41" s="949"/>
      <c r="K41" s="949"/>
      <c r="L41" s="950"/>
    </row>
    <row r="42" spans="1:12">
      <c r="A42" s="969"/>
      <c r="B42" s="965"/>
      <c r="C42" s="966"/>
      <c r="D42" s="966"/>
      <c r="E42" s="967"/>
      <c r="F42" s="46"/>
      <c r="G42" s="964"/>
      <c r="H42" s="949"/>
      <c r="I42" s="949"/>
      <c r="J42" s="949"/>
      <c r="K42" s="949"/>
      <c r="L42" s="950"/>
    </row>
    <row r="43" spans="1:12" ht="15.75" thickBot="1">
      <c r="A43" s="970"/>
      <c r="B43" s="1000"/>
      <c r="C43" s="1001"/>
      <c r="D43" s="1001"/>
      <c r="E43" s="1002"/>
      <c r="F43" s="46"/>
      <c r="G43" s="1003"/>
      <c r="H43" s="951"/>
      <c r="I43" s="951"/>
      <c r="J43" s="951"/>
      <c r="K43" s="951"/>
      <c r="L43" s="952"/>
    </row>
  </sheetData>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BF073CC-B72F-4A6E-89A6-C2004FB1AA75}">
  <ds:schemaRefs>
    <ds:schemaRef ds:uri="http://schemas.microsoft.com/sharepoint/v3"/>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f127e3a1-6a43-4b35-8211-dfdf2a8cace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Actiuni</vt:lpstr>
      <vt:lpstr>Setup</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2016-05-05T13:11:14Z</cp:lastPrinted>
  <dcterms:created xsi:type="dcterms:W3CDTF">2008-11-20T16:06:13Z</dcterms:created>
  <dcterms:modified xsi:type="dcterms:W3CDTF">2016-05-06T10:45:38Z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