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docs\desktop\Dashboard PCU TB Sem 1.2015\"/>
    </mc:Choice>
  </mc:AlternateContent>
  <bookViews>
    <workbookView xWindow="0" yWindow="0" windowWidth="25200" windowHeight="11985" tabRatio="721" activeTab="2"/>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5">Financiar!$A$2:$K$33</definedName>
    <definedName name="_xlnm.Print_Area" localSheetId="2">'Introducerea datelor'!$A$1:$O$149</definedName>
    <definedName name="_xlnm.Print_Area" localSheetId="4">Management!$A$2:$L$34</definedName>
    <definedName name="_xlnm.Print_Area" localSheetId="6">Programatic!$A$1:$Q$29</definedName>
    <definedName name="PrintA">Actiuni!$A$2:$L$34</definedName>
    <definedName name="PrintDataF">'Introducerea datelor'!$B$25:$J$65</definedName>
    <definedName name="PrintDataM">'Introducerea datelor'!$B$67:$H$111</definedName>
    <definedName name="PrintF">Financiar!$A$2:$K$31</definedName>
    <definedName name="PrintGD">'Detail despre Grant'!$A$2:$J$13</definedName>
    <definedName name="PrintM" localSheetId="8">Actiuni!$A$2:$L$6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D30" i="42" l="1"/>
  <c r="O31" i="29" l="1"/>
  <c r="D44" i="29" l="1"/>
  <c r="C53" i="29"/>
  <c r="D43" i="29"/>
  <c r="C43" i="29"/>
  <c r="C40" i="29"/>
  <c r="D40" i="29"/>
  <c r="L22" i="37" l="1"/>
  <c r="L21" i="37"/>
  <c r="L20" i="37"/>
  <c r="L126" i="29" l="1"/>
  <c r="F33" i="29" l="1"/>
  <c r="F96" i="29" l="1"/>
  <c r="F97" i="29"/>
  <c r="F95" i="29"/>
  <c r="D39" i="29"/>
  <c r="C39" i="29"/>
  <c r="E96" i="29" l="1"/>
  <c r="D37" i="42" l="1"/>
  <c r="D96" i="29" l="1"/>
  <c r="D98" i="29" l="1"/>
  <c r="E98" i="29" s="1"/>
  <c r="F98" i="29" s="1"/>
  <c r="G98" i="29" s="1"/>
  <c r="H98" i="29" s="1"/>
  <c r="I98" i="29" s="1"/>
  <c r="J98" i="29" s="1"/>
  <c r="K98" i="29" s="1"/>
  <c r="L98" i="29" s="1"/>
  <c r="M98" i="29" s="1"/>
  <c r="N98" i="29" s="1"/>
  <c r="D99" i="29"/>
  <c r="E99" i="29" s="1"/>
  <c r="F99" i="29" s="1"/>
  <c r="G99" i="29" s="1"/>
  <c r="H99" i="29" s="1"/>
  <c r="I99" i="29" s="1"/>
  <c r="J99" i="29" s="1"/>
  <c r="K99" i="29" s="1"/>
  <c r="L99" i="29" s="1"/>
  <c r="M99" i="29" s="1"/>
  <c r="N99" i="29" s="1"/>
  <c r="D100" i="29"/>
  <c r="E100" i="29" s="1"/>
  <c r="F100" i="29" s="1"/>
  <c r="G100" i="29" s="1"/>
  <c r="H100" i="29" s="1"/>
  <c r="I100" i="29" s="1"/>
  <c r="J100" i="29" s="1"/>
  <c r="K100" i="29" s="1"/>
  <c r="L100" i="29" s="1"/>
  <c r="M100" i="29" s="1"/>
  <c r="N100" i="29" s="1"/>
  <c r="D33" i="29"/>
  <c r="R30" i="29" s="1"/>
  <c r="C47" i="29"/>
  <c r="D47" i="29"/>
  <c r="D41" i="42"/>
  <c r="B28" i="37"/>
  <c r="B27" i="37"/>
  <c r="B26" i="37"/>
  <c r="B24" i="37"/>
  <c r="B23" i="37"/>
  <c r="Q145" i="29"/>
  <c r="R145" i="29"/>
  <c r="Q146" i="29"/>
  <c r="R146" i="29"/>
  <c r="I145" i="29"/>
  <c r="J145" i="29"/>
  <c r="K145" i="29"/>
  <c r="L145" i="29"/>
  <c r="M145" i="29"/>
  <c r="N145" i="29"/>
  <c r="O145" i="29"/>
  <c r="P145" i="29"/>
  <c r="I146" i="29"/>
  <c r="J146" i="29"/>
  <c r="K146" i="29"/>
  <c r="L146" i="29"/>
  <c r="M146" i="29"/>
  <c r="N146" i="29"/>
  <c r="O146" i="29"/>
  <c r="P146" i="29"/>
  <c r="H146" i="29"/>
  <c r="H145" i="29"/>
  <c r="F26" i="37"/>
  <c r="F24" i="37"/>
  <c r="E26" i="37"/>
  <c r="E24" i="37"/>
  <c r="E25" i="37"/>
  <c r="L8" i="37"/>
  <c r="K148" i="29"/>
  <c r="K147" i="29"/>
  <c r="K144" i="29"/>
  <c r="K143" i="29"/>
  <c r="B2" i="39"/>
  <c r="B2" i="42"/>
  <c r="B20" i="37"/>
  <c r="E20" i="37"/>
  <c r="B2" i="37"/>
  <c r="B2" i="35"/>
  <c r="B2" i="30"/>
  <c r="B2" i="45"/>
  <c r="B3" i="27"/>
  <c r="B2" i="1" s="1"/>
  <c r="I9" i="27"/>
  <c r="E51" i="29"/>
  <c r="C38" i="29"/>
  <c r="D38" i="29"/>
  <c r="B32" i="29"/>
  <c r="B31" i="29"/>
  <c r="D29" i="42"/>
  <c r="E53" i="29"/>
  <c r="E52" i="29"/>
  <c r="E55" i="29"/>
  <c r="E54" i="29"/>
  <c r="D34" i="29"/>
  <c r="E34" i="29"/>
  <c r="F34" i="29"/>
  <c r="G34" i="29"/>
  <c r="H34" i="29"/>
  <c r="I34" i="29"/>
  <c r="J34" i="29"/>
  <c r="K34" i="29"/>
  <c r="L34" i="29"/>
  <c r="M34" i="29"/>
  <c r="F20" i="37"/>
  <c r="B22" i="45"/>
  <c r="F29" i="37"/>
  <c r="F28" i="37"/>
  <c r="E28" i="37"/>
  <c r="F27" i="37"/>
  <c r="F25" i="37"/>
  <c r="E29" i="37"/>
  <c r="E27" i="37"/>
  <c r="F23" i="37"/>
  <c r="E23" i="37"/>
  <c r="F22" i="37"/>
  <c r="E22" i="37"/>
  <c r="F21" i="37"/>
  <c r="E21" i="37"/>
  <c r="K5" i="30"/>
  <c r="K4" i="30"/>
  <c r="L5" i="35"/>
  <c r="L4" i="35"/>
  <c r="Q5" i="37"/>
  <c r="Q4" i="37"/>
  <c r="M5" i="42"/>
  <c r="M4" i="42"/>
  <c r="L5" i="39"/>
  <c r="L4" i="39"/>
  <c r="C4" i="39"/>
  <c r="C3" i="39"/>
  <c r="B3" i="39"/>
  <c r="C4" i="42"/>
  <c r="C3" i="42"/>
  <c r="B3" i="42"/>
  <c r="C4" i="37"/>
  <c r="C3" i="37"/>
  <c r="B3" i="37"/>
  <c r="C4" i="35"/>
  <c r="C3" i="35"/>
  <c r="B3" i="35"/>
  <c r="C4" i="30"/>
  <c r="C3" i="30"/>
  <c r="B3" i="30"/>
  <c r="G9" i="27"/>
  <c r="G13" i="27"/>
  <c r="G11" i="27"/>
  <c r="D11" i="27"/>
  <c r="B12" i="27"/>
  <c r="I11" i="27"/>
  <c r="D10" i="27"/>
  <c r="B10" i="27"/>
  <c r="B9" i="27"/>
  <c r="B6" i="27"/>
  <c r="B4" i="1"/>
  <c r="E90" i="29"/>
  <c r="E89" i="29"/>
  <c r="D11" i="42"/>
  <c r="J3" i="35"/>
  <c r="L3" i="35"/>
  <c r="H15" i="35" s="1"/>
  <c r="I3" i="30"/>
  <c r="K3" i="30"/>
  <c r="H22" i="30" s="1"/>
  <c r="D33" i="42"/>
  <c r="D34" i="42"/>
  <c r="D35" i="42"/>
  <c r="D36" i="42"/>
  <c r="D38" i="42"/>
  <c r="D39" i="42"/>
  <c r="D40" i="42"/>
  <c r="D32" i="42"/>
  <c r="D31" i="42"/>
  <c r="E109" i="29"/>
  <c r="G109" i="29" s="1"/>
  <c r="I109" i="29" s="1"/>
  <c r="E108" i="29"/>
  <c r="G108" i="29" s="1"/>
  <c r="I108" i="29" s="1"/>
  <c r="E110" i="29"/>
  <c r="G110" i="29"/>
  <c r="I110" i="29" s="1"/>
  <c r="E111" i="29"/>
  <c r="G111" i="29"/>
  <c r="I111" i="29"/>
  <c r="K30" i="35"/>
  <c r="K31" i="35"/>
  <c r="K32" i="35"/>
  <c r="K33" i="35"/>
  <c r="L144" i="29"/>
  <c r="M144" i="29"/>
  <c r="N144" i="29"/>
  <c r="O144" i="29"/>
  <c r="P144" i="29"/>
  <c r="Q144" i="29"/>
  <c r="R144" i="29"/>
  <c r="S144" i="29"/>
  <c r="S145"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N33" i="29"/>
  <c r="N35" i="29" s="1"/>
  <c r="N34" i="29"/>
  <c r="H29" i="30"/>
  <c r="H28" i="30"/>
  <c r="H27" i="30"/>
  <c r="D24" i="42"/>
  <c r="D23" i="42"/>
  <c r="D22" i="42"/>
  <c r="D21" i="42"/>
  <c r="D20" i="42"/>
  <c r="D19" i="42"/>
  <c r="D14" i="42"/>
  <c r="D13" i="42"/>
  <c r="D12" i="42"/>
  <c r="B25" i="45"/>
  <c r="B23" i="45"/>
  <c r="B21" i="45"/>
  <c r="B20" i="45"/>
  <c r="B19" i="45"/>
  <c r="B11" i="45"/>
  <c r="B10" i="45"/>
  <c r="B9" i="45"/>
  <c r="B8" i="45"/>
  <c r="B4" i="37"/>
  <c r="B4" i="35"/>
  <c r="B4" i="30"/>
  <c r="G73" i="29"/>
  <c r="F20" i="42" s="1"/>
  <c r="G12" i="27"/>
  <c r="H4" i="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E79" i="29"/>
  <c r="D5" i="35"/>
  <c r="E4" i="35"/>
  <c r="K5" i="35"/>
  <c r="J4" i="35"/>
  <c r="D5" i="37"/>
  <c r="P5" i="37"/>
  <c r="P4" i="37"/>
  <c r="N3" i="37"/>
  <c r="J5" i="30"/>
  <c r="D5" i="30"/>
  <c r="I4" i="30"/>
  <c r="E4" i="30"/>
  <c r="F8" i="37"/>
  <c r="B8" i="37"/>
  <c r="L143" i="29"/>
  <c r="J148" i="29"/>
  <c r="J147" i="29"/>
  <c r="J144" i="29"/>
  <c r="J143" i="29"/>
  <c r="I148" i="29"/>
  <c r="I147" i="29"/>
  <c r="I144" i="29"/>
  <c r="I143" i="29"/>
  <c r="H148" i="29"/>
  <c r="H147" i="29"/>
  <c r="H144" i="29"/>
  <c r="H143" i="29"/>
  <c r="B25" i="37"/>
  <c r="S142" i="29"/>
  <c r="R142" i="29"/>
  <c r="Q142" i="29"/>
  <c r="P142" i="29"/>
  <c r="O142" i="29"/>
  <c r="B22" i="37"/>
  <c r="B21" i="37"/>
  <c r="N142" i="29"/>
  <c r="M142" i="29"/>
  <c r="L142" i="29"/>
  <c r="K142" i="29"/>
  <c r="J142" i="29"/>
  <c r="I142" i="29"/>
  <c r="H142" i="29"/>
  <c r="B36" i="39"/>
  <c r="B34" i="39"/>
  <c r="B34" i="35"/>
  <c r="Z24" i="37"/>
  <c r="AA24" i="37" s="1"/>
  <c r="Z23" i="37"/>
  <c r="AA23" i="37"/>
  <c r="AD23" i="37" s="1"/>
  <c r="Z22" i="37"/>
  <c r="AA22" i="37"/>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9" i="37"/>
  <c r="T27" i="37"/>
  <c r="U27" i="37"/>
  <c r="V27" i="37"/>
  <c r="W27" i="37"/>
  <c r="X27" i="37"/>
  <c r="T28" i="37"/>
  <c r="U28" i="37"/>
  <c r="V28" i="37"/>
  <c r="W28" i="37"/>
  <c r="X28" i="37"/>
  <c r="T29" i="37"/>
  <c r="V29" i="37"/>
  <c r="X29" i="37"/>
  <c r="T31" i="37"/>
  <c r="T30" i="37"/>
  <c r="U30" i="37"/>
  <c r="V30" i="37"/>
  <c r="W30" i="37"/>
  <c r="X30" i="37"/>
  <c r="U31" i="37"/>
  <c r="W31" i="37"/>
  <c r="T32" i="37"/>
  <c r="U32" i="37"/>
  <c r="V32" i="37"/>
  <c r="W32" i="37"/>
  <c r="X32" i="37"/>
  <c r="T33" i="37"/>
  <c r="U33" i="37"/>
  <c r="V33" i="37"/>
  <c r="W33" i="37"/>
  <c r="X33" i="37"/>
  <c r="X31" i="37"/>
  <c r="V31" i="37"/>
  <c r="W29" i="37"/>
  <c r="C35" i="29"/>
  <c r="B3" i="32"/>
  <c r="E20" i="42"/>
  <c r="AE23" i="37"/>
  <c r="R29" i="29"/>
  <c r="H7" i="35"/>
  <c r="AC22" i="37"/>
  <c r="AF22" i="37"/>
  <c r="AE22" i="37"/>
  <c r="AD22" i="37"/>
  <c r="AB22" i="37"/>
  <c r="K111" i="29"/>
  <c r="L33" i="35" s="1"/>
  <c r="J33" i="35"/>
  <c r="AB23" i="37"/>
  <c r="AF23" i="37"/>
  <c r="AC23" i="37"/>
  <c r="E33" i="29"/>
  <c r="E35" i="29" s="1"/>
  <c r="D35" i="29"/>
  <c r="G33" i="29"/>
  <c r="R33" i="29" s="1"/>
  <c r="H33" i="29"/>
  <c r="H35" i="29" s="1"/>
  <c r="I33" i="29"/>
  <c r="R35" i="29" s="1"/>
  <c r="J33" i="29"/>
  <c r="J35" i="29" s="1"/>
  <c r="K33" i="29"/>
  <c r="R50" i="29" s="1"/>
  <c r="L33" i="29"/>
  <c r="L35" i="29" s="1"/>
  <c r="M33" i="29"/>
  <c r="M35" i="29" s="1"/>
  <c r="R32" i="29" l="1"/>
  <c r="F47" i="29"/>
  <c r="G23" i="37"/>
  <c r="B22" i="30"/>
  <c r="AB24" i="37"/>
  <c r="AF24" i="37"/>
  <c r="AC24" i="37"/>
  <c r="AD24" i="37"/>
  <c r="AE24" i="37"/>
  <c r="J30" i="35"/>
  <c r="K108" i="29"/>
  <c r="L30" i="35" s="1"/>
  <c r="K109" i="29"/>
  <c r="L31" i="35" s="1"/>
  <c r="J31" i="35"/>
  <c r="J32" i="35"/>
  <c r="K110" i="29"/>
  <c r="L32" i="35" s="1"/>
  <c r="H8" i="30"/>
  <c r="H26" i="35"/>
  <c r="B8" i="30"/>
  <c r="G22" i="37"/>
  <c r="B7" i="35"/>
  <c r="B15" i="35"/>
  <c r="K35" i="29"/>
  <c r="I35" i="29"/>
  <c r="G35" i="29"/>
  <c r="R31" i="29"/>
  <c r="R34" i="29"/>
  <c r="F35" i="29"/>
  <c r="R49" i="29"/>
  <c r="Q51" i="29"/>
  <c r="G28" i="37"/>
  <c r="G24" i="37"/>
  <c r="G25" i="37"/>
  <c r="G27" i="37"/>
  <c r="G20" i="37"/>
  <c r="G21" i="37"/>
  <c r="G29" i="37"/>
  <c r="G26" i="37"/>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<sst xmlns="http://schemas.openxmlformats.org/spreadsheetml/2006/main" count="645" uniqueCount="492">
  <si>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</si>
  <si>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</si>
  <si>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</si>
  <si>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</si>
  <si>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</si>
  <si>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</si>
  <si>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</si>
  <si>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</si>
  <si>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</si>
  <si>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</si>
  <si>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</si>
  <si>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</si>
  <si>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</si>
  <si>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</si>
  <si>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</si>
  <si>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</si>
  <si>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</si>
  <si>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</si>
  <si>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</si>
  <si>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</si>
  <si>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</si>
  <si>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</si>
  <si>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</si>
  <si>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</si>
  <si>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</si>
  <si>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</si>
  <si>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</si>
  <si>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</si>
  <si>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</si>
  <si>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</si>
  <si>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</si>
  <si>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</si>
  <si>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</si>
  <si>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</si>
  <si>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</si>
  <si>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</si>
  <si>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</si>
  <si>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</si>
  <si>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</si>
  <si>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</si>
  <si>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</si>
  <si>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</si>
  <si>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</si>
  <si>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</si>
  <si>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</si>
  <si>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</si>
  <si>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</si>
  <si>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</si>
  <si>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</si>
  <si>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</si>
  <si>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</si>
  <si>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</si>
  <si>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</si>
  <si>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</si>
  <si>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</si>
  <si>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</si>
  <si>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</si>
  <si>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</si>
  <si>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</si>
  <si>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</si>
  <si>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</si>
  <si>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</si>
  <si>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</si>
  <si>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</si>
  <si>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</si>
  <si>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</si>
  <si>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</si>
  <si>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</si>
  <si>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</si>
  <si>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</si>
  <si>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</si>
  <si>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</si>
  <si>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</si>
  <si>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</si>
  <si>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</si>
  <si>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</si>
  <si>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</si>
  <si>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</si>
  <si>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</si>
  <si>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</si>
  <si>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</si>
  <si>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</si>
  <si>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</si>
  <si>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</si>
  <si>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</si>
  <si>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</si>
  <si>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</si>
  <si>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</si>
  <si>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</si>
  <si>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</si>
  <si>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</si>
  <si>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</si>
  <si>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</si>
  <si>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</si>
  <si>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</si>
  <si>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</si>
  <si>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</si>
  <si>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</si>
  <si>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</si>
  <si>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</si>
  <si>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</si>
  <si>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</si>
  <si>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</si>
  <si>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</si>
  <si>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</si>
  <si>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</si>
  <si>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</si>
  <si>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</si>
  <si>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</si>
  <si>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</si>
  <si>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</si>
  <si>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</si>
  <si>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</si>
  <si>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</si>
  <si>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</si>
  <si>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</si>
  <si>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</si>
  <si>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</si>
  <si>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</si>
  <si>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</si>
  <si>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</si>
  <si>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</si>
  <si>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</si>
  <si>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</si>
  <si>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</si>
  <si>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</si>
  <si>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</si>
  <si>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</si>
  <si>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</si>
  <si>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</si>
  <si>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</si>
  <si>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</si>
  <si>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</si>
  <si>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</si>
  <si>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</si>
  <si>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</si>
  <si>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</si>
  <si>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</si>
  <si>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</si>
  <si>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</si>
  <si>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</si>
  <si>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</si>
  <si>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</si>
  <si>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</si>
  <si>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</si>
  <si>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</si>
  <si>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</si>
  <si>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</si>
  <si>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</si>
  <si>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</si>
  <si>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</si>
  <si>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</si>
  <si>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</si>
  <si>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</si>
  <si>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</si>
  <si>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</si>
  <si>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</si>
  <si>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</si>
  <si>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</si>
  <si>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</si>
  <si>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</si>
  <si>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</si>
  <si>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</si>
  <si>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</si>
  <si>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</si>
  <si>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</si>
  <si>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</si>
  <si>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</si>
  <si>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</si>
  <si>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</si>
  <si>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</si>
  <si>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</si>
  <si>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</si>
  <si>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</si>
  <si>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</si>
  <si>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</si>
  <si>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</si>
  <si>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</si>
  <si>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</si>
  <si>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</si>
  <si>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</si>
  <si>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</si>
  <si>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</si>
  <si>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</si>
  <si>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</si>
  <si>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</si>
  <si>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</si>
  <si>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</si>
  <si>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</si>
  <si>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</si>
  <si>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</si>
  <si>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</si>
  <si>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</si>
  <si>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</si>
  <si>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</si>
  <si>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</si>
  <si>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</si>
  <si>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</si>
  <si>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</si>
  <si>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</si>
  <si>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</si>
  <si>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</si>
  <si>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</si>
  <si>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</si>
  <si>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</si>
  <si>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</si>
  <si>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</si>
  <si>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</si>
  <si>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</si>
  <si>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</si>
  <si>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</si>
  <si>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</si>
  <si>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</si>
  <si>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</si>
  <si>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</si>
  <si>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</si>
  <si>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</si>
  <si>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</si>
  <si>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</si>
  <si>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</si>
  <si>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</si>
  <si>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</si>
  <si>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</si>
  <si>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</si>
  <si>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</si>
  <si>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</si>
  <si>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</si>
  <si>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</si>
  <si>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</si>
  <si>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</si>
  <si>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</si>
  <si>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</si>
  <si>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</si>
  <si>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</si>
  <si>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</si>
  <si>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</si>
  <si>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</si>
  <si>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</si>
  <si>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</si>
  <si>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</si>
  <si>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</si>
  <si>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</si>
  <si>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</si>
  <si>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</si>
  <si>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</si>
  <si>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</si>
  <si>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</si>
  <si>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</si>
  <si>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</si>
  <si>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</si>
  <si>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</si>
  <si>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</si>
  <si>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</si>
  <si>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</si>
  <si>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</si>
  <si>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</si>
  <si>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</si>
  <si>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</si>
  <si>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</si>
  <si>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</si>
  <si>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</si>
  <si>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</si>
  <si>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</si>
  <si>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</si>
  <si>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</si>
  <si>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</si>
  <si>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</si>
  <si>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</si>
  <si>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</si>
  <si>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</si>
  <si>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</si>
  <si>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</si>
  <si>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</si>
  <si>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</si>
  <si>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</si>
  <si>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</si>
  <si>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</si>
  <si>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</si>
  <si>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</si>
  <si>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</si>
  <si>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</si>
  <si>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</si>
  <si>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IP UCIMP RSS</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</si>
  <si>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</si>
  <si>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</si>
  <si>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</si>
  <si>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</si>
  <si>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</si>
  <si>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</si>
  <si>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</si>
  <si>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</si>
  <si>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</si>
  <si>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</si>
  <si>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</si>
  <si>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</si>
  <si>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</si>
  <si>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</si>
  <si>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</si>
  <si>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</si>
  <si>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</si>
  <si>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</si>
  <si>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</si>
  <si>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</si>
  <si>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</si>
  <si>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</si>
  <si>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</si>
  <si>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</si>
  <si>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</si>
  <si>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</si>
  <si>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</si>
  <si>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</si>
  <si>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Fortificarea realizării DOTS în scopul ameliorării detecţiei tuberculozei şi a managementului cazului de TB</t>
  </si>
  <si>
    <t>Asigurarea accesului universal la diagnosticul şi tratamentul cazurilor de TB drog-rezistentă</t>
  </si>
  <si>
    <t xml:space="preserve">Fortificarea sistemului de monitorizare şi evaluare, a managementului şi coordonării sistemului de sănătate pentru pacienţii cu TB </t>
  </si>
  <si>
    <t xml:space="preserve">Creşterea informării publice despre TB şi reducerea stigmatizării </t>
  </si>
  <si>
    <t>Fortificarea managementului Proiectului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</si>
  <si>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</si>
  <si>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</si>
  <si>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</si>
  <si>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</si>
  <si>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</si>
  <si>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</si>
  <si>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</si>
  <si>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</si>
  <si>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</si>
  <si>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</si>
  <si>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</si>
  <si>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</si>
  <si>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</si>
  <si>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</si>
  <si>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</si>
  <si>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 xml:space="preserve">                               Întroduceți datele pentru management în celulele albastre</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</si>
  <si>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</si>
  <si>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</si>
  <si>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</si>
  <si>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</si>
  <si>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</si>
  <si>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</si>
  <si>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</si>
  <si>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</si>
  <si>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</si>
  <si>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</si>
  <si>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</si>
  <si>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</si>
  <si>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</si>
  <si>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</si>
  <si>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</si>
  <si>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</si>
  <si>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</si>
  <si>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</si>
  <si>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</si>
  <si>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</si>
  <si>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</si>
  <si>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</si>
  <si>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</si>
  <si>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</si>
  <si>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</si>
  <si>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</si>
  <si>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</si>
  <si>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</si>
  <si>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</si>
  <si>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</si>
  <si>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</si>
  <si>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</si>
  <si>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</si>
  <si>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</si>
  <si>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</si>
  <si>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</si>
  <si>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</si>
  <si>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</si>
  <si>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</si>
  <si>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</si>
  <si>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</si>
  <si>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Da</t>
  </si>
  <si>
    <t>Ținta</t>
  </si>
  <si>
    <t>Rezultat</t>
  </si>
  <si>
    <t>Rezultat 4</t>
  </si>
  <si>
    <t>Nu</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</si>
  <si>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</si>
  <si>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</si>
  <si>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</si>
  <si>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</si>
  <si>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</si>
  <si>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</si>
  <si>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</si>
  <si>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</si>
  <si>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</si>
  <si>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</si>
  <si>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</si>
  <si>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</si>
  <si>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</si>
  <si>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</si>
  <si>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</si>
  <si>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</si>
  <si>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</si>
  <si>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</si>
  <si>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 Include numai EFR categoriile 4 și 5  (Produse medicale și Echipamente medicale &amp; Medicamente și Produse farmaceutice)</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</si>
  <si>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</si>
  <si>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</si>
  <si>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</si>
  <si>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</si>
  <si>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</si>
  <si>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</si>
  <si>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</si>
  <si>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</si>
  <si>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</si>
  <si>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</si>
  <si>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</si>
  <si>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</si>
  <si>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</si>
  <si>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</si>
  <si>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</si>
  <si>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</si>
  <si>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</si>
  <si>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</si>
  <si>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</si>
  <si>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</si>
  <si>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</si>
  <si>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</si>
  <si>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</si>
  <si>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</si>
  <si>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</si>
  <si>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</si>
  <si>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</si>
  <si>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Sistemul R&amp;R TB, rapoarte trimestriale. SYME TB, modulul DOTS Plus.</t>
  </si>
  <si>
    <t>Formular de notificare a cazurilor TB (089); Registrul cazurilor TB (03);
Fișa de tratament a pacienților TB (01).</t>
  </si>
  <si>
    <t xml:space="preserve">Y - cumulativ anual </t>
  </si>
  <si>
    <t>Numărător: Numărul de decese cauzate de TB (toate formele) înregistrate într-o anumită perioadă per 100,000 persoane; Numitor: Numărul total al populației în țară</t>
  </si>
  <si>
    <t>Numărător: Numărul pacienţilor cu tuberculoză multirezistentă (confirmată în baza testului de laborator) care beneficiază de tratamentul DOTS Plus; Numitor: Nu este</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</si>
  <si>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</si>
  <si>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</si>
  <si>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</si>
  <si>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</si>
  <si>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</si>
  <si>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</si>
  <si>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Prevalența TB MDR printre cazurile noi TB, %</t>
  </si>
  <si>
    <t xml:space="preserve">Ultima debursare: Zile calendaristice </t>
  </si>
  <si>
    <t>Rata mortalităţii  - Numărul de decese cauzate de TB (toate formele) pe an, la 100,000 persoane</t>
  </si>
  <si>
    <t>Indicator de impact 1. Rata mortalităţii  - Numărul de decese cauzate de TB (toate formele) pe an, la 100,000 persoane</t>
  </si>
  <si>
    <t>Indicatori de Program (din Performance Framework)</t>
  </si>
  <si>
    <t xml:space="preserve">Formular de notificare a cazurilor MDR TB (090); Registrul cazurilor MDR TB (03MDR = registru categoria IV); Fișa de tratament a pacienților MDR TB (01)
</t>
  </si>
  <si>
    <t xml:space="preserve">    Introduceți datele de performanță în celulele în galben.</t>
  </si>
  <si>
    <t>N/A</t>
  </si>
  <si>
    <t>Activitățile aferente acestui indicator au fost finalizate la data de 30 Septembrie, 2012.</t>
  </si>
  <si>
    <t>Numărător: Numărul cazurilor confirmate de TB-MDR, tratate cu succes (vindecate și tratamente încheiate); Numitor: Numărul total de cazuri înregistrate pentru tratament DOTS Plus într-o anumită perioadă</t>
  </si>
  <si>
    <t xml:space="preserve">Indicator de rezultat 1. Rata succesului tratamentului pacienților cu TB-MDR </t>
  </si>
  <si>
    <t xml:space="preserve">Colectat trimestrial și anual </t>
  </si>
  <si>
    <t>Indicator de rezultat 2. Prevalența TB-MDR printre cazurile noi TB</t>
  </si>
  <si>
    <t xml:space="preserve">Indicator de rezultat 3. Prevalența TB-MDR printre cazurile TB anterior tratate </t>
  </si>
  <si>
    <t xml:space="preserve">Numărător: Numărul cazurilor noi TB cu cultura pozitivă, testate la DST pentru preparatele de linia I, diagnosticate cu MDR; Numitor: Numărul total de cazuri noi TB cu cultura pozitivă, testate la DST pentru preparatele de linia I, într-un an </t>
  </si>
  <si>
    <t>Numărător: Numărul cazurilor TB cu cultura pozitivă, anterior tratate, testate la DST pentru preparatele de linia I, diagnosticate cu MDR; Numitor: Numărul total de cazuri TB cu cultura pozitivă, anterior tratate, testate la DST pentru preparatele de linia I, într-un an</t>
  </si>
  <si>
    <t xml:space="preserve">1.1 Numărul pacienţilor cu tuberculoză multirezistentă (confirmată în baza testului de laborator) care beneficiază de tratamentul DOTS Plus             </t>
  </si>
  <si>
    <t xml:space="preserve">1.2 Rezultatul interimar al tratamentului cazurilor MDR-TB, rata interimară a succesului  </t>
  </si>
  <si>
    <t>Numărător: Numărul pacienţilor cu test de cultură negativ, după 6 luni de tratament DOTS-Plus; Numitor: Numărul total al pacienţilor cu tuberculoză multirezistentă (confirmată în baza testului de laborator), incluși în tratamentul DOTS Plus într-o perioadă anumită</t>
  </si>
  <si>
    <t>1.3 Rezultatul interimar de abandon al tratamentului cazurilor MDR-TB</t>
  </si>
  <si>
    <t>Numărător: Numărul pacienţilor cu TB-MDR care au întrerupt tratamentul după 6 luni de tratament DOTS-Plus; Numitor: Numărul total al pacienţilor cu tuberculoză multirezistentă (confirmată în baza testului de laborator), incluși în tratamentul DOTS Plus într-o perioadă anumită</t>
  </si>
  <si>
    <t>2.1 Procentul deținuților testați pentru TB, la echipamentul radiologic digital mobil MRP</t>
  </si>
  <si>
    <t>Y - nu este cumulativ</t>
  </si>
  <si>
    <t>Ministerul Justiției, Departamentul  Instituțiilor Penitenciare, rapoarte semestriale</t>
  </si>
  <si>
    <t xml:space="preserve">Numărător: Numărul deținuților testați pentru TB, la echipamentul radiologic digital mobil MRP într-o perioadă anumită; Numitor: Numărul total al deținuților eligibili pentru screening în sistemul penitenciar în perioada raportată </t>
  </si>
  <si>
    <t>Rezultat 2</t>
  </si>
  <si>
    <t xml:space="preserve">Numărul și procentul pacienţilor cu tuberculoză multirezistentă (confirmată în baza testului de laborator) tratați cu succes (care au urmat și terminat tratamentul), incluşi în tratamentul DOTS-Plus     </t>
  </si>
  <si>
    <t>Rezultat 1</t>
  </si>
  <si>
    <t>Rezultat 3</t>
  </si>
  <si>
    <t xml:space="preserve">Prevalența TB-MDR printre cazurile TB anterior tratate, % </t>
  </si>
  <si>
    <t xml:space="preserve">Numărul pacienţilor cu tuberculoză multirezistentă (confirmată în baza testului de laborator) care beneficiază de tratamentul DOTS Plus             </t>
  </si>
  <si>
    <t xml:space="preserve">Rezultatul interimar al tratamentului cazurilor MDR-TB, rata interimară a succesului  </t>
  </si>
  <si>
    <t>Rezultatul interimar de abandon al tratamentului cazurilor MDR-TB</t>
  </si>
  <si>
    <t>Definiție  (din M&amp;E Plan, Decembrie 2012)</t>
  </si>
  <si>
    <t xml:space="preserve">Formular de notificare a cazurilor MDR TB (090); Registrul cazurilor MDR TB (03MDR = registru categoria IV); Fișa de tratament a pacienților MDR TB (01); Registrul de laborator (04)
</t>
  </si>
  <si>
    <t>Procentul deținuților testați pentru TB, la echipamentul radiologic digital mobil MRP</t>
  </si>
  <si>
    <t>Nu sunt posturi libere în cadrul echipei ce gestionează Grantul Consolidat TB</t>
  </si>
  <si>
    <t>În perioada doi de implementare a Grantului Consolidat IP UCIMP RSS nu are aranjamentele contractuale cu SR pentru realizarea activităților în perioada raportată</t>
  </si>
  <si>
    <t xml:space="preserve">Fondul Global a debursat în avans intreaga sumă a grantului </t>
  </si>
  <si>
    <t>Toate cele patru condiții precedente stipulate în Acordul de Grant au fost îndeplinite de către RP</t>
  </si>
  <si>
    <t>Recomandările cheie a Comisiei de Supraveghere</t>
  </si>
  <si>
    <t xml:space="preserve">MDA-T-PCIMU </t>
  </si>
  <si>
    <t>IP UCIMP DS</t>
  </si>
  <si>
    <t>Tsovinar Sakanyan</t>
  </si>
  <si>
    <t>În perioada raportată, 3,673 deținuți au fost testați pentru TB la echipamentul radiologic digital mobil MRP, din 3,683 detinuti care necesitau aceasta examinare. Ţinta indicatorului a fost depăţită cu 4,9%.</t>
  </si>
  <si>
    <t>RP avea angajamente la 30 iulie 2015 pentru livrarea ultimei tranșe a mediilor nutritive din Semestrul I.2015 in suma de 11 293.14 USD.</t>
  </si>
  <si>
    <t>Analiza stocului (la data de 31 decembrie 2014) a medicamentelor de linia a II, a numărului de pacienți în tratament la aceeași dată, precum si a livrarilor planificate arata prezența unui stock buffer între 4 și 16 de luni ce previne riscul lipsei de preparate.</t>
  </si>
  <si>
    <t>RP are angajamente financiare în volum de aprx. 11,45 mii EUR pentru achitarea salariilor restante pentru luna Iunie 2015  a şoferilor pentru transportarea sputei și a medicamnetelor, si pentru achitarea ultimei tranșe a mediilor nutritive pentru laboratoarele de referință.</t>
  </si>
  <si>
    <t xml:space="preserve">Raport de progres standard către Secretariatul FG pentru semestrul I.2015 si raportul EFR semi-anual (sem I.2015) au fost remise Fondului Global la 17 August 2015. </t>
  </si>
  <si>
    <t xml:space="preserve">Pentru perioada cumulativă a Grantului (01 octombrie 2010 – 30 iunie 2015) au fost valorificați 13 431 841,48 EUR față de 13 165 003,98 EUR bugetați (102,0%).
Variația pentru perioada cumulativă a grantului a constituit suma de (-) 266 837,50  EUR și a fost cauzată de procurarea suplimentară de consumabile și reagenţi inițial neplanificate în semestrul I. 2015, de procurarea cantității suplimentare de medicamente antituberculoase de linia a II pentru tratamentul adițional a unui număr de 151 pacienții cu TB-MDR în semestrul I.2015 (în total 331 față de 180 inițial planificați), precum și de onorarea angajamentelor din perioada I al grantului. Sursa de acoperire a diferenței au fost interesul bancar pentru perioada 01 octombrie 2010 – 30 iunie 2015: EUR 220,94 mii și soldul din cont la data de demarare a grantului consolidat 01 octombrie 2010: EUR 45,9 mii.
</t>
  </si>
  <si>
    <r>
      <rPr>
        <b/>
        <sz val="8"/>
        <rFont val="Calibri"/>
        <family val="2"/>
        <charset val="204"/>
      </rPr>
      <t>Date finale pentru anul 2014</t>
    </r>
    <r>
      <rPr>
        <sz val="8"/>
        <rFont val="Calibri"/>
        <family val="2"/>
        <charset val="204"/>
      </rPr>
      <t xml:space="preserve">: 508 persoane au decedat în anul 2014 (12.5 decese cauzate de TB (toate formele) la 100,000 persoane).                                                                                                                                         
</t>
    </r>
    <r>
      <rPr>
        <b/>
        <sz val="8"/>
        <rFont val="Calibri"/>
        <family val="2"/>
        <charset val="204"/>
      </rPr>
      <t>Notă</t>
    </r>
    <r>
      <rPr>
        <sz val="8"/>
        <rFont val="Calibri"/>
        <family val="2"/>
        <charset val="204"/>
      </rPr>
      <t xml:space="preserve">: Rezultatul actual este mai mare decît ţinta prestabilită în acordul de Grant pentru perioada raportată (9,5 la 100 mii), fiind constatată o creștere cu 11,4% în comparație cu anul 2013 (11,22 la 100 K/ abs. 456). Totuși, rata mortalității cauzate de TB în 2014 ne indică o tendință de descreștere - cu 13,6%,  în comparație cu anul 2012 (14,4 la 100 K/ abs. 588), și cu 22,7%, în comparație cu anul 2011 (16,10 la 100 K/ abs. 657).       </t>
    </r>
  </si>
  <si>
    <r>
      <rPr>
        <b/>
        <sz val="8"/>
        <rFont val="Calibri"/>
        <family val="2"/>
        <charset val="204"/>
      </rPr>
      <t>Date finale pentru cohorta MDR-TB 2012</t>
    </r>
    <r>
      <rPr>
        <sz val="8"/>
        <rFont val="Calibri"/>
        <family val="2"/>
        <charset val="204"/>
      </rPr>
      <t xml:space="preserve">: 505 cazuri confirmate de TB MDR (vindecate și cu tratamente încheiate), din 856 incluse în tratment DOTS Plus în 2012, au fost tratate cu succes.                                                                                  
</t>
    </r>
    <r>
      <rPr>
        <b/>
        <sz val="8"/>
        <rFont val="Calibri"/>
        <family val="2"/>
        <charset val="204"/>
      </rPr>
      <t>Notă</t>
    </r>
    <r>
      <rPr>
        <sz val="8"/>
        <rFont val="Calibri"/>
        <family val="2"/>
        <charset val="204"/>
      </rPr>
      <t xml:space="preserve">: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t>
    </r>
  </si>
  <si>
    <r>
      <rPr>
        <b/>
        <sz val="8"/>
        <rFont val="Calibri"/>
        <family val="2"/>
        <charset val="204"/>
      </rPr>
      <t>Date finale pentru anul 2014</t>
    </r>
    <r>
      <rPr>
        <sz val="8"/>
        <rFont val="Calibri"/>
        <family val="2"/>
        <charset val="204"/>
      </rPr>
      <t xml:space="preserve">: 417 cazuri noi TB cu cultura pozitivă, testate la DST pentru preparatele de linia I, din 1,508 investigate în 2014, au fost diagnosticate cu MDR.                                                                                                                         
</t>
    </r>
    <r>
      <rPr>
        <b/>
        <sz val="8"/>
        <rFont val="Calibri"/>
        <family val="2"/>
        <charset val="204"/>
      </rPr>
      <t>Notă 1</t>
    </r>
    <r>
      <rPr>
        <sz val="8"/>
        <rFont val="Calibri"/>
        <family val="2"/>
        <charset val="204"/>
      </rPr>
      <t xml:space="preserve">: Nu se constată schimbări esențiale în evoluția prevalenței MDR-TB printre cazurile noi TB. Datele indicatorului continuă să fie înalte: 23,7% în 2012, 25,53% în 2013 și 27,7% în 2014.
</t>
    </r>
    <r>
      <rPr>
        <b/>
        <sz val="8"/>
        <rFont val="Calibri"/>
        <family val="2"/>
        <charset val="204"/>
      </rPr>
      <t>Notă 2</t>
    </r>
    <r>
      <rPr>
        <sz val="8"/>
        <rFont val="Calibri"/>
        <family val="2"/>
        <charset val="204"/>
      </rPr>
      <t xml:space="preserve">: Nivelul înalt al rezistenţei diagnosticate poate fi explicat prin răspîndirea rezistenţei la medicamentele antituberculoase în populaţie pe parcursul ultimilor 10 ani şi ameliorarea diagnosticării acesteia prin introducerea metodelor moderne rapide de diagnostic. </t>
    </r>
  </si>
  <si>
    <r>
      <rPr>
        <b/>
        <sz val="8"/>
        <rFont val="Calibri"/>
        <family val="2"/>
        <charset val="204"/>
      </rPr>
      <t>Date finale pentru anul 2014</t>
    </r>
    <r>
      <rPr>
        <sz val="8"/>
        <rFont val="Calibri"/>
        <family val="2"/>
        <charset val="204"/>
      </rPr>
      <t xml:space="preserve">: 461 cazuri TB cu cultura pozitivă, anterior tratate, testate la DST pentru preparatele de linia I, din 706 investigate în 2014, au fost diagnosticate cu MDR.                                                                                                                                                                 </t>
    </r>
    <r>
      <rPr>
        <b/>
        <sz val="8"/>
        <rFont val="Calibri"/>
        <family val="2"/>
        <charset val="204"/>
      </rPr>
      <t>Notă 1</t>
    </r>
    <r>
      <rPr>
        <sz val="8"/>
        <rFont val="Calibri"/>
        <family val="2"/>
        <charset val="204"/>
      </rPr>
      <t xml:space="preserve">: Nu se constată schimbări esențiale în evoluția prevalenței MDR-TB printre cazurile TB anterior tratate. Datele indicatorului continuă să fie înalte: 63,3% în 2011, 62,76% în 2012, 62,38% în 2013, și 65,3% în 2014.                                                                                                                                             </t>
    </r>
    <r>
      <rPr>
        <b/>
        <sz val="8"/>
        <rFont val="Calibri"/>
        <family val="2"/>
        <charset val="204"/>
      </rPr>
      <t>Notă 2</t>
    </r>
    <r>
      <rPr>
        <sz val="8"/>
        <rFont val="Calibri"/>
        <family val="2"/>
        <charset val="204"/>
      </rPr>
      <t xml:space="preserve">: Nivelul înalt al rezistenţei diagnosticate poate fi explicat prin răspîndirea rezistenţei la medicamentele antituberculoase în populaţie pe parcursul ultimilor 10 ani şi ameliorarea diagnosticării acesteia prin introducerea metodelor moderne rapide de diagnostic. </t>
    </r>
  </si>
  <si>
    <r>
      <t xml:space="preserve">Pe parcursul Q1.2015 - 275 și Q2.2015 - 267 pacienți TB-MDR au fost incluși în tratamentul DOTS Plus.
</t>
    </r>
    <r>
      <rPr>
        <b/>
        <sz val="8"/>
        <rFont val="Calibri"/>
        <family val="2"/>
        <charset val="204"/>
      </rPr>
      <t>Notă 1</t>
    </r>
    <r>
      <rPr>
        <sz val="8"/>
        <rFont val="Calibri"/>
        <family val="2"/>
        <charset val="204"/>
      </rPr>
      <t xml:space="preserve">: Conform PF-ului aprobat de TGF, ținta estimată initiala pentru perioada raportată era de 180 pacienți TB-MDR care urmau să fie incluși în tratamentul DOTS Plus, din sursele financiare disponibile ale Grantului. Totuși, este important să menționăm că cea mai mare parte din economiile raportate de PR în perioada a.2013-2014 de implementare a Grantului, a fost bugetată pentru procurarea cantităților adiționale de medicamente de linia a II-a (decizie aprobată de către CCM și Secretariatul TGF), în scopul măririi cohortei TB-MDR cu pînă la 331 pacienți, care urmau să fie incluși în tratamentul DOTS-Plus în Sem.I.2015. În plus, procurarea medicamentelor de linia a II-a pentru 130 pacienți TB-MDR, în anul 2015, este finanțată din sursele Ministerului Sănătății. În contextul celor spuse mai sus, ținta revizuită pentru Sem.I.2015 este de 396 (331 + 130/2) pacienți.                                                                                            </t>
    </r>
    <r>
      <rPr>
        <b/>
        <sz val="8"/>
        <rFont val="Calibri"/>
        <family val="2"/>
        <charset val="204"/>
      </rPr>
      <t>Notă 2</t>
    </r>
    <r>
      <rPr>
        <sz val="8"/>
        <rFont val="Calibri"/>
        <family val="2"/>
        <charset val="204"/>
      </rPr>
      <t xml:space="preserve">: În perioada raportată, a fost utilizată practica anterioară de includere în tratamentul DOTS-Plus a unui număr mai mare de pacienți, astfel, înlocuindu-se cazurile de eșec, deces sau abandon înregistrate imediat după inițierea administrării medicamentelor, atunci cînd medicamentele în cauză rămîn a fi încă disponibile.       </t>
    </r>
  </si>
  <si>
    <r>
      <t xml:space="preserve">305 pacienți (169 din trimestrul I.2014 și 136 din trimestrul II.2014) din 469 incluși în tratamentul DOTS Plus în semestrul I.2014 au obținut un test de cultură negativ, după 6 luni de tratament DOTS Plus.                                                                                                                                                                                   </t>
    </r>
    <r>
      <rPr>
        <b/>
        <sz val="8"/>
        <rFont val="Calibri"/>
        <family val="2"/>
        <charset val="204"/>
      </rPr>
      <t>Notă</t>
    </r>
    <r>
      <rPr>
        <sz val="8"/>
        <rFont val="Calibri"/>
        <family val="2"/>
        <charset val="204"/>
      </rPr>
      <t xml:space="preserve">: Rezultatul acestui indicator nu atinge ținta preconizată pentru perioada raportată cu 7,1%. De asemenea, se constată o descreștere a ratei interimare de succes a tratamentului pentru cohorta Q1-Q2.2014 comparativ cu ratele anuale din 2012 și 2013: cu 5,7% (68,96%) și cu 9,2% ( 71,6%) respectiv.   </t>
    </r>
  </si>
  <si>
    <r>
      <t xml:space="preserve">42 pacienți (25 din trimestrul I.2014 și 17 din trimestrul II.2014) din 469 incluși în tratamentul DOTS Plus în semestrul I.2014, au abandonat tratamentul după 6 luni de tratament DOTS Plus.                                                                                                                                            </t>
    </r>
    <r>
      <rPr>
        <b/>
        <sz val="8"/>
        <rFont val="Calibri"/>
        <family val="2"/>
        <charset val="204"/>
      </rPr>
      <t>Notă</t>
    </r>
    <r>
      <rPr>
        <sz val="8"/>
        <rFont val="Calibri"/>
        <family val="2"/>
        <charset val="204"/>
      </rPr>
      <t xml:space="preserve">: Rezultatul interimar de abandon al tratamentului cazurilor MDR-TB pentru cohorta Q1-Q2.2014, înregistrează o mică creștere (cu 7,95%) în comparație cu rata cohortei anului 2013 (8,3%). Totodată, se constată o reducere a ratei de abandon al tratamentului DOTS Plus pentru cohorta Q1-Q2.2014 (cu 25,33%) faţă de rata cohortei anului 2011 (12,0%).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</si>
</sst>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40">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7"/>
      <color indexed="23"/>
      <name val="Verdana"/>
      <family val="2"/>
    </font>
    <font>
      <sz val="10"/>
      <name val="Micro Bar Charts 1.1"/>
    </font>
    <font>
      <sz val="9"/>
      <name val="Tahoma"/>
      <family val="2"/>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9"/>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0"/>
      <name val="Arial"/>
      <family val="2"/>
    </font>
    <font>
      <b/>
      <sz val="12"/>
      <color indexed="56"/>
      <name val="Tahoma"/>
      <family val="2"/>
    </font>
    <font>
      <b/>
      <sz val="10"/>
      <name val="Verdana"/>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0"/>
      <color theme="1"/>
      <name val="Calibri"/>
      <family val="2"/>
      <charset val="204"/>
      <scheme val="minor"/>
    </font>
    <font>
      <sz val="11"/>
      <color rgb="FF7030A0"/>
      <name val="Calibri"/>
      <family val="2"/>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0"/>
      <color rgb="FFFF0000"/>
      <name val="Arial"/>
      <family val="2"/>
      <charset val="204"/>
    </font>
    <font>
      <sz val="10"/>
      <color rgb="FF7030A0"/>
      <name val="Calibri"/>
      <family val="2"/>
    </font>
    <font>
      <sz val="11"/>
      <color rgb="FF7030A0"/>
      <name val="Calibri"/>
      <family val="2"/>
      <scheme val="minor"/>
    </font>
    <font>
      <sz val="8"/>
      <name val="Calibri"/>
      <family val="2"/>
      <charset val="204"/>
    </font>
    <font>
      <b/>
      <sz val="8"/>
      <name val="Calibri"/>
      <family val="2"/>
      <charset val="204"/>
    </font>
    <font>
      <sz val="11"/>
      <name val="Calibri"/>
      <family val="2"/>
      <charset val="204"/>
      <scheme val="minor"/>
    </font>
    <font>
      <sz val="7.7"/>
      <name val="Calibri"/>
      <family val="2"/>
    </font>
    <font>
      <sz val="7.7"/>
      <name val="Calibri"/>
      <family val="2"/>
      <scheme val="minor"/>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65"/>
        <bgColor indexed="52"/>
      </patternFill>
    </fill>
    <fill>
      <patternFill patternType="solid">
        <fgColor indexed="65"/>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s>
  <borders count="23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style="thin">
        <color indexed="64"/>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right style="medium">
        <color indexed="51"/>
      </right>
      <top/>
      <bottom/>
      <diagonal/>
    </border>
    <border>
      <left style="medium">
        <color indexed="51"/>
      </left>
      <right style="thin">
        <color indexed="64"/>
      </right>
      <top style="thin">
        <color indexed="64"/>
      </top>
      <bottom style="medium">
        <color indexed="51"/>
      </bottom>
      <diagonal/>
    </border>
    <border>
      <left style="thin">
        <color indexed="64"/>
      </left>
      <right/>
      <top style="thin">
        <color indexed="64"/>
      </top>
      <bottom style="medium">
        <color indexed="5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9"/>
      </left>
      <right/>
      <top/>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style="medium">
        <color indexed="51"/>
      </left>
      <right/>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bottom style="dotted">
        <color indexed="51"/>
      </bottom>
      <diagonal/>
    </border>
    <border>
      <left/>
      <right/>
      <top/>
      <bottom style="dotted">
        <color indexed="51"/>
      </bottom>
      <diagonal/>
    </border>
    <border>
      <left/>
      <right style="medium">
        <color indexed="51"/>
      </right>
      <top/>
      <bottom style="dotted">
        <color indexed="51"/>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11"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11" fillId="0" borderId="0"/>
    <xf numFmtId="164" fontId="111" fillId="0" borderId="0"/>
    <xf numFmtId="164" fontId="111" fillId="0" borderId="0"/>
    <xf numFmtId="164" fontId="111" fillId="0" borderId="0"/>
    <xf numFmtId="170" fontId="49" fillId="0" borderId="0"/>
    <xf numFmtId="9" fontId="3" fillId="0" borderId="0" applyFont="0" applyFill="0" applyBorder="0" applyAlignment="0" applyProtection="0"/>
    <xf numFmtId="164" fontId="111"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11" fillId="0" borderId="1" applyNumberFormat="0" applyFill="0" applyAlignment="0" applyProtection="0"/>
  </cellStyleXfs>
  <cellXfs count="1034">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11" fillId="0" borderId="0" xfId="14" applyProtection="1"/>
    <xf numFmtId="164" fontId="8" fillId="0" borderId="0" xfId="14" applyFont="1" applyProtection="1"/>
    <xf numFmtId="170" fontId="11" fillId="0" borderId="0" xfId="14" applyNumberFormat="1" applyFont="1" applyBorder="1" applyProtection="1"/>
    <xf numFmtId="164" fontId="111" fillId="0" borderId="0" xfId="16" applyProtection="1"/>
    <xf numFmtId="164" fontId="111" fillId="0" borderId="0" xfId="16" applyFill="1" applyBorder="1" applyAlignment="1" applyProtection="1">
      <alignment horizontal="left"/>
    </xf>
    <xf numFmtId="170" fontId="0" fillId="0" borderId="0" xfId="0" applyFill="1" applyBorder="1" applyProtection="1"/>
    <xf numFmtId="164" fontId="111"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70" fontId="0" fillId="0" borderId="0" xfId="0" applyFill="1" applyBorder="1"/>
    <xf numFmtId="15" fontId="22" fillId="0" borderId="0" xfId="0" applyNumberFormat="1" applyFont="1" applyFill="1" applyBorder="1" applyAlignment="1" applyProtection="1">
      <alignment horizontal="center" vertical="center" wrapText="1"/>
      <protection locked="0"/>
    </xf>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64" fontId="9" fillId="0" borderId="0" xfId="13" applyFont="1" applyFill="1" applyAlignment="1">
      <alignment vertical="center"/>
    </xf>
    <xf numFmtId="170" fontId="0" fillId="0" borderId="2" xfId="0" applyBorder="1" applyAlignment="1">
      <alignment horizontal="center"/>
    </xf>
    <xf numFmtId="170" fontId="7" fillId="0" borderId="0" xfId="0" applyFont="1" applyBorder="1" applyAlignment="1">
      <alignment horizontal="center"/>
    </xf>
    <xf numFmtId="170" fontId="1" fillId="0" borderId="0" xfId="0" applyFont="1" applyBorder="1" applyAlignment="1"/>
    <xf numFmtId="170" fontId="1" fillId="0" borderId="0" xfId="0" applyFont="1" applyFill="1" applyBorder="1" applyAlignment="1"/>
    <xf numFmtId="170" fontId="34" fillId="0" borderId="0" xfId="0" applyFont="1"/>
    <xf numFmtId="170" fontId="34" fillId="0" borderId="0" xfId="0" applyFont="1" applyAlignment="1">
      <alignment horizontal="right"/>
    </xf>
    <xf numFmtId="170" fontId="34" fillId="0" borderId="0" xfId="0" applyFont="1" applyBorder="1"/>
    <xf numFmtId="170" fontId="37" fillId="0" borderId="0" xfId="0" applyFont="1"/>
    <xf numFmtId="170" fontId="34" fillId="0" borderId="0" xfId="0" applyNumberFormat="1" applyFont="1" applyBorder="1"/>
    <xf numFmtId="170"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164" fontId="21" fillId="0" borderId="0" xfId="0" applyNumberFormat="1" applyFont="1" applyFill="1" applyBorder="1" applyAlignment="1"/>
    <xf numFmtId="164" fontId="111" fillId="0" borderId="0" xfId="23" applyFill="1" applyBorder="1" applyAlignment="1" applyProtection="1">
      <alignment vertical="center"/>
      <protection locked="0"/>
    </xf>
    <xf numFmtId="165" fontId="25" fillId="0" borderId="0" xfId="0" applyNumberFormat="1" applyFont="1" applyFill="1" applyBorder="1" applyAlignment="1">
      <alignment horizontal="center"/>
    </xf>
    <xf numFmtId="170" fontId="19" fillId="0" borderId="0" xfId="0" applyFont="1" applyFill="1" applyBorder="1" applyAlignment="1">
      <alignment horizontal="centerContinuous"/>
    </xf>
    <xf numFmtId="170" fontId="0" fillId="0" borderId="0" xfId="0" applyFill="1" applyBorder="1" applyAlignment="1">
      <alignment horizontal="centerContinuous"/>
    </xf>
    <xf numFmtId="164" fontId="32" fillId="0" borderId="0" xfId="23" applyFont="1" applyFill="1" applyBorder="1" applyAlignment="1" applyProtection="1">
      <alignment vertical="center"/>
      <protection locked="0"/>
    </xf>
    <xf numFmtId="170" fontId="0" fillId="0" borderId="2" xfId="0" applyBorder="1"/>
    <xf numFmtId="170" fontId="0" fillId="0" borderId="0" xfId="0" applyFill="1" applyBorder="1" applyAlignment="1">
      <alignment horizontal="center"/>
    </xf>
    <xf numFmtId="22" fontId="0" fillId="0" borderId="0" xfId="0" applyNumberFormat="1"/>
    <xf numFmtId="2" fontId="0" fillId="0" borderId="0" xfId="0" applyNumberFormat="1" applyFill="1"/>
    <xf numFmtId="2" fontId="111" fillId="0" borderId="0" xfId="20" applyNumberFormat="1" applyFill="1" applyBorder="1" applyAlignment="1" applyProtection="1">
      <alignment horizontal="center"/>
      <protection locked="0"/>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51" fillId="0" borderId="0" xfId="14" applyFont="1" applyProtection="1"/>
    <xf numFmtId="164" fontId="51" fillId="0" borderId="0" xfId="16" applyFont="1" applyProtection="1"/>
    <xf numFmtId="170" fontId="51" fillId="0" borderId="2" xfId="0" applyFont="1" applyFill="1" applyBorder="1" applyAlignment="1" applyProtection="1">
      <alignment horizontal="center"/>
    </xf>
    <xf numFmtId="170" fontId="51" fillId="0" borderId="2" xfId="0" applyFont="1" applyFill="1" applyBorder="1" applyProtection="1"/>
    <xf numFmtId="164" fontId="51" fillId="0" borderId="2" xfId="16" applyFont="1" applyBorder="1" applyProtection="1"/>
    <xf numFmtId="170" fontId="52" fillId="0" borderId="2" xfId="0" applyFont="1" applyBorder="1" applyAlignment="1" applyProtection="1">
      <alignment horizontal="left" indent="1"/>
    </xf>
    <xf numFmtId="170" fontId="53" fillId="0" borderId="2" xfId="0" applyFont="1" applyBorder="1"/>
    <xf numFmtId="170" fontId="54" fillId="2" borderId="2" xfId="0" applyFont="1" applyFill="1" applyBorder="1" applyAlignment="1" applyProtection="1">
      <alignment horizontal="center"/>
    </xf>
    <xf numFmtId="170" fontId="54" fillId="2" borderId="2" xfId="0" applyFont="1" applyFill="1" applyBorder="1" applyAlignment="1">
      <alignment horizontal="center"/>
    </xf>
    <xf numFmtId="170"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0" fontId="8" fillId="3" borderId="3" xfId="0" applyFont="1" applyFill="1" applyBorder="1"/>
    <xf numFmtId="9" fontId="8" fillId="3" borderId="3" xfId="19" applyFont="1" applyFill="1" applyBorder="1" applyAlignment="1">
      <alignment horizontal="center"/>
    </xf>
    <xf numFmtId="170" fontId="8" fillId="0" borderId="0" xfId="0" applyFont="1"/>
    <xf numFmtId="170" fontId="26" fillId="0" borderId="0" xfId="0" applyFont="1" applyAlignment="1">
      <alignment horizontal="center"/>
    </xf>
    <xf numFmtId="164" fontId="45" fillId="0" borderId="0" xfId="13" applyFont="1" applyFill="1" applyAlignment="1">
      <alignment vertical="center"/>
    </xf>
    <xf numFmtId="170" fontId="7" fillId="0" borderId="0" xfId="0" applyFont="1"/>
    <xf numFmtId="170" fontId="37" fillId="0" borderId="0" xfId="0" applyFont="1" applyFill="1"/>
    <xf numFmtId="170" fontId="58" fillId="2" borderId="4" xfId="0" applyFont="1" applyFill="1" applyBorder="1" applyAlignment="1">
      <alignment vertical="center"/>
    </xf>
    <xf numFmtId="170" fontId="56" fillId="0" borderId="0" xfId="18" applyNumberFormat="1" applyFont="1" applyFill="1" applyBorder="1" applyAlignment="1">
      <alignment horizontal="center" vertical="center" wrapText="1"/>
    </xf>
    <xf numFmtId="170" fontId="56"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60" fillId="3" borderId="0" xfId="0" applyNumberFormat="1" applyFont="1" applyFill="1" applyBorder="1" applyAlignment="1">
      <alignment horizontal="center"/>
    </xf>
    <xf numFmtId="170" fontId="60" fillId="0" borderId="0" xfId="0" applyFont="1" applyFill="1" applyBorder="1" applyAlignment="1" applyProtection="1">
      <alignment horizontal="left"/>
    </xf>
    <xf numFmtId="170" fontId="61" fillId="0" borderId="0" xfId="0" applyFont="1"/>
    <xf numFmtId="164" fontId="32" fillId="0" borderId="0" xfId="23" applyFont="1" applyFill="1" applyBorder="1" applyAlignment="1" applyProtection="1">
      <alignment horizontal="center" vertical="center"/>
      <protection locked="0"/>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11"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11"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wrapText="1"/>
    </xf>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8" fillId="0" borderId="0" xfId="1" applyFont="1" applyFill="1" applyBorder="1" applyProtection="1"/>
    <xf numFmtId="164" fontId="0" fillId="0" borderId="0" xfId="0" applyNumberFormat="1" applyFill="1" applyBorder="1" applyProtection="1"/>
    <xf numFmtId="164" fontId="50" fillId="0" borderId="19" xfId="23" applyFont="1" applyFill="1" applyBorder="1" applyAlignment="1" applyProtection="1"/>
    <xf numFmtId="164" fontId="32" fillId="0" borderId="19" xfId="23" applyFont="1" applyFill="1" applyBorder="1" applyAlignment="1" applyProtection="1">
      <alignment vertical="center"/>
    </xf>
    <xf numFmtId="3" fontId="49" fillId="5" borderId="20" xfId="0" applyNumberFormat="1" applyFont="1" applyFill="1" applyBorder="1" applyAlignment="1" applyProtection="1">
      <alignment vertical="center"/>
      <protection locked="0"/>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0" fontId="19" fillId="0" borderId="0" xfId="0" applyFont="1" applyFill="1" applyBorder="1" applyProtection="1"/>
    <xf numFmtId="170" fontId="0" fillId="0" borderId="0" xfId="0" applyFill="1" applyBorder="1" applyAlignment="1" applyProtection="1">
      <alignment horizontal="center"/>
    </xf>
    <xf numFmtId="170" fontId="19" fillId="0" borderId="0" xfId="0" applyFont="1" applyFill="1" applyBorder="1" applyAlignment="1" applyProtection="1"/>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6" fillId="0" borderId="0" xfId="0" applyFont="1" applyBorder="1" applyAlignment="1" applyProtection="1">
      <alignment horizontal="left" vertical="center"/>
    </xf>
    <xf numFmtId="170" fontId="36" fillId="0" borderId="0" xfId="0" applyFont="1" applyBorder="1" applyAlignment="1" applyProtection="1">
      <alignment horizontal="left"/>
    </xf>
    <xf numFmtId="167" fontId="36" fillId="0" borderId="0" xfId="0" applyNumberFormat="1" applyFont="1" applyBorder="1" applyAlignment="1" applyProtection="1">
      <alignment horizontal="left"/>
    </xf>
    <xf numFmtId="170" fontId="37" fillId="0" borderId="0" xfId="0" applyFont="1" applyProtection="1"/>
    <xf numFmtId="170" fontId="38" fillId="0" borderId="0" xfId="0" applyFont="1" applyFill="1" applyBorder="1" applyAlignment="1" applyProtection="1">
      <alignment horizontal="right"/>
    </xf>
    <xf numFmtId="3" fontId="42" fillId="0" borderId="0" xfId="0" applyNumberFormat="1" applyFont="1" applyFill="1" applyBorder="1" applyAlignment="1" applyProtection="1">
      <alignment horizontal="right" vertical="center"/>
    </xf>
    <xf numFmtId="170" fontId="39" fillId="3" borderId="0" xfId="0" applyNumberFormat="1" applyFont="1" applyFill="1" applyBorder="1" applyAlignment="1" applyProtection="1">
      <alignment horizontal="right"/>
    </xf>
    <xf numFmtId="170" fontId="41" fillId="3" borderId="0" xfId="0" applyFont="1" applyFill="1" applyBorder="1" applyAlignment="1" applyProtection="1">
      <alignment horizontal="center" vertical="center"/>
    </xf>
    <xf numFmtId="170" fontId="46" fillId="0" borderId="0" xfId="0" applyFont="1" applyFill="1" applyBorder="1" applyAlignment="1" applyProtection="1">
      <alignment horizontal="center"/>
    </xf>
    <xf numFmtId="170" fontId="39" fillId="0" borderId="0" xfId="0" applyNumberFormat="1" applyFont="1" applyFill="1" applyBorder="1" applyAlignment="1" applyProtection="1">
      <alignment horizontal="right"/>
    </xf>
    <xf numFmtId="9" fontId="40" fillId="0" borderId="0" xfId="0" applyNumberFormat="1" applyFont="1" applyFill="1" applyBorder="1" applyProtection="1"/>
    <xf numFmtId="170" fontId="27" fillId="0" borderId="23" xfId="0" applyNumberFormat="1" applyFont="1" applyFill="1" applyBorder="1" applyAlignment="1" applyProtection="1">
      <alignment vertical="center"/>
    </xf>
    <xf numFmtId="170" fontId="35" fillId="0" borderId="0" xfId="0" applyFont="1" applyProtection="1"/>
    <xf numFmtId="170" fontId="48" fillId="0" borderId="0" xfId="0" applyFont="1" applyProtection="1"/>
    <xf numFmtId="170" fontId="43" fillId="0" borderId="0" xfId="0" applyFont="1" applyProtection="1"/>
    <xf numFmtId="170" fontId="55" fillId="0" borderId="0" xfId="0" applyFont="1" applyBorder="1" applyAlignment="1" applyProtection="1">
      <alignment wrapText="1"/>
    </xf>
    <xf numFmtId="170" fontId="51" fillId="0" borderId="0" xfId="0" applyFont="1" applyFill="1" applyBorder="1" applyAlignment="1" applyProtection="1"/>
    <xf numFmtId="164" fontId="8" fillId="0" borderId="0" xfId="0" applyNumberFormat="1" applyFont="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166" fontId="4" fillId="0" borderId="0" xfId="1" applyNumberFormat="1" applyFont="1" applyFill="1" applyBorder="1" applyAlignment="1" applyProtection="1">
      <protection locked="0"/>
    </xf>
    <xf numFmtId="166" fontId="4" fillId="0" borderId="0" xfId="1" applyNumberFormat="1" applyFont="1" applyFill="1" applyBorder="1" applyProtection="1">
      <protection locked="0"/>
    </xf>
    <xf numFmtId="170" fontId="0" fillId="0" borderId="0" xfId="0" applyBorder="1" applyAlignment="1">
      <alignment horizontal="center"/>
    </xf>
    <xf numFmtId="170" fontId="8" fillId="3" borderId="0" xfId="0" applyFont="1" applyFill="1"/>
    <xf numFmtId="165" fontId="8" fillId="3" borderId="0" xfId="0" applyNumberFormat="1" applyFont="1" applyFill="1"/>
    <xf numFmtId="166" fontId="8" fillId="3" borderId="0" xfId="0" applyNumberFormat="1" applyFont="1" applyFill="1"/>
    <xf numFmtId="3" fontId="8" fillId="3" borderId="0" xfId="0" applyNumberFormat="1" applyFont="1" applyFill="1" applyProtection="1"/>
    <xf numFmtId="165" fontId="8" fillId="3" borderId="0" xfId="0" applyNumberFormat="1" applyFont="1" applyFill="1" applyProtection="1"/>
    <xf numFmtId="170" fontId="27" fillId="0" borderId="0" xfId="0" applyFont="1" applyFill="1" applyAlignment="1" applyProtection="1">
      <alignment horizontal="left"/>
      <protection locked="0"/>
    </xf>
    <xf numFmtId="170" fontId="27" fillId="0" borderId="0" xfId="0" applyFont="1" applyFill="1" applyBorder="1" applyAlignment="1" applyProtection="1">
      <alignment horizontal="left"/>
      <protection locked="0"/>
    </xf>
    <xf numFmtId="170" fontId="21" fillId="0" borderId="0" xfId="0" applyFont="1" applyFill="1" applyBorder="1" applyAlignment="1">
      <alignment vertical="center" wrapText="1"/>
    </xf>
    <xf numFmtId="170" fontId="21" fillId="0" borderId="0" xfId="0" applyFont="1" applyFill="1" applyBorder="1" applyAlignment="1">
      <alignment horizontal="center"/>
    </xf>
    <xf numFmtId="170" fontId="0" fillId="3" borderId="0" xfId="0" applyFill="1" applyBorder="1" applyAlignment="1">
      <alignment horizontal="center"/>
    </xf>
    <xf numFmtId="170" fontId="21" fillId="0" borderId="24" xfId="0" applyFont="1" applyFill="1" applyBorder="1" applyAlignment="1" applyProtection="1">
      <alignment horizontal="center" wrapText="1"/>
    </xf>
    <xf numFmtId="170" fontId="0" fillId="0" borderId="25" xfId="0" applyBorder="1" applyProtection="1"/>
    <xf numFmtId="164" fontId="10" fillId="0" borderId="0" xfId="12" applyFont="1" applyFill="1" applyAlignment="1" applyProtection="1">
      <alignment horizontal="center" vertical="center"/>
    </xf>
    <xf numFmtId="164" fontId="9" fillId="0" borderId="0" xfId="12" applyFont="1" applyFill="1" applyAlignment="1" applyProtection="1">
      <alignment vertical="center"/>
    </xf>
    <xf numFmtId="170" fontId="62" fillId="0" borderId="0" xfId="0" applyFont="1"/>
    <xf numFmtId="164" fontId="7" fillId="0" borderId="0" xfId="0" applyNumberFormat="1" applyFont="1" applyAlignment="1" applyProtection="1">
      <alignment horizontal="center"/>
    </xf>
    <xf numFmtId="164" fontId="13" fillId="0" borderId="26" xfId="20" applyFont="1" applyBorder="1" applyAlignment="1" applyProtection="1">
      <alignment horizontal="right"/>
    </xf>
    <xf numFmtId="170" fontId="6" fillId="0" borderId="0" xfId="0" applyFont="1"/>
    <xf numFmtId="170" fontId="0" fillId="3" borderId="0" xfId="0" applyFill="1" applyProtection="1"/>
    <xf numFmtId="170" fontId="0" fillId="3" borderId="27" xfId="0" applyFill="1" applyBorder="1" applyProtection="1"/>
    <xf numFmtId="164" fontId="68" fillId="0" borderId="0" xfId="0" applyNumberFormat="1" applyFont="1"/>
    <xf numFmtId="170" fontId="68" fillId="0" borderId="0" xfId="0" applyFont="1"/>
    <xf numFmtId="164" fontId="0" fillId="0" borderId="0" xfId="0" quotePrefix="1" applyNumberFormat="1"/>
    <xf numFmtId="164" fontId="0" fillId="0" borderId="0" xfId="0" applyNumberFormat="1"/>
    <xf numFmtId="170" fontId="27" fillId="0" borderId="28" xfId="0" applyNumberFormat="1" applyFont="1" applyFill="1" applyBorder="1" applyAlignment="1" applyProtection="1">
      <alignment vertical="center"/>
    </xf>
    <xf numFmtId="164" fontId="111" fillId="0" borderId="0" xfId="17" applyFill="1" applyBorder="1" applyAlignment="1" applyProtection="1">
      <alignment horizontal="center"/>
    </xf>
    <xf numFmtId="170" fontId="27" fillId="0" borderId="0" xfId="0" quotePrefix="1" applyFont="1" applyProtection="1"/>
    <xf numFmtId="170" fontId="47" fillId="0" borderId="29" xfId="0" applyFont="1" applyBorder="1" applyAlignment="1">
      <alignment horizontal="justify" vertical="center" wrapText="1"/>
    </xf>
    <xf numFmtId="170" fontId="47" fillId="0" borderId="30" xfId="0" applyFont="1" applyBorder="1" applyAlignment="1">
      <alignment horizontal="justify" vertical="center" wrapText="1"/>
    </xf>
    <xf numFmtId="170" fontId="47" fillId="0" borderId="31" xfId="0" applyFont="1" applyBorder="1" applyAlignment="1">
      <alignment horizontal="justify" vertical="center" wrapText="1"/>
    </xf>
    <xf numFmtId="170" fontId="67" fillId="0" borderId="30" xfId="0" applyFont="1" applyBorder="1" applyAlignment="1">
      <alignment horizontal="justify" vertical="center" wrapText="1"/>
    </xf>
    <xf numFmtId="164" fontId="70" fillId="0" borderId="19" xfId="23" applyFont="1" applyFill="1" applyBorder="1" applyAlignment="1" applyProtection="1"/>
    <xf numFmtId="164" fontId="5" fillId="0" borderId="19" xfId="23" applyFont="1" applyFill="1" applyBorder="1" applyAlignment="1" applyProtection="1">
      <alignment vertical="center"/>
    </xf>
    <xf numFmtId="170" fontId="66" fillId="0" borderId="29" xfId="0" applyFont="1" applyBorder="1" applyAlignment="1">
      <alignment vertical="center" wrapText="1"/>
    </xf>
    <xf numFmtId="170" fontId="66" fillId="0" borderId="30" xfId="0" applyFont="1" applyBorder="1" applyAlignment="1">
      <alignment vertical="center" wrapText="1"/>
    </xf>
    <xf numFmtId="170" fontId="2" fillId="0" borderId="32" xfId="0" applyFont="1" applyFill="1" applyBorder="1" applyAlignment="1" applyProtection="1">
      <alignment horizontal="center"/>
    </xf>
    <xf numFmtId="170" fontId="1" fillId="0" borderId="0" xfId="0" applyFont="1"/>
    <xf numFmtId="170" fontId="73" fillId="0" borderId="0" xfId="0" applyFont="1"/>
    <xf numFmtId="170" fontId="47" fillId="0" borderId="29" xfId="0" applyFont="1" applyBorder="1" applyAlignment="1" applyProtection="1">
      <alignment horizontal="justify" vertical="center" wrapText="1"/>
      <protection locked="0"/>
    </xf>
    <xf numFmtId="170" fontId="67" fillId="0" borderId="30" xfId="0" applyFont="1" applyBorder="1" applyAlignment="1" applyProtection="1">
      <alignment horizontal="justify" vertical="center" wrapText="1"/>
      <protection locked="0"/>
    </xf>
    <xf numFmtId="170" fontId="67" fillId="0" borderId="31" xfId="0" applyFont="1" applyBorder="1" applyAlignment="1" applyProtection="1">
      <alignment horizontal="justify" vertical="center" wrapText="1"/>
      <protection locked="0"/>
    </xf>
    <xf numFmtId="164" fontId="75" fillId="0" borderId="19" xfId="23" applyFont="1" applyFill="1" applyBorder="1" applyAlignment="1" applyProtection="1">
      <alignment vertical="center"/>
    </xf>
    <xf numFmtId="170" fontId="74" fillId="0" borderId="0" xfId="0" applyFont="1" applyFill="1"/>
    <xf numFmtId="15" fontId="29" fillId="0" borderId="0" xfId="0" applyNumberFormat="1" applyFont="1" applyAlignment="1" applyProtection="1">
      <alignment horizontal="center"/>
    </xf>
    <xf numFmtId="1" fontId="14" fillId="6" borderId="2" xfId="0" applyNumberFormat="1" applyFont="1" applyFill="1" applyBorder="1" applyAlignment="1" applyProtection="1">
      <alignment horizontal="center"/>
      <protection locked="0"/>
    </xf>
    <xf numFmtId="1" fontId="14" fillId="6" borderId="33" xfId="0" applyNumberFormat="1" applyFont="1" applyFill="1" applyBorder="1" applyAlignment="1" applyProtection="1">
      <alignment horizontal="center"/>
      <protection locked="0"/>
    </xf>
    <xf numFmtId="166" fontId="0" fillId="0" borderId="0" xfId="0" applyNumberFormat="1" applyProtection="1"/>
    <xf numFmtId="170" fontId="47" fillId="0" borderId="29" xfId="0" applyFont="1" applyBorder="1" applyAlignment="1" applyProtection="1">
      <alignment horizontal="left" vertical="center" wrapText="1"/>
      <protection locked="0"/>
    </xf>
    <xf numFmtId="170" fontId="47" fillId="0" borderId="30" xfId="0" applyFont="1" applyBorder="1" applyAlignment="1" applyProtection="1">
      <alignment horizontal="left" vertical="center" wrapText="1"/>
      <protection locked="0"/>
    </xf>
    <xf numFmtId="170" fontId="47" fillId="0" borderId="31" xfId="0" applyFont="1" applyBorder="1" applyAlignment="1" applyProtection="1">
      <alignment horizontal="left" vertical="center" wrapText="1"/>
      <protection locked="0"/>
    </xf>
    <xf numFmtId="164" fontId="13" fillId="0" borderId="0" xfId="15" applyFont="1" applyFill="1" applyAlignment="1" applyProtection="1">
      <alignment horizontal="right" vertical="center"/>
    </xf>
    <xf numFmtId="170" fontId="80" fillId="0" borderId="0" xfId="0" applyFont="1" applyFill="1" applyBorder="1" applyAlignment="1" applyProtection="1">
      <alignment horizontal="right"/>
    </xf>
    <xf numFmtId="164" fontId="81" fillId="0" borderId="6" xfId="23" applyFont="1" applyFill="1" applyBorder="1" applyAlignment="1" applyProtection="1">
      <alignment horizontal="left" vertical="center"/>
    </xf>
    <xf numFmtId="170" fontId="82" fillId="0" borderId="0" xfId="0" applyFont="1" applyFill="1" applyBorder="1" applyProtection="1"/>
    <xf numFmtId="170" fontId="80" fillId="0" borderId="0" xfId="0" applyFont="1" applyBorder="1" applyProtection="1"/>
    <xf numFmtId="3" fontId="4" fillId="0" borderId="0" xfId="0" applyNumberFormat="1" applyFont="1" applyAlignment="1" applyProtection="1">
      <alignment horizontal="right"/>
    </xf>
    <xf numFmtId="15" fontId="79" fillId="0" borderId="0" xfId="0" applyNumberFormat="1" applyFont="1" applyFill="1" applyBorder="1" applyAlignment="1" applyProtection="1">
      <alignment horizontal="left"/>
    </xf>
    <xf numFmtId="170" fontId="85" fillId="0" borderId="0" xfId="0" applyFont="1" applyFill="1" applyBorder="1" applyAlignment="1" applyProtection="1">
      <alignment horizontal="center" wrapText="1"/>
    </xf>
    <xf numFmtId="170" fontId="80" fillId="0" borderId="0" xfId="0" applyFont="1" applyFill="1" applyBorder="1" applyAlignment="1" applyProtection="1">
      <alignment horizontal="center"/>
    </xf>
    <xf numFmtId="170" fontId="0" fillId="0" borderId="0" xfId="0" quotePrefix="1" applyProtection="1"/>
    <xf numFmtId="15" fontId="25" fillId="0" borderId="34"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0" fontId="91" fillId="0" borderId="0" xfId="0" applyFont="1" applyBorder="1" applyAlignment="1" applyProtection="1">
      <alignment horizontal="right"/>
    </xf>
    <xf numFmtId="170" fontId="91" fillId="0" borderId="0" xfId="0" applyFont="1" applyAlignment="1" applyProtection="1">
      <alignment horizontal="right"/>
    </xf>
    <xf numFmtId="164" fontId="90" fillId="0" borderId="0" xfId="4" applyFont="1" applyFill="1" applyAlignment="1" applyProtection="1">
      <alignment vertical="center"/>
    </xf>
    <xf numFmtId="170" fontId="91" fillId="0" borderId="0" xfId="0" applyFont="1" applyProtection="1"/>
    <xf numFmtId="170" fontId="91" fillId="0" borderId="0" xfId="0" applyFont="1" applyBorder="1" applyProtection="1"/>
    <xf numFmtId="170" fontId="0" fillId="0" borderId="0" xfId="0" applyBorder="1" applyAlignment="1" applyProtection="1"/>
    <xf numFmtId="170" fontId="0" fillId="0" borderId="0" xfId="0" applyAlignment="1" applyProtection="1"/>
    <xf numFmtId="3" fontId="0" fillId="0" borderId="0" xfId="0" applyNumberFormat="1" applyFill="1" applyProtection="1"/>
    <xf numFmtId="170" fontId="0" fillId="0" borderId="0" xfId="0" applyFill="1" applyBorder="1" applyProtection="1">
      <protection locked="0"/>
    </xf>
    <xf numFmtId="170" fontId="77" fillId="0" borderId="0" xfId="0" applyFont="1" applyFill="1" applyBorder="1" applyAlignment="1" applyProtection="1">
      <alignment horizontal="center" vertical="center"/>
    </xf>
    <xf numFmtId="170" fontId="4" fillId="0" borderId="35" xfId="0" applyFont="1" applyBorder="1" applyAlignment="1" applyProtection="1"/>
    <xf numFmtId="170" fontId="4" fillId="0" borderId="36" xfId="0" applyFont="1" applyBorder="1" applyAlignment="1" applyProtection="1"/>
    <xf numFmtId="170" fontId="18" fillId="0" borderId="37" xfId="0" applyFont="1" applyBorder="1" applyAlignment="1" applyProtection="1">
      <alignment vertical="distributed"/>
    </xf>
    <xf numFmtId="15" fontId="20" fillId="0" borderId="38" xfId="0" applyNumberFormat="1" applyFont="1" applyFill="1" applyBorder="1" applyAlignment="1" applyProtection="1">
      <alignment horizontal="center" vertical="center" wrapText="1"/>
    </xf>
    <xf numFmtId="170" fontId="4" fillId="0" borderId="0" xfId="0" applyFont="1" applyFill="1" applyBorder="1" applyAlignment="1" applyProtection="1">
      <protection locked="0"/>
    </xf>
    <xf numFmtId="170" fontId="86" fillId="0" borderId="0" xfId="0" applyFont="1" applyFill="1" applyBorder="1" applyAlignment="1" applyProtection="1">
      <alignment horizontal="left"/>
      <protection locked="0"/>
    </xf>
    <xf numFmtId="170" fontId="19" fillId="0" borderId="39" xfId="0" applyFont="1" applyFill="1" applyBorder="1" applyAlignment="1" applyProtection="1"/>
    <xf numFmtId="15" fontId="19" fillId="0" borderId="2" xfId="0" applyNumberFormat="1" applyFont="1" applyFill="1" applyBorder="1" applyAlignment="1" applyProtection="1">
      <alignment horizontal="center"/>
    </xf>
    <xf numFmtId="15" fontId="19" fillId="0" borderId="40" xfId="0" applyNumberFormat="1" applyFont="1" applyFill="1" applyBorder="1" applyAlignment="1" applyProtection="1">
      <alignment horizontal="center"/>
    </xf>
    <xf numFmtId="15" fontId="87" fillId="0" borderId="25" xfId="0" applyNumberFormat="1" applyFont="1" applyFill="1" applyBorder="1" applyAlignment="1" applyProtection="1">
      <alignment horizontal="center" wrapText="1"/>
    </xf>
    <xf numFmtId="15" fontId="87" fillId="0" borderId="41" xfId="0" applyNumberFormat="1" applyFont="1" applyFill="1" applyBorder="1" applyAlignment="1" applyProtection="1">
      <alignment horizontal="center" wrapText="1"/>
    </xf>
    <xf numFmtId="170" fontId="0" fillId="0" borderId="0" xfId="0" applyFill="1" applyBorder="1" applyAlignment="1" applyProtection="1">
      <alignment horizontal="left" vertical="top"/>
      <protection locked="0"/>
    </xf>
    <xf numFmtId="170" fontId="79" fillId="0" borderId="0" xfId="0" applyFont="1" applyFill="1" applyBorder="1" applyAlignment="1" applyProtection="1">
      <alignment horizontal="center"/>
    </xf>
    <xf numFmtId="170" fontId="84"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0" fontId="0" fillId="0" borderId="42" xfId="0" applyBorder="1" applyAlignment="1" applyProtection="1">
      <alignment horizontal="center"/>
    </xf>
    <xf numFmtId="170" fontId="0" fillId="0" borderId="25" xfId="0" applyFill="1" applyBorder="1" applyAlignment="1" applyProtection="1">
      <alignment horizontal="center"/>
    </xf>
    <xf numFmtId="170" fontId="1" fillId="0" borderId="24" xfId="0" applyFont="1" applyFill="1" applyBorder="1" applyAlignment="1" applyProtection="1">
      <alignment horizontal="center" wrapText="1"/>
    </xf>
    <xf numFmtId="170" fontId="0" fillId="0" borderId="24" xfId="0" applyBorder="1" applyAlignment="1">
      <alignment horizontal="center" wrapText="1"/>
    </xf>
    <xf numFmtId="170" fontId="21" fillId="0" borderId="24" xfId="0" applyFont="1" applyBorder="1" applyAlignment="1">
      <alignment horizontal="center" wrapText="1"/>
    </xf>
    <xf numFmtId="170" fontId="1" fillId="0" borderId="41" xfId="0" applyFont="1" applyFill="1" applyBorder="1" applyAlignment="1" applyProtection="1">
      <alignment horizontal="center" wrapText="1"/>
    </xf>
    <xf numFmtId="3" fontId="49" fillId="7" borderId="20" xfId="0" applyNumberFormat="1" applyFont="1" applyFill="1" applyBorder="1" applyAlignment="1" applyProtection="1">
      <alignment vertical="center"/>
      <protection locked="0"/>
    </xf>
    <xf numFmtId="3" fontId="49" fillId="7" borderId="2" xfId="0" applyNumberFormat="1" applyFont="1" applyFill="1" applyBorder="1" applyAlignment="1" applyProtection="1">
      <alignment horizontal="right" vertical="center"/>
      <protection locked="0"/>
    </xf>
    <xf numFmtId="170" fontId="56" fillId="0" borderId="43" xfId="0" applyFont="1" applyFill="1" applyBorder="1" applyAlignment="1" applyProtection="1">
      <alignment horizontal="center" vertical="center"/>
    </xf>
    <xf numFmtId="170" fontId="17" fillId="0" borderId="0" xfId="0" applyFont="1" applyProtection="1"/>
    <xf numFmtId="164" fontId="87" fillId="0" borderId="0" xfId="0" applyNumberFormat="1" applyFont="1" applyBorder="1" applyAlignment="1" applyProtection="1">
      <alignment vertical="center" wrapText="1"/>
    </xf>
    <xf numFmtId="170" fontId="87" fillId="0" borderId="0" xfId="0" applyFont="1" applyFill="1" applyBorder="1" applyAlignment="1" applyProtection="1">
      <alignment wrapText="1"/>
    </xf>
    <xf numFmtId="164" fontId="13" fillId="0" borderId="26" xfId="20" applyFont="1" applyFill="1" applyBorder="1" applyAlignment="1" applyProtection="1">
      <alignment horizontal="right"/>
    </xf>
    <xf numFmtId="170" fontId="27" fillId="0" borderId="44" xfId="0" applyFont="1" applyFill="1" applyBorder="1" applyAlignment="1" applyProtection="1">
      <alignment horizontal="center" wrapText="1"/>
    </xf>
    <xf numFmtId="170" fontId="14" fillId="3" borderId="29" xfId="0" applyFont="1" applyFill="1" applyBorder="1" applyAlignment="1" applyProtection="1"/>
    <xf numFmtId="170" fontId="14" fillId="3" borderId="45" xfId="0" applyFont="1" applyFill="1" applyBorder="1" applyAlignment="1" applyProtection="1"/>
    <xf numFmtId="170" fontId="21" fillId="0" borderId="0" xfId="0" applyFont="1" applyFill="1" applyBorder="1" applyAlignment="1" applyProtection="1">
      <alignment wrapText="1"/>
    </xf>
    <xf numFmtId="9" fontId="89"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92" fillId="0" borderId="19" xfId="23" applyFont="1" applyFill="1" applyBorder="1" applyAlignment="1" applyProtection="1">
      <alignment vertical="center"/>
    </xf>
    <xf numFmtId="170" fontId="0" fillId="0" borderId="19" xfId="0" applyBorder="1" applyProtection="1"/>
    <xf numFmtId="170" fontId="0" fillId="0" borderId="19" xfId="0" applyBorder="1"/>
    <xf numFmtId="9" fontId="8" fillId="0" borderId="0" xfId="19" applyFont="1" applyProtection="1"/>
    <xf numFmtId="14" fontId="17" fillId="6" borderId="26" xfId="20" applyNumberFormat="1" applyFont="1" applyFill="1" applyBorder="1" applyAlignment="1" applyProtection="1">
      <alignment horizontal="center" vertical="center"/>
    </xf>
    <xf numFmtId="164" fontId="17" fillId="6" borderId="26" xfId="20" applyFont="1" applyFill="1" applyBorder="1" applyAlignment="1" applyProtection="1">
      <alignment horizontal="center" vertical="center"/>
    </xf>
    <xf numFmtId="170" fontId="17" fillId="6" borderId="26" xfId="20" applyNumberFormat="1" applyFont="1" applyFill="1" applyBorder="1" applyAlignment="1" applyProtection="1">
      <alignment horizontal="center"/>
    </xf>
    <xf numFmtId="3" fontId="17" fillId="6" borderId="26" xfId="20" applyNumberFormat="1" applyFont="1" applyFill="1" applyBorder="1" applyAlignment="1" applyProtection="1">
      <alignment horizontal="center"/>
    </xf>
    <xf numFmtId="164" fontId="17" fillId="6" borderId="26" xfId="20" applyFont="1" applyFill="1" applyBorder="1" applyAlignment="1" applyProtection="1">
      <alignment horizontal="center"/>
    </xf>
    <xf numFmtId="164" fontId="68" fillId="0" borderId="0" xfId="0" applyNumberFormat="1" applyFont="1" applyAlignment="1"/>
    <xf numFmtId="170" fontId="27" fillId="0" borderId="24" xfId="0" applyFont="1" applyFill="1" applyBorder="1" applyAlignment="1" applyProtection="1">
      <alignment horizontal="center" wrapText="1"/>
    </xf>
    <xf numFmtId="170" fontId="23" fillId="5" borderId="0" xfId="0" applyFont="1" applyFill="1" applyBorder="1" applyAlignment="1" applyProtection="1">
      <alignment horizontal="left"/>
      <protection locked="0"/>
    </xf>
    <xf numFmtId="49" fontId="0" fillId="0" borderId="0" xfId="0" applyNumberFormat="1" applyProtection="1"/>
    <xf numFmtId="3" fontId="0" fillId="6"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6" borderId="2" xfId="0" applyNumberFormat="1" applyFill="1" applyBorder="1" applyProtection="1">
      <protection locked="0"/>
    </xf>
    <xf numFmtId="3" fontId="0" fillId="0" borderId="2" xfId="0" applyNumberFormat="1" applyFill="1" applyBorder="1" applyProtection="1"/>
    <xf numFmtId="3" fontId="0" fillId="6" borderId="46" xfId="0" applyNumberFormat="1" applyFill="1" applyBorder="1" applyProtection="1">
      <protection locked="0"/>
    </xf>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70" fontId="0" fillId="0" borderId="0" xfId="0" applyNumberFormat="1" applyFill="1" applyBorder="1" applyProtection="1">
      <protection locked="0"/>
    </xf>
    <xf numFmtId="165" fontId="25" fillId="2" borderId="47" xfId="0" applyNumberFormat="1" applyFont="1" applyFill="1" applyBorder="1" applyAlignment="1" applyProtection="1">
      <alignment horizontal="center"/>
      <protection locked="0"/>
    </xf>
    <xf numFmtId="165" fontId="25" fillId="2" borderId="48" xfId="0" applyNumberFormat="1" applyFont="1" applyFill="1" applyBorder="1" applyAlignment="1" applyProtection="1">
      <alignment horizontal="center"/>
      <protection locked="0"/>
    </xf>
    <xf numFmtId="165" fontId="25" fillId="2" borderId="49" xfId="0" applyNumberFormat="1" applyFont="1" applyFill="1" applyBorder="1" applyAlignment="1" applyProtection="1">
      <alignment horizontal="center"/>
      <protection locked="0"/>
    </xf>
    <xf numFmtId="165" fontId="25" fillId="2" borderId="50" xfId="0" applyNumberFormat="1" applyFont="1" applyFill="1" applyBorder="1" applyAlignment="1" applyProtection="1">
      <alignment horizontal="center"/>
      <protection locked="0"/>
    </xf>
    <xf numFmtId="165" fontId="25" fillId="2" borderId="51" xfId="0" applyNumberFormat="1" applyFont="1" applyFill="1" applyBorder="1" applyAlignment="1" applyProtection="1">
      <alignment horizontal="center"/>
      <protection locked="0"/>
    </xf>
    <xf numFmtId="170" fontId="0" fillId="0" borderId="52" xfId="0" applyFill="1" applyBorder="1" applyAlignment="1" applyProtection="1">
      <alignment horizontal="center"/>
    </xf>
    <xf numFmtId="164" fontId="1" fillId="0" borderId="26" xfId="20" applyFont="1" applyBorder="1" applyAlignment="1" applyProtection="1">
      <alignment horizontal="right"/>
    </xf>
    <xf numFmtId="164" fontId="100" fillId="0" borderId="0" xfId="16" applyFont="1" applyFill="1" applyBorder="1" applyProtection="1"/>
    <xf numFmtId="3" fontId="21" fillId="9" borderId="47" xfId="0" applyNumberFormat="1" applyFont="1" applyFill="1" applyBorder="1" applyAlignment="1" applyProtection="1">
      <protection locked="0"/>
    </xf>
    <xf numFmtId="3" fontId="21" fillId="9" borderId="53"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4" xfId="0" applyNumberFormat="1" applyFont="1" applyFill="1" applyBorder="1" applyAlignment="1" applyProtection="1"/>
    <xf numFmtId="165" fontId="7" fillId="2" borderId="57" xfId="0" applyNumberFormat="1" applyFont="1" applyFill="1" applyBorder="1" applyAlignment="1" applyProtection="1">
      <alignment horizontal="center"/>
      <protection locked="0"/>
    </xf>
    <xf numFmtId="165" fontId="7" fillId="2" borderId="58" xfId="0" applyNumberFormat="1" applyFont="1" applyFill="1" applyBorder="1" applyAlignment="1" applyProtection="1">
      <alignment horizontal="center"/>
      <protection locked="0"/>
    </xf>
    <xf numFmtId="170" fontId="0" fillId="9" borderId="2" xfId="0" applyFill="1" applyBorder="1" applyProtection="1"/>
    <xf numFmtId="170" fontId="0" fillId="6" borderId="2" xfId="0" applyFill="1" applyBorder="1" applyProtection="1"/>
    <xf numFmtId="49" fontId="18" fillId="0" borderId="59" xfId="0" applyNumberFormat="1" applyFont="1" applyFill="1" applyBorder="1" applyAlignment="1" applyProtection="1">
      <alignment vertical="center" wrapText="1"/>
    </xf>
    <xf numFmtId="170" fontId="69" fillId="0" borderId="60" xfId="0" applyNumberFormat="1" applyFont="1" applyFill="1" applyBorder="1" applyAlignment="1" applyProtection="1">
      <alignment horizontal="center" vertical="center" wrapText="1"/>
    </xf>
    <xf numFmtId="170" fontId="69" fillId="0" borderId="61" xfId="0" applyNumberFormat="1" applyFont="1" applyFill="1" applyBorder="1" applyAlignment="1" applyProtection="1">
      <alignment horizontal="center" vertical="center" wrapText="1"/>
    </xf>
    <xf numFmtId="49" fontId="19" fillId="0" borderId="62" xfId="0" applyNumberFormat="1" applyFont="1" applyFill="1" applyBorder="1" applyAlignment="1" applyProtection="1">
      <protection locked="0"/>
    </xf>
    <xf numFmtId="170" fontId="19" fillId="0" borderId="62" xfId="0" applyFont="1" applyFill="1" applyBorder="1" applyAlignment="1" applyProtection="1">
      <alignment wrapText="1"/>
      <protection locked="0"/>
    </xf>
    <xf numFmtId="170" fontId="0" fillId="0" borderId="63" xfId="0" applyBorder="1" applyAlignment="1" applyProtection="1"/>
    <xf numFmtId="49" fontId="0" fillId="0" borderId="2" xfId="0" applyNumberFormat="1" applyBorder="1" applyAlignment="1" applyProtection="1">
      <alignment horizontal="center"/>
      <protection locked="0"/>
    </xf>
    <xf numFmtId="49" fontId="0" fillId="6" borderId="2" xfId="0" applyNumberFormat="1" applyFill="1" applyBorder="1" applyProtection="1">
      <protection locked="0"/>
    </xf>
    <xf numFmtId="170" fontId="0" fillId="6" borderId="2" xfId="0" applyNumberFormat="1" applyFill="1" applyBorder="1" applyProtection="1">
      <protection locked="0"/>
    </xf>
    <xf numFmtId="170" fontId="0" fillId="0" borderId="2" xfId="0" applyNumberFormat="1" applyFill="1" applyBorder="1" applyProtection="1"/>
    <xf numFmtId="170" fontId="0" fillId="6" borderId="2" xfId="0" applyNumberFormat="1" applyFill="1" applyBorder="1" applyAlignment="1" applyProtection="1">
      <alignment horizontal="center"/>
      <protection locked="0"/>
    </xf>
    <xf numFmtId="49" fontId="0" fillId="6" borderId="46" xfId="0" applyNumberFormat="1" applyFill="1" applyBorder="1" applyAlignment="1" applyProtection="1">
      <alignment horizontal="left"/>
      <protection locked="0"/>
    </xf>
    <xf numFmtId="170" fontId="0" fillId="6" borderId="46" xfId="0" applyNumberFormat="1" applyFill="1" applyBorder="1" applyProtection="1">
      <protection locked="0"/>
    </xf>
    <xf numFmtId="170" fontId="0" fillId="6" borderId="46" xfId="0" applyNumberFormat="1" applyFill="1" applyBorder="1" applyAlignment="1" applyProtection="1">
      <alignment horizontal="center"/>
      <protection locked="0"/>
    </xf>
    <xf numFmtId="164" fontId="111" fillId="9" borderId="64" xfId="23" applyFill="1" applyBorder="1" applyAlignment="1" applyProtection="1">
      <alignment vertical="center"/>
    </xf>
    <xf numFmtId="170" fontId="0" fillId="5" borderId="65" xfId="0" applyFill="1" applyBorder="1"/>
    <xf numFmtId="170" fontId="0" fillId="0" borderId="12" xfId="0" applyBorder="1" applyProtection="1"/>
    <xf numFmtId="164" fontId="32" fillId="6" borderId="66" xfId="23" applyFont="1" applyFill="1" applyBorder="1" applyAlignment="1" applyProtection="1">
      <alignment horizontal="center" vertical="center"/>
    </xf>
    <xf numFmtId="164" fontId="32" fillId="0" borderId="67" xfId="23" applyFont="1" applyFill="1" applyBorder="1" applyAlignment="1" applyProtection="1">
      <alignment vertical="center"/>
    </xf>
    <xf numFmtId="170" fontId="0" fillId="0" borderId="68" xfId="0" applyNumberFormat="1" applyFill="1" applyBorder="1"/>
    <xf numFmtId="15" fontId="20" fillId="0" borderId="69"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3" fontId="0" fillId="0" borderId="0" xfId="0" applyNumberFormat="1" applyFill="1" applyBorder="1" applyProtection="1">
      <protection locked="0"/>
    </xf>
    <xf numFmtId="168" fontId="0" fillId="0" borderId="2" xfId="0" applyNumberFormat="1" applyFill="1" applyBorder="1" applyAlignment="1" applyProtection="1">
      <alignment horizontal="center"/>
    </xf>
    <xf numFmtId="168" fontId="8" fillId="10" borderId="70" xfId="0" applyNumberFormat="1" applyFont="1" applyFill="1" applyBorder="1" applyAlignment="1" applyProtection="1">
      <alignment horizontal="center"/>
    </xf>
    <xf numFmtId="168" fontId="14" fillId="10" borderId="70" xfId="0" applyNumberFormat="1" applyFont="1" applyFill="1" applyBorder="1" applyAlignment="1" applyProtection="1">
      <alignment horizontal="center"/>
    </xf>
    <xf numFmtId="164" fontId="51" fillId="0" borderId="2" xfId="16" applyFont="1" applyBorder="1" applyAlignment="1" applyProtection="1">
      <alignment horizontal="center"/>
    </xf>
    <xf numFmtId="170" fontId="51" fillId="0" borderId="2" xfId="0" applyFont="1" applyBorder="1" applyAlignment="1" applyProtection="1">
      <alignment horizontal="center"/>
    </xf>
    <xf numFmtId="170" fontId="59" fillId="0" borderId="73" xfId="0" applyNumberFormat="1" applyFont="1" applyFill="1" applyBorder="1" applyAlignment="1" applyProtection="1">
      <alignment horizontal="center" vertical="center"/>
    </xf>
    <xf numFmtId="170" fontId="56" fillId="0" borderId="74" xfId="0" applyFont="1" applyFill="1" applyBorder="1" applyAlignment="1" applyProtection="1">
      <alignment horizontal="center" vertical="center"/>
    </xf>
    <xf numFmtId="170" fontId="56" fillId="0" borderId="75" xfId="0" applyFont="1" applyFill="1" applyBorder="1" applyAlignment="1" applyProtection="1">
      <alignment horizontal="center" vertical="center"/>
    </xf>
    <xf numFmtId="170" fontId="56" fillId="0" borderId="76" xfId="0" applyFont="1" applyFill="1" applyBorder="1" applyAlignment="1" applyProtection="1">
      <alignment horizontal="center" vertical="center"/>
    </xf>
    <xf numFmtId="170" fontId="56" fillId="0" borderId="77" xfId="0" applyFont="1" applyFill="1" applyBorder="1" applyAlignment="1" applyProtection="1">
      <alignment horizontal="center" vertical="center"/>
    </xf>
    <xf numFmtId="170" fontId="2" fillId="0" borderId="78" xfId="0" applyFont="1" applyFill="1" applyBorder="1" applyAlignment="1" applyProtection="1">
      <alignment horizontal="center"/>
    </xf>
    <xf numFmtId="165" fontId="7" fillId="2" borderId="75" xfId="0" applyNumberFormat="1" applyFont="1" applyFill="1" applyBorder="1" applyAlignment="1" applyProtection="1">
      <alignment horizontal="center"/>
      <protection locked="0"/>
    </xf>
    <xf numFmtId="165" fontId="7" fillId="2" borderId="79" xfId="0" applyNumberFormat="1" applyFont="1" applyFill="1" applyBorder="1" applyAlignment="1" applyProtection="1">
      <alignment horizontal="center"/>
      <protection locked="0"/>
    </xf>
    <xf numFmtId="168" fontId="0" fillId="3" borderId="2" xfId="0" applyNumberFormat="1" applyFill="1" applyBorder="1" applyAlignment="1" applyProtection="1">
      <alignment horizontal="center"/>
    </xf>
    <xf numFmtId="168" fontId="0" fillId="0" borderId="2" xfId="0" applyNumberFormat="1" applyBorder="1" applyAlignment="1" applyProtection="1">
      <alignment horizontal="center"/>
    </xf>
    <xf numFmtId="168" fontId="0" fillId="3" borderId="46" xfId="0" applyNumberFormat="1" applyFill="1" applyBorder="1" applyAlignment="1" applyProtection="1">
      <alignment horizontal="center"/>
    </xf>
    <xf numFmtId="168" fontId="0" fillId="0" borderId="46" xfId="0" applyNumberFormat="1" applyBorder="1" applyAlignment="1" applyProtection="1">
      <alignment horizontal="center"/>
    </xf>
    <xf numFmtId="170" fontId="49" fillId="11" borderId="2" xfId="0" applyFont="1" applyFill="1" applyBorder="1" applyAlignment="1" applyProtection="1">
      <alignment horizontal="center"/>
    </xf>
    <xf numFmtId="170" fontId="49" fillId="12" borderId="2" xfId="0" applyFont="1" applyFill="1" applyBorder="1" applyAlignment="1" applyProtection="1">
      <alignment horizontal="center"/>
    </xf>
    <xf numFmtId="3" fontId="49" fillId="13" borderId="2" xfId="0" applyNumberFormat="1" applyFont="1" applyFill="1" applyBorder="1" applyAlignment="1" applyProtection="1">
      <alignment vertical="center"/>
      <protection locked="0"/>
    </xf>
    <xf numFmtId="3" fontId="49" fillId="13" borderId="20" xfId="0" applyNumberFormat="1" applyFont="1" applyFill="1" applyBorder="1" applyAlignment="1" applyProtection="1">
      <alignment vertical="center"/>
      <protection locked="0"/>
    </xf>
    <xf numFmtId="3" fontId="49" fillId="7" borderId="20" xfId="0" applyNumberFormat="1" applyFont="1" applyFill="1" applyBorder="1" applyAlignment="1" applyProtection="1">
      <alignment horizontal="right" vertical="center"/>
      <protection locked="0"/>
    </xf>
    <xf numFmtId="170" fontId="49" fillId="11" borderId="80" xfId="0" applyFont="1" applyFill="1" applyBorder="1" applyAlignment="1" applyProtection="1">
      <alignment horizontal="center"/>
    </xf>
    <xf numFmtId="3" fontId="49" fillId="7" borderId="80" xfId="0" applyNumberFormat="1" applyFont="1" applyFill="1" applyBorder="1" applyAlignment="1" applyProtection="1">
      <alignment horizontal="right" vertical="center"/>
      <protection locked="0"/>
    </xf>
    <xf numFmtId="3" fontId="49" fillId="7" borderId="81" xfId="0" applyNumberFormat="1" applyFont="1" applyFill="1" applyBorder="1" applyAlignment="1" applyProtection="1">
      <alignment horizontal="right" vertical="center"/>
      <protection locked="0"/>
    </xf>
    <xf numFmtId="170" fontId="0" fillId="0" borderId="82" xfId="0" applyBorder="1"/>
    <xf numFmtId="170" fontId="0" fillId="0" borderId="46" xfId="0" applyNumberFormat="1" applyFill="1" applyBorder="1" applyProtection="1"/>
    <xf numFmtId="3" fontId="0" fillId="0" borderId="46" xfId="0" applyNumberFormat="1" applyFill="1" applyBorder="1" applyProtection="1"/>
    <xf numFmtId="168" fontId="0" fillId="0" borderId="46" xfId="0" applyNumberFormat="1" applyFill="1" applyBorder="1" applyAlignment="1" applyProtection="1">
      <alignment horizontal="center"/>
    </xf>
    <xf numFmtId="170" fontId="0" fillId="0" borderId="83" xfId="0" applyBorder="1" applyAlignment="1" applyProtection="1">
      <alignment horizontal="center" wrapText="1"/>
    </xf>
    <xf numFmtId="3" fontId="0" fillId="0" borderId="46" xfId="0" applyNumberFormat="1" applyBorder="1" applyAlignment="1" applyProtection="1">
      <alignment horizontal="right" wrapText="1"/>
    </xf>
    <xf numFmtId="3" fontId="0" fillId="6" borderId="84" xfId="0" applyNumberFormat="1" applyFill="1" applyBorder="1" applyAlignment="1" applyProtection="1">
      <alignment horizontal="right" wrapText="1"/>
      <protection locked="0"/>
    </xf>
    <xf numFmtId="168" fontId="0" fillId="0" borderId="84" xfId="0" applyNumberFormat="1" applyFill="1" applyBorder="1" applyProtection="1"/>
    <xf numFmtId="168" fontId="0" fillId="0" borderId="85" xfId="0" applyNumberFormat="1" applyFill="1" applyBorder="1" applyProtection="1"/>
    <xf numFmtId="3" fontId="49" fillId="0" borderId="20" xfId="0" applyNumberFormat="1" applyFont="1" applyFill="1" applyBorder="1" applyAlignment="1" applyProtection="1">
      <alignment vertical="center"/>
    </xf>
    <xf numFmtId="3" fontId="49" fillId="11" borderId="20" xfId="0" applyNumberFormat="1" applyFont="1" applyFill="1" applyBorder="1" applyAlignment="1" applyProtection="1">
      <alignment vertical="center"/>
    </xf>
    <xf numFmtId="3" fontId="49" fillId="0" borderId="81" xfId="0" applyNumberFormat="1" applyFont="1" applyFill="1" applyBorder="1" applyAlignment="1" applyProtection="1">
      <alignment vertical="center"/>
    </xf>
    <xf numFmtId="170" fontId="27" fillId="5" borderId="0" xfId="0" applyFont="1" applyFill="1" applyBorder="1" applyAlignment="1" applyProtection="1">
      <alignment horizontal="left" vertical="top" wrapText="1"/>
      <protection locked="0"/>
    </xf>
    <xf numFmtId="3" fontId="107" fillId="7" borderId="2" xfId="0" applyNumberFormat="1" applyFont="1" applyFill="1" applyBorder="1" applyAlignment="1" applyProtection="1">
      <alignment vertical="center"/>
      <protection locked="0"/>
    </xf>
    <xf numFmtId="3" fontId="107" fillId="7" borderId="2" xfId="0" applyNumberFormat="1" applyFont="1" applyFill="1" applyBorder="1" applyAlignment="1" applyProtection="1">
      <alignment horizontal="right" vertical="center"/>
      <protection locked="0"/>
    </xf>
    <xf numFmtId="3" fontId="49" fillId="13" borderId="2" xfId="0" applyNumberFormat="1" applyFont="1" applyFill="1" applyBorder="1" applyAlignment="1" applyProtection="1">
      <alignment horizontal="right" vertical="center"/>
      <protection locked="0"/>
    </xf>
    <xf numFmtId="49" fontId="19" fillId="0" borderId="62" xfId="0" applyNumberFormat="1" applyFont="1" applyFill="1" applyBorder="1" applyAlignment="1" applyProtection="1">
      <alignment horizontal="justify" wrapText="1"/>
      <protection locked="0"/>
    </xf>
    <xf numFmtId="49" fontId="19" fillId="0" borderId="62" xfId="0" applyNumberFormat="1" applyFont="1" applyFill="1" applyBorder="1" applyAlignment="1" applyProtection="1">
      <alignment horizontal="justify"/>
      <protection locked="0"/>
    </xf>
    <xf numFmtId="170" fontId="107" fillId="0" borderId="2" xfId="0" applyFont="1" applyFill="1" applyBorder="1" applyAlignment="1" applyProtection="1">
      <alignment horizontal="center"/>
    </xf>
    <xf numFmtId="170" fontId="107" fillId="11" borderId="2" xfId="0" applyFont="1" applyFill="1" applyBorder="1" applyAlignment="1" applyProtection="1">
      <alignment horizontal="center"/>
    </xf>
    <xf numFmtId="170" fontId="0" fillId="0" borderId="13" xfId="0" applyBorder="1" applyAlignment="1" applyProtection="1">
      <alignment horizontal="center"/>
    </xf>
    <xf numFmtId="164" fontId="108" fillId="0" borderId="12" xfId="23" applyFont="1" applyFill="1" applyBorder="1" applyAlignment="1" applyProtection="1">
      <alignment vertical="center"/>
    </xf>
    <xf numFmtId="170" fontId="0" fillId="0" borderId="0" xfId="0" applyAlignment="1"/>
    <xf numFmtId="164" fontId="26" fillId="0" borderId="0" xfId="0" applyNumberFormat="1" applyFont="1" applyAlignment="1" applyProtection="1">
      <alignment horizontal="center"/>
    </xf>
    <xf numFmtId="170" fontId="56" fillId="0" borderId="86" xfId="0" applyFont="1" applyFill="1" applyBorder="1" applyAlignment="1" applyProtection="1">
      <alignment horizontal="center" vertical="center" wrapText="1"/>
    </xf>
    <xf numFmtId="170" fontId="107" fillId="0" borderId="80" xfId="0" applyFont="1" applyFill="1" applyBorder="1" applyAlignment="1" applyProtection="1">
      <alignment horizontal="center"/>
    </xf>
    <xf numFmtId="49" fontId="62" fillId="0" borderId="2" xfId="0" applyNumberFormat="1" applyFont="1" applyBorder="1" applyAlignment="1" applyProtection="1">
      <alignment horizontal="center" wrapText="1"/>
      <protection locked="0"/>
    </xf>
    <xf numFmtId="170" fontId="109" fillId="0" borderId="87" xfId="0" applyFont="1" applyFill="1" applyBorder="1" applyAlignment="1" applyProtection="1">
      <alignment wrapText="1"/>
    </xf>
    <xf numFmtId="170" fontId="27" fillId="0" borderId="25" xfId="0" applyFont="1" applyFill="1" applyBorder="1" applyAlignment="1" applyProtection="1">
      <alignment horizontal="center" wrapText="1"/>
    </xf>
    <xf numFmtId="170" fontId="0" fillId="0" borderId="0" xfId="0" applyFill="1" applyProtection="1"/>
    <xf numFmtId="170" fontId="91" fillId="0" borderId="0" xfId="0" applyFont="1" applyFill="1" applyAlignment="1" applyProtection="1">
      <alignment horizontal="right"/>
    </xf>
    <xf numFmtId="170" fontId="107" fillId="5" borderId="89" xfId="0" applyNumberFormat="1" applyFont="1" applyFill="1" applyBorder="1" applyAlignment="1" applyProtection="1">
      <alignment vertical="center" wrapText="1"/>
      <protection locked="0"/>
    </xf>
    <xf numFmtId="170" fontId="107" fillId="7" borderId="89" xfId="0" applyNumberFormat="1" applyFont="1" applyFill="1" applyBorder="1" applyAlignment="1" applyProtection="1">
      <alignment vertical="center" wrapText="1"/>
      <protection locked="0"/>
    </xf>
    <xf numFmtId="170" fontId="107" fillId="7" borderId="90" xfId="0" applyNumberFormat="1" applyFont="1" applyFill="1" applyBorder="1" applyAlignment="1" applyProtection="1">
      <alignment vertical="center" wrapText="1"/>
      <protection locked="0"/>
    </xf>
    <xf numFmtId="170" fontId="112" fillId="0" borderId="0" xfId="0" applyFont="1" applyAlignment="1" applyProtection="1">
      <alignment horizontal="left" vertical="center"/>
    </xf>
    <xf numFmtId="170" fontId="112" fillId="0" borderId="0" xfId="0" applyFont="1" applyAlignment="1">
      <alignment horizontal="left" vertical="center"/>
    </xf>
    <xf numFmtId="170" fontId="0" fillId="0" borderId="0" xfId="0" applyAlignment="1">
      <alignment horizontal="center"/>
    </xf>
    <xf numFmtId="170" fontId="0" fillId="0" borderId="0" xfId="0" applyAlignment="1" applyProtection="1">
      <alignment horizontal="center"/>
    </xf>
    <xf numFmtId="170" fontId="0" fillId="3" borderId="0" xfId="0" applyFill="1" applyAlignment="1" applyProtection="1">
      <alignment horizontal="center"/>
    </xf>
    <xf numFmtId="3" fontId="30" fillId="0" borderId="39" xfId="0" applyNumberFormat="1" applyFont="1" applyFill="1" applyBorder="1" applyAlignment="1" applyProtection="1">
      <alignment horizontal="center"/>
    </xf>
    <xf numFmtId="3" fontId="30" fillId="0" borderId="83" xfId="0" applyNumberFormat="1" applyFont="1" applyFill="1" applyBorder="1" applyAlignment="1" applyProtection="1">
      <alignment horizontal="center"/>
    </xf>
    <xf numFmtId="171" fontId="17" fillId="6" borderId="26" xfId="20" applyNumberFormat="1" applyFont="1" applyFill="1" applyBorder="1" applyAlignment="1" applyProtection="1">
      <alignment horizontal="center" vertical="center"/>
    </xf>
    <xf numFmtId="171" fontId="17" fillId="6" borderId="26" xfId="20" applyNumberFormat="1" applyFont="1" applyFill="1" applyBorder="1" applyAlignment="1" applyProtection="1">
      <alignment horizontal="center"/>
    </xf>
    <xf numFmtId="170" fontId="56" fillId="0" borderId="91" xfId="0" applyFont="1" applyFill="1" applyBorder="1" applyAlignment="1" applyProtection="1">
      <alignment horizontal="center" vertical="center" wrapText="1"/>
    </xf>
    <xf numFmtId="170" fontId="39" fillId="0" borderId="92" xfId="0" applyNumberFormat="1" applyFont="1" applyFill="1" applyBorder="1" applyAlignment="1" applyProtection="1">
      <alignment horizontal="right"/>
    </xf>
    <xf numFmtId="170" fontId="56" fillId="0" borderId="93" xfId="0" applyFont="1" applyFill="1" applyBorder="1" applyAlignment="1" applyProtection="1">
      <alignment horizontal="center"/>
    </xf>
    <xf numFmtId="170" fontId="39" fillId="0" borderId="94" xfId="0" applyNumberFormat="1" applyFont="1" applyFill="1" applyBorder="1" applyAlignment="1" applyProtection="1">
      <alignment horizontal="right"/>
    </xf>
    <xf numFmtId="170" fontId="56" fillId="0" borderId="95" xfId="0" applyFont="1" applyFill="1" applyBorder="1" applyAlignment="1" applyProtection="1">
      <alignment horizontal="center"/>
    </xf>
    <xf numFmtId="170" fontId="39" fillId="0" borderId="96" xfId="0" applyNumberFormat="1" applyFont="1" applyFill="1" applyBorder="1" applyAlignment="1" applyProtection="1">
      <alignment horizontal="right"/>
    </xf>
    <xf numFmtId="170" fontId="56" fillId="0" borderId="97" xfId="0" applyNumberFormat="1" applyFont="1" applyFill="1" applyBorder="1" applyAlignment="1" applyProtection="1">
      <alignment horizontal="center"/>
    </xf>
    <xf numFmtId="170" fontId="39" fillId="0" borderId="98" xfId="0" applyNumberFormat="1" applyFont="1" applyFill="1" applyBorder="1" applyAlignment="1" applyProtection="1">
      <alignment horizontal="right"/>
    </xf>
    <xf numFmtId="170" fontId="56" fillId="0" borderId="99" xfId="0" applyNumberFormat="1" applyFont="1" applyFill="1" applyBorder="1" applyAlignment="1" applyProtection="1">
      <alignment horizontal="center" vertical="center"/>
    </xf>
    <xf numFmtId="170" fontId="39" fillId="0" borderId="100" xfId="0" applyNumberFormat="1" applyFont="1" applyFill="1" applyBorder="1" applyAlignment="1" applyProtection="1">
      <alignment horizontal="right"/>
    </xf>
    <xf numFmtId="170" fontId="56" fillId="0" borderId="101" xfId="0" applyNumberFormat="1" applyFont="1" applyFill="1" applyBorder="1" applyAlignment="1" applyProtection="1">
      <alignment horizontal="center"/>
    </xf>
    <xf numFmtId="170" fontId="39" fillId="0" borderId="102" xfId="0" applyNumberFormat="1" applyFont="1" applyFill="1" applyBorder="1" applyAlignment="1" applyProtection="1">
      <alignment horizontal="right"/>
    </xf>
    <xf numFmtId="170" fontId="56" fillId="0" borderId="101" xfId="0" applyNumberFormat="1" applyFont="1" applyFill="1" applyBorder="1" applyAlignment="1" applyProtection="1">
      <alignment horizontal="center" vertical="center"/>
    </xf>
    <xf numFmtId="3" fontId="21" fillId="22" borderId="2" xfId="0" applyNumberFormat="1" applyFont="1" applyFill="1" applyBorder="1" applyAlignment="1" applyProtection="1">
      <alignment horizontal="center" vertical="center" wrapText="1"/>
    </xf>
    <xf numFmtId="3" fontId="86" fillId="9" borderId="47" xfId="0" applyNumberFormat="1" applyFont="1" applyFill="1" applyBorder="1" applyAlignment="1" applyProtection="1">
      <protection locked="0"/>
    </xf>
    <xf numFmtId="3" fontId="86" fillId="9" borderId="53" xfId="0" applyNumberFormat="1" applyFont="1" applyFill="1" applyBorder="1" applyAlignment="1" applyProtection="1">
      <protection locked="0"/>
    </xf>
    <xf numFmtId="3" fontId="86" fillId="0" borderId="2" xfId="0" applyNumberFormat="1" applyFont="1" applyFill="1" applyBorder="1" applyAlignment="1" applyProtection="1"/>
    <xf numFmtId="3" fontId="86" fillId="0" borderId="54" xfId="0" applyNumberFormat="1" applyFont="1" applyFill="1" applyBorder="1" applyAlignment="1" applyProtection="1"/>
    <xf numFmtId="3" fontId="14" fillId="9" borderId="103" xfId="1" applyNumberFormat="1" applyFont="1" applyFill="1" applyBorder="1" applyAlignment="1" applyProtection="1">
      <protection locked="0"/>
    </xf>
    <xf numFmtId="3" fontId="14" fillId="9" borderId="104" xfId="1" applyNumberFormat="1" applyFont="1" applyFill="1" applyBorder="1" applyProtection="1">
      <protection locked="0"/>
    </xf>
    <xf numFmtId="3" fontId="14" fillId="9" borderId="103" xfId="1" applyNumberFormat="1" applyFont="1" applyFill="1" applyBorder="1" applyProtection="1">
      <protection locked="0"/>
    </xf>
    <xf numFmtId="3" fontId="113" fillId="0" borderId="105" xfId="0" applyNumberFormat="1" applyFont="1" applyBorder="1" applyProtection="1"/>
    <xf numFmtId="3" fontId="113" fillId="0" borderId="106"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7" xfId="1" applyNumberFormat="1" applyFont="1" applyFill="1" applyBorder="1" applyAlignment="1" applyProtection="1">
      <protection locked="0"/>
    </xf>
    <xf numFmtId="3" fontId="113" fillId="6" borderId="2" xfId="0" applyNumberFormat="1" applyFont="1" applyFill="1" applyBorder="1" applyAlignment="1" applyProtection="1">
      <alignment horizontal="right" wrapText="1"/>
      <protection locked="0"/>
    </xf>
    <xf numFmtId="3" fontId="113" fillId="0" borderId="2" xfId="0" applyNumberFormat="1" applyFont="1" applyBorder="1" applyAlignment="1" applyProtection="1">
      <alignment horizontal="right" wrapText="1"/>
    </xf>
    <xf numFmtId="3" fontId="113" fillId="0" borderId="46" xfId="0" applyNumberFormat="1" applyFont="1" applyBorder="1" applyAlignment="1" applyProtection="1">
      <alignment horizontal="right" wrapText="1"/>
    </xf>
    <xf numFmtId="3" fontId="114" fillId="9" borderId="84" xfId="0" applyNumberFormat="1" applyFont="1" applyFill="1" applyBorder="1" applyAlignment="1" applyProtection="1">
      <alignment horizontal="centerContinuous"/>
    </xf>
    <xf numFmtId="3" fontId="114" fillId="9" borderId="85" xfId="0" applyNumberFormat="1" applyFont="1" applyFill="1" applyBorder="1" applyAlignment="1" applyProtection="1">
      <alignment horizontal="centerContinuous"/>
    </xf>
    <xf numFmtId="0" fontId="112" fillId="0" borderId="0" xfId="0" applyNumberFormat="1" applyFont="1" applyAlignment="1" applyProtection="1">
      <alignment horizontal="left" vertical="center"/>
    </xf>
    <xf numFmtId="0" fontId="115" fillId="0" borderId="0" xfId="0" applyNumberFormat="1" applyFont="1" applyAlignment="1" applyProtection="1">
      <alignment horizontal="center" vertical="center"/>
    </xf>
    <xf numFmtId="171" fontId="21" fillId="0" borderId="0" xfId="0" applyNumberFormat="1" applyFont="1" applyAlignment="1" applyProtection="1">
      <alignment horizontal="center"/>
    </xf>
    <xf numFmtId="171" fontId="21" fillId="0" borderId="0" xfId="0" applyNumberFormat="1" applyFont="1"/>
    <xf numFmtId="1" fontId="49" fillId="13" borderId="2" xfId="0" applyNumberFormat="1" applyFont="1" applyFill="1" applyBorder="1" applyAlignment="1" applyProtection="1">
      <alignment horizontal="right" vertical="center"/>
      <protection locked="0"/>
    </xf>
    <xf numFmtId="0" fontId="116" fillId="0" borderId="0" xfId="0" applyNumberFormat="1" applyFont="1" applyAlignment="1" applyProtection="1">
      <alignment horizontal="center" vertical="center"/>
    </xf>
    <xf numFmtId="170" fontId="110" fillId="5" borderId="30" xfId="0" applyFont="1" applyFill="1" applyBorder="1" applyAlignment="1">
      <alignment horizontal="justify" vertical="center" wrapText="1"/>
    </xf>
    <xf numFmtId="170" fontId="110" fillId="5" borderId="31" xfId="0" applyFont="1" applyFill="1" applyBorder="1" applyAlignment="1">
      <alignment horizontal="justify" vertical="center" wrapText="1"/>
    </xf>
    <xf numFmtId="170" fontId="98" fillId="5" borderId="29" xfId="0" applyFont="1" applyFill="1" applyBorder="1" applyAlignment="1">
      <alignment horizontal="justify" vertical="center" wrapText="1"/>
    </xf>
    <xf numFmtId="170" fontId="98" fillId="5" borderId="30" xfId="0" applyFont="1" applyFill="1" applyBorder="1" applyAlignment="1">
      <alignment horizontal="justify" vertical="center" wrapText="1"/>
    </xf>
    <xf numFmtId="170" fontId="98" fillId="5" borderId="31" xfId="0" applyFont="1" applyFill="1" applyBorder="1" applyAlignment="1">
      <alignment horizontal="justify" vertical="center" wrapText="1"/>
    </xf>
    <xf numFmtId="170" fontId="107" fillId="23"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75" fontId="21" fillId="0" borderId="2" xfId="0" applyNumberFormat="1" applyFont="1" applyFill="1" applyBorder="1" applyAlignment="1" applyProtection="1">
      <alignment horizontal="center" vertical="center" wrapText="1"/>
    </xf>
    <xf numFmtId="170" fontId="107" fillId="14" borderId="2" xfId="0" applyFont="1" applyFill="1" applyBorder="1" applyAlignment="1" applyProtection="1">
      <alignment horizontal="center"/>
    </xf>
    <xf numFmtId="168" fontId="107" fillId="5" borderId="2" xfId="0" applyNumberFormat="1" applyFont="1" applyFill="1" applyBorder="1" applyAlignment="1" applyProtection="1">
      <alignment horizontal="right" vertical="center"/>
      <protection locked="0"/>
    </xf>
    <xf numFmtId="168" fontId="2" fillId="5" borderId="2" xfId="0" applyNumberFormat="1" applyFont="1" applyFill="1" applyBorder="1" applyAlignment="1" applyProtection="1">
      <alignment vertical="center"/>
      <protection locked="0"/>
    </xf>
    <xf numFmtId="168" fontId="49" fillId="5" borderId="2" xfId="0" applyNumberFormat="1" applyFont="1" applyFill="1" applyBorder="1" applyAlignment="1" applyProtection="1">
      <alignment vertical="center"/>
      <protection locked="0"/>
    </xf>
    <xf numFmtId="168" fontId="107" fillId="24" borderId="2" xfId="0" applyNumberFormat="1" applyFont="1" applyFill="1" applyBorder="1" applyAlignment="1" applyProtection="1">
      <alignment horizontal="right" vertical="center"/>
      <protection locked="0"/>
    </xf>
    <xf numFmtId="168" fontId="107" fillId="24" borderId="2" xfId="0" applyNumberFormat="1" applyFont="1" applyFill="1" applyBorder="1" applyAlignment="1" applyProtection="1">
      <alignment vertical="center"/>
      <protection locked="0"/>
    </xf>
    <xf numFmtId="168" fontId="49" fillId="24" borderId="2" xfId="0" applyNumberFormat="1" applyFont="1" applyFill="1" applyBorder="1" applyAlignment="1" applyProtection="1">
      <alignment horizontal="right" vertical="center"/>
      <protection locked="0"/>
    </xf>
    <xf numFmtId="168" fontId="49" fillId="24" borderId="2" xfId="0" applyNumberFormat="1" applyFont="1" applyFill="1" applyBorder="1" applyAlignment="1" applyProtection="1">
      <alignment vertical="center"/>
      <protection locked="0"/>
    </xf>
    <xf numFmtId="168" fontId="49" fillId="25" borderId="2" xfId="0" applyNumberFormat="1" applyFont="1" applyFill="1" applyBorder="1" applyAlignment="1" applyProtection="1">
      <alignment vertical="center"/>
      <protection locked="0"/>
    </xf>
    <xf numFmtId="168" fontId="49" fillId="25" borderId="2" xfId="0" applyNumberFormat="1" applyFont="1" applyFill="1" applyBorder="1" applyAlignment="1" applyProtection="1">
      <alignment horizontal="right" vertical="center"/>
      <protection locked="0"/>
    </xf>
    <xf numFmtId="168" fontId="2" fillId="25" borderId="2" xfId="0" applyNumberFormat="1" applyFont="1" applyFill="1" applyBorder="1" applyAlignment="1" applyProtection="1">
      <alignment vertical="center"/>
      <protection locked="0"/>
    </xf>
    <xf numFmtId="168" fontId="49" fillId="25" borderId="2" xfId="1" applyNumberFormat="1" applyFont="1" applyFill="1" applyBorder="1" applyAlignment="1" applyProtection="1">
      <alignment horizontal="right" vertical="center"/>
      <protection locked="0"/>
    </xf>
    <xf numFmtId="168" fontId="2" fillId="25" borderId="2" xfId="0" applyNumberFormat="1" applyFont="1" applyFill="1" applyBorder="1" applyAlignment="1" applyProtection="1">
      <alignment horizontal="right" vertical="center"/>
      <protection locked="0"/>
    </xf>
    <xf numFmtId="168" fontId="107" fillId="7" borderId="2" xfId="0" applyNumberFormat="1" applyFont="1" applyFill="1" applyBorder="1" applyAlignment="1" applyProtection="1">
      <alignment horizontal="right" vertical="center"/>
      <protection locked="0"/>
    </xf>
    <xf numFmtId="168" fontId="107" fillId="7" borderId="2" xfId="0" applyNumberFormat="1" applyFont="1" applyFill="1" applyBorder="1" applyAlignment="1" applyProtection="1">
      <alignment vertical="center"/>
      <protection locked="0"/>
    </xf>
    <xf numFmtId="168" fontId="2" fillId="13" borderId="2" xfId="0" applyNumberFormat="1" applyFont="1" applyFill="1" applyBorder="1" applyAlignment="1" applyProtection="1">
      <alignment vertical="center"/>
      <protection locked="0"/>
    </xf>
    <xf numFmtId="168" fontId="49" fillId="13" borderId="2" xfId="0" applyNumberFormat="1" applyFont="1" applyFill="1" applyBorder="1" applyAlignment="1" applyProtection="1">
      <alignment vertical="center"/>
      <protection locked="0"/>
    </xf>
    <xf numFmtId="168" fontId="107" fillId="13" borderId="2" xfId="0" applyNumberFormat="1" applyFont="1" applyFill="1" applyBorder="1" applyAlignment="1" applyProtection="1">
      <alignment vertical="center"/>
      <protection locked="0"/>
    </xf>
    <xf numFmtId="168" fontId="49" fillId="7" borderId="2" xfId="0" applyNumberFormat="1" applyFont="1" applyFill="1" applyBorder="1" applyAlignment="1" applyProtection="1">
      <alignment horizontal="right" vertical="center"/>
      <protection locked="0"/>
    </xf>
    <xf numFmtId="175" fontId="49" fillId="0" borderId="2" xfId="0" applyNumberFormat="1" applyFont="1" applyFill="1" applyBorder="1" applyAlignment="1" applyProtection="1">
      <alignment vertical="center"/>
    </xf>
    <xf numFmtId="175" fontId="49" fillId="11" borderId="2" xfId="0" applyNumberFormat="1" applyFont="1" applyFill="1" applyBorder="1" applyAlignment="1" applyProtection="1">
      <alignment vertical="center"/>
    </xf>
    <xf numFmtId="175" fontId="49" fillId="0" borderId="80" xfId="0" applyNumberFormat="1" applyFont="1" applyFill="1" applyBorder="1" applyAlignment="1" applyProtection="1">
      <alignment vertical="center"/>
    </xf>
    <xf numFmtId="168" fontId="2" fillId="7" borderId="2" xfId="0" applyNumberFormat="1" applyFont="1" applyFill="1" applyBorder="1" applyAlignment="1" applyProtection="1">
      <alignment vertical="center"/>
      <protection locked="0"/>
    </xf>
    <xf numFmtId="168" fontId="49" fillId="7" borderId="2" xfId="0" applyNumberFormat="1" applyFont="1" applyFill="1" applyBorder="1" applyAlignment="1" applyProtection="1">
      <alignment vertical="center"/>
      <protection locked="0"/>
    </xf>
    <xf numFmtId="170" fontId="107" fillId="15" borderId="2" xfId="0" applyFont="1" applyFill="1" applyBorder="1" applyAlignment="1" applyProtection="1">
      <alignment horizontal="center"/>
    </xf>
    <xf numFmtId="3" fontId="49" fillId="13" borderId="20" xfId="0" applyNumberFormat="1" applyFont="1" applyFill="1" applyBorder="1" applyAlignment="1" applyProtection="1">
      <alignment horizontal="right" vertical="center"/>
      <protection locked="0"/>
    </xf>
    <xf numFmtId="1" fontId="113" fillId="9" borderId="40" xfId="0" applyNumberFormat="1" applyFont="1" applyFill="1" applyBorder="1" applyAlignment="1" applyProtection="1">
      <alignment horizontal="center"/>
      <protection locked="0"/>
    </xf>
    <xf numFmtId="1" fontId="113" fillId="9" borderId="54" xfId="0" applyNumberFormat="1" applyFont="1" applyFill="1" applyBorder="1" applyAlignment="1" applyProtection="1">
      <alignment horizontal="center"/>
      <protection locked="0"/>
    </xf>
    <xf numFmtId="1" fontId="113" fillId="9" borderId="108" xfId="0" applyNumberFormat="1" applyFont="1" applyFill="1" applyBorder="1" applyAlignment="1" applyProtection="1">
      <alignment horizontal="center"/>
      <protection locked="0"/>
    </xf>
    <xf numFmtId="1" fontId="107" fillId="13" borderId="2" xfId="0" applyNumberFormat="1" applyFont="1" applyFill="1" applyBorder="1" applyAlignment="1" applyProtection="1">
      <alignment horizontal="right" vertical="center"/>
      <protection locked="0"/>
    </xf>
    <xf numFmtId="1" fontId="49" fillId="13" borderId="2" xfId="0" applyNumberFormat="1" applyFont="1" applyFill="1" applyBorder="1" applyAlignment="1" applyProtection="1">
      <alignment vertical="center"/>
      <protection locked="0"/>
    </xf>
    <xf numFmtId="165" fontId="8" fillId="0" borderId="0" xfId="0" applyNumberFormat="1" applyFont="1" applyFill="1"/>
    <xf numFmtId="165" fontId="8" fillId="0" borderId="0" xfId="0" applyNumberFormat="1" applyFont="1" applyFill="1" applyProtection="1"/>
    <xf numFmtId="170" fontId="83"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3" fontId="113" fillId="0" borderId="84" xfId="0" applyNumberFormat="1" applyFont="1" applyBorder="1" applyAlignment="1" applyProtection="1">
      <alignment horizontal="right" wrapText="1"/>
    </xf>
    <xf numFmtId="3" fontId="113" fillId="0" borderId="85" xfId="0" applyNumberFormat="1" applyFont="1" applyBorder="1" applyAlignment="1" applyProtection="1">
      <alignment horizontal="right" wrapText="1"/>
    </xf>
    <xf numFmtId="3" fontId="0" fillId="0" borderId="0" xfId="0" applyNumberFormat="1" applyFill="1" applyBorder="1"/>
    <xf numFmtId="170" fontId="113" fillId="0" borderId="161" xfId="0" applyFont="1" applyBorder="1" applyAlignment="1">
      <alignment horizontal="justify" vertical="top" wrapText="1"/>
    </xf>
    <xf numFmtId="170" fontId="113" fillId="0" borderId="149" xfId="0" applyFont="1" applyBorder="1" applyAlignment="1">
      <alignment horizontal="justify" vertical="top" wrapText="1"/>
    </xf>
    <xf numFmtId="170" fontId="117" fillId="0" borderId="0" xfId="0" applyFont="1"/>
    <xf numFmtId="170" fontId="34" fillId="0" borderId="0" xfId="0" applyFont="1" applyAlignment="1">
      <alignment horizontal="center"/>
    </xf>
    <xf numFmtId="170" fontId="34" fillId="0" borderId="0" xfId="0" applyFont="1" applyBorder="1" applyAlignment="1">
      <alignment horizontal="center"/>
    </xf>
    <xf numFmtId="170" fontId="113" fillId="0" borderId="0" xfId="0" applyFont="1" applyBorder="1" applyAlignment="1">
      <alignment horizontal="justify" vertical="top" wrapText="1"/>
    </xf>
    <xf numFmtId="170" fontId="113" fillId="0" borderId="233" xfId="0" applyFont="1" applyBorder="1" applyAlignment="1">
      <alignment horizontal="justify" vertical="top" wrapText="1"/>
    </xf>
    <xf numFmtId="170" fontId="113" fillId="0" borderId="234" xfId="0" applyFont="1" applyBorder="1" applyAlignment="1">
      <alignment horizontal="justify" vertical="top" wrapText="1"/>
    </xf>
    <xf numFmtId="170" fontId="113" fillId="0" borderId="235" xfId="0" applyFont="1" applyBorder="1" applyAlignment="1">
      <alignment horizontal="justify" vertical="top" wrapText="1"/>
    </xf>
    <xf numFmtId="49" fontId="113" fillId="0" borderId="2" xfId="0" applyNumberFormat="1" applyFont="1" applyFill="1" applyBorder="1" applyAlignment="1" applyProtection="1">
      <alignment horizontal="center"/>
      <protection locked="0"/>
    </xf>
    <xf numFmtId="170" fontId="121" fillId="0" borderId="0" xfId="0" applyFont="1" applyFill="1" applyBorder="1" applyAlignment="1" applyProtection="1">
      <alignment horizontal="right"/>
    </xf>
    <xf numFmtId="171" fontId="14" fillId="0" borderId="2" xfId="20" applyNumberFormat="1" applyFont="1" applyFill="1" applyBorder="1" applyAlignment="1" applyProtection="1">
      <alignment horizontal="center"/>
      <protection locked="0"/>
    </xf>
    <xf numFmtId="170" fontId="121" fillId="0" borderId="88" xfId="0" applyFont="1" applyFill="1" applyBorder="1" applyAlignment="1" applyProtection="1">
      <alignment horizontal="right"/>
    </xf>
    <xf numFmtId="3" fontId="14" fillId="9" borderId="47" xfId="0" applyNumberFormat="1" applyFont="1" applyFill="1" applyBorder="1" applyAlignment="1" applyProtection="1">
      <protection locked="0"/>
    </xf>
    <xf numFmtId="3" fontId="14" fillId="0" borderId="2" xfId="0" applyNumberFormat="1" applyFont="1" applyFill="1" applyBorder="1" applyAlignment="1" applyProtection="1"/>
    <xf numFmtId="3" fontId="14" fillId="0" borderId="232" xfId="0" applyNumberFormat="1" applyFont="1" applyFill="1" applyBorder="1" applyAlignment="1" applyProtection="1"/>
    <xf numFmtId="1" fontId="14" fillId="3" borderId="109" xfId="0" applyNumberFormat="1" applyFont="1" applyFill="1" applyBorder="1" applyAlignment="1" applyProtection="1">
      <alignment horizontal="center"/>
    </xf>
    <xf numFmtId="1" fontId="113" fillId="9" borderId="2" xfId="0" applyNumberFormat="1" applyFont="1" applyFill="1" applyBorder="1" applyAlignment="1" applyProtection="1">
      <alignment horizontal="center"/>
      <protection locked="0"/>
    </xf>
    <xf numFmtId="3" fontId="113" fillId="6" borderId="33" xfId="0" applyNumberFormat="1" applyFont="1" applyFill="1" applyBorder="1" applyAlignment="1" applyProtection="1">
      <alignment horizontal="center"/>
      <protection locked="0"/>
    </xf>
    <xf numFmtId="3" fontId="113" fillId="0" borderId="17" xfId="0" applyNumberFormat="1" applyFont="1" applyFill="1" applyBorder="1" applyAlignment="1" applyProtection="1">
      <alignment horizontal="center"/>
    </xf>
    <xf numFmtId="3" fontId="113" fillId="6" borderId="17" xfId="0" applyNumberFormat="1" applyFont="1" applyFill="1" applyBorder="1" applyAlignment="1" applyProtection="1">
      <alignment horizontal="center"/>
      <protection locked="0"/>
    </xf>
    <xf numFmtId="170" fontId="113" fillId="0" borderId="0" xfId="0" applyFont="1" applyBorder="1" applyProtection="1"/>
    <xf numFmtId="1" fontId="113" fillId="6" borderId="2" xfId="0" applyNumberFormat="1" applyFont="1" applyFill="1" applyBorder="1" applyAlignment="1" applyProtection="1">
      <alignment horizontal="center"/>
      <protection locked="0"/>
    </xf>
    <xf numFmtId="1" fontId="113" fillId="0" borderId="109" xfId="0" applyNumberFormat="1" applyFont="1" applyFill="1" applyBorder="1" applyAlignment="1" applyProtection="1">
      <alignment horizontal="center"/>
    </xf>
    <xf numFmtId="1" fontId="113" fillId="6" borderId="33" xfId="0" applyNumberFormat="1" applyFont="1" applyFill="1" applyBorder="1" applyAlignment="1" applyProtection="1">
      <alignment horizontal="center"/>
      <protection locked="0"/>
    </xf>
    <xf numFmtId="3" fontId="113" fillId="3" borderId="17" xfId="0" applyNumberFormat="1" applyFont="1" applyFill="1" applyBorder="1" applyAlignment="1" applyProtection="1">
      <alignment horizontal="center"/>
      <protection locked="0"/>
    </xf>
    <xf numFmtId="3" fontId="113" fillId="0" borderId="2" xfId="0" applyNumberFormat="1" applyFont="1" applyFill="1" applyBorder="1"/>
    <xf numFmtId="3" fontId="113" fillId="0" borderId="46" xfId="0" applyNumberFormat="1" applyFont="1" applyFill="1" applyBorder="1"/>
    <xf numFmtId="168" fontId="122" fillId="5" borderId="2" xfId="0" applyNumberFormat="1" applyFont="1" applyFill="1" applyBorder="1" applyAlignment="1" applyProtection="1">
      <alignment vertical="center"/>
      <protection locked="0"/>
    </xf>
    <xf numFmtId="168" fontId="122" fillId="24" borderId="2" xfId="0" applyNumberFormat="1" applyFont="1" applyFill="1" applyBorder="1" applyAlignment="1" applyProtection="1">
      <alignment horizontal="right" vertical="center"/>
      <protection locked="0"/>
    </xf>
    <xf numFmtId="168" fontId="122" fillId="25" borderId="2" xfId="0" applyNumberFormat="1" applyFont="1" applyFill="1" applyBorder="1" applyAlignment="1" applyProtection="1">
      <alignment vertical="center"/>
      <protection locked="0"/>
    </xf>
    <xf numFmtId="168" fontId="122" fillId="7" borderId="2" xfId="0" applyNumberFormat="1" applyFont="1" applyFill="1" applyBorder="1" applyAlignment="1" applyProtection="1">
      <alignment horizontal="right" vertical="center"/>
      <protection locked="0"/>
    </xf>
    <xf numFmtId="1" fontId="122" fillId="13" borderId="2" xfId="0" applyNumberFormat="1" applyFont="1" applyFill="1" applyBorder="1" applyAlignment="1" applyProtection="1">
      <alignment vertical="center"/>
      <protection locked="0"/>
    </xf>
    <xf numFmtId="168" fontId="49" fillId="7" borderId="110" xfId="0" applyNumberFormat="1" applyFont="1" applyFill="1" applyBorder="1" applyAlignment="1" applyProtection="1">
      <alignment horizontal="right" vertical="center"/>
      <protection locked="0"/>
    </xf>
    <xf numFmtId="168" fontId="122" fillId="13" borderId="2" xfId="0" applyNumberFormat="1" applyFont="1" applyFill="1" applyBorder="1" applyAlignment="1" applyProtection="1">
      <alignment horizontal="right" vertical="center"/>
      <protection locked="0"/>
    </xf>
    <xf numFmtId="168" fontId="49" fillId="13" borderId="110" xfId="0" applyNumberFormat="1" applyFont="1" applyFill="1" applyBorder="1" applyAlignment="1" applyProtection="1">
      <alignment horizontal="right" vertical="center"/>
      <protection locked="0"/>
    </xf>
    <xf numFmtId="170" fontId="113" fillId="0" borderId="0" xfId="0" applyFont="1" applyBorder="1" applyAlignment="1">
      <alignment horizontal="left"/>
    </xf>
    <xf numFmtId="170" fontId="113" fillId="0" borderId="0" xfId="0" applyFont="1"/>
    <xf numFmtId="170" fontId="113" fillId="0" borderId="0" xfId="0" applyFont="1" applyBorder="1" applyAlignment="1">
      <alignment horizontal="left" wrapText="1"/>
    </xf>
    <xf numFmtId="9" fontId="123" fillId="0" borderId="0" xfId="0" applyNumberFormat="1" applyFont="1" applyFill="1" applyBorder="1" applyAlignment="1" applyProtection="1"/>
    <xf numFmtId="170" fontId="98" fillId="0" borderId="0" xfId="0" applyFont="1" applyFill="1" applyBorder="1" applyAlignment="1" applyProtection="1">
      <alignment horizontal="center" vertical="center"/>
    </xf>
    <xf numFmtId="9" fontId="123" fillId="0" borderId="0" xfId="0" applyNumberFormat="1" applyFont="1" applyFill="1" applyBorder="1" applyAlignment="1" applyProtection="1">
      <alignment horizontal="center"/>
    </xf>
    <xf numFmtId="169" fontId="42" fillId="3" borderId="0" xfId="0" applyNumberFormat="1" applyFont="1" applyFill="1" applyBorder="1" applyAlignment="1" applyProtection="1">
      <alignment vertical="center"/>
    </xf>
    <xf numFmtId="170" fontId="98" fillId="3" borderId="0" xfId="0" applyFont="1" applyFill="1" applyBorder="1" applyAlignment="1" applyProtection="1">
      <alignment horizontal="center" vertical="center"/>
    </xf>
    <xf numFmtId="170" fontId="124" fillId="3" borderId="0" xfId="0" applyFont="1" applyFill="1" applyBorder="1" applyAlignment="1" applyProtection="1">
      <alignment horizontal="center" vertical="center"/>
    </xf>
    <xf numFmtId="168" fontId="42" fillId="3" borderId="0" xfId="19" applyNumberFormat="1" applyFont="1" applyFill="1" applyBorder="1" applyAlignment="1" applyProtection="1">
      <alignment horizontal="right"/>
    </xf>
    <xf numFmtId="9" fontId="123" fillId="3" borderId="0" xfId="0" applyNumberFormat="1" applyFont="1" applyFill="1" applyBorder="1" applyProtection="1"/>
    <xf numFmtId="9" fontId="123"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2" fillId="3" borderId="0" xfId="0" applyFont="1" applyFill="1" applyBorder="1" applyAlignment="1" applyProtection="1">
      <alignment horizontal="left" vertical="center"/>
    </xf>
    <xf numFmtId="170" fontId="125" fillId="3" borderId="0" xfId="0" applyFont="1" applyFill="1" applyBorder="1" applyAlignment="1" applyProtection="1">
      <alignment horizontal="left" vertical="center"/>
    </xf>
    <xf numFmtId="170" fontId="44" fillId="0" borderId="0" xfId="0" applyFont="1" applyFill="1" applyBorder="1" applyAlignment="1" applyProtection="1">
      <alignment horizontal="right"/>
    </xf>
    <xf numFmtId="9" fontId="123" fillId="0" borderId="0" xfId="0" applyNumberFormat="1" applyFont="1" applyFill="1" applyBorder="1" applyProtection="1"/>
    <xf numFmtId="170" fontId="44" fillId="0" borderId="0" xfId="0" applyFont="1" applyFill="1" applyBorder="1" applyProtection="1"/>
    <xf numFmtId="170" fontId="127" fillId="0" borderId="0" xfId="0" applyFont="1" applyFill="1" applyBorder="1" applyProtection="1"/>
    <xf numFmtId="170" fontId="128" fillId="0" borderId="0" xfId="0" applyFont="1" applyFill="1" applyBorder="1" applyAlignment="1" applyProtection="1">
      <alignment horizontal="center" vertical="center"/>
    </xf>
    <xf numFmtId="170" fontId="129" fillId="0" borderId="0" xfId="0" applyFont="1" applyFill="1" applyBorder="1" applyAlignment="1" applyProtection="1">
      <alignment horizontal="center" vertical="center"/>
    </xf>
    <xf numFmtId="170" fontId="129" fillId="0" borderId="0" xfId="0" applyFont="1" applyFill="1" applyBorder="1" applyAlignment="1" applyProtection="1">
      <alignment horizontal="right" vertical="center" indent="1"/>
    </xf>
    <xf numFmtId="170" fontId="130" fillId="0" borderId="0" xfId="0" applyFont="1" applyFill="1" applyBorder="1" applyAlignment="1" applyProtection="1">
      <alignment horizontal="center"/>
    </xf>
    <xf numFmtId="170" fontId="56" fillId="0" borderId="71"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6" fillId="0" borderId="72"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6" fillId="0" borderId="73" xfId="0" applyNumberFormat="1" applyFont="1" applyFill="1" applyBorder="1" applyAlignment="1" applyProtection="1">
      <alignment horizontal="center" vertical="center"/>
    </xf>
    <xf numFmtId="170" fontId="23" fillId="0" borderId="28" xfId="0" applyNumberFormat="1" applyFont="1" applyFill="1" applyBorder="1" applyAlignment="1" applyProtection="1">
      <alignment vertical="center"/>
    </xf>
    <xf numFmtId="170" fontId="131" fillId="0" borderId="0" xfId="0" applyFont="1"/>
    <xf numFmtId="168" fontId="49" fillId="5" borderId="2" xfId="0" applyNumberFormat="1" applyFont="1" applyFill="1" applyBorder="1" applyAlignment="1" applyProtection="1">
      <alignment horizontal="right" vertical="center"/>
      <protection locked="0"/>
    </xf>
    <xf numFmtId="170" fontId="8" fillId="0" borderId="0" xfId="0" applyFont="1" applyFill="1"/>
    <xf numFmtId="170" fontId="14" fillId="0" borderId="0" xfId="0" applyNumberFormat="1" applyFont="1" applyFill="1"/>
    <xf numFmtId="3" fontId="8" fillId="0" borderId="0" xfId="0" applyNumberFormat="1" applyFont="1" applyFill="1" applyProtection="1"/>
    <xf numFmtId="15" fontId="80" fillId="0" borderId="0" xfId="0" applyNumberFormat="1" applyFont="1" applyFill="1" applyBorder="1" applyAlignment="1" applyProtection="1">
      <alignment horizontal="center"/>
    </xf>
    <xf numFmtId="3" fontId="14" fillId="0" borderId="55" xfId="1" applyNumberFormat="1" applyFont="1" applyFill="1" applyBorder="1" applyAlignment="1" applyProtection="1"/>
    <xf numFmtId="3" fontId="14" fillId="0" borderId="56" xfId="1" applyNumberFormat="1" applyFont="1" applyFill="1" applyBorder="1" applyAlignment="1" applyProtection="1"/>
    <xf numFmtId="1" fontId="132" fillId="13" borderId="2" xfId="0" applyNumberFormat="1" applyFont="1" applyFill="1" applyBorder="1" applyAlignment="1" applyProtection="1">
      <alignment vertical="center"/>
      <protection locked="0"/>
    </xf>
    <xf numFmtId="3" fontId="133" fillId="22" borderId="2" xfId="0" applyNumberFormat="1" applyFont="1" applyFill="1" applyBorder="1" applyAlignment="1" applyProtection="1">
      <alignment horizontal="center" vertical="center" wrapText="1"/>
    </xf>
    <xf numFmtId="170" fontId="134" fillId="0" borderId="0" xfId="0" applyFont="1"/>
    <xf numFmtId="164" fontId="10" fillId="16"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105" fillId="0" borderId="0" xfId="0" applyFont="1" applyAlignment="1">
      <alignment horizontal="center"/>
    </xf>
    <xf numFmtId="170" fontId="106" fillId="0" borderId="0" xfId="0" applyFont="1" applyAlignment="1">
      <alignment horizontal="center"/>
    </xf>
    <xf numFmtId="170" fontId="98" fillId="22" borderId="29" xfId="0" applyFont="1" applyFill="1" applyBorder="1" applyAlignment="1" applyProtection="1">
      <alignment horizontal="justify" vertical="center" wrapText="1"/>
      <protection locked="0"/>
    </xf>
    <xf numFmtId="170" fontId="98" fillId="22" borderId="30" xfId="0" applyFont="1" applyFill="1" applyBorder="1" applyAlignment="1" applyProtection="1">
      <alignment horizontal="justify" vertical="center" wrapText="1"/>
      <protection locked="0"/>
    </xf>
    <xf numFmtId="170" fontId="98" fillId="22" borderId="31" xfId="0" applyFont="1" applyFill="1" applyBorder="1" applyAlignment="1" applyProtection="1">
      <alignment horizontal="justify" vertical="center" wrapText="1"/>
      <protection locked="0"/>
    </xf>
    <xf numFmtId="170" fontId="47" fillId="0" borderId="112" xfId="0" applyFont="1" applyBorder="1" applyAlignment="1">
      <alignment horizontal="left" vertical="center" wrapText="1"/>
    </xf>
    <xf numFmtId="170" fontId="47" fillId="0" borderId="111" xfId="0" applyFont="1" applyBorder="1" applyAlignment="1">
      <alignment horizontal="left" vertical="center" wrapText="1"/>
    </xf>
    <xf numFmtId="170" fontId="47" fillId="0" borderId="113" xfId="0" applyFont="1" applyBorder="1" applyAlignment="1">
      <alignment horizontal="left" vertical="center" wrapText="1"/>
    </xf>
    <xf numFmtId="170" fontId="47" fillId="0" borderId="114" xfId="0" applyFont="1" applyBorder="1" applyAlignment="1">
      <alignment horizontal="left" vertical="center" wrapText="1"/>
    </xf>
    <xf numFmtId="170" fontId="47" fillId="0" borderId="75" xfId="0" applyFont="1" applyBorder="1" applyAlignment="1">
      <alignment horizontal="left" vertical="center" wrapText="1"/>
    </xf>
    <xf numFmtId="170" fontId="47" fillId="0" borderId="77" xfId="0" applyFont="1" applyBorder="1" applyAlignment="1">
      <alignment horizontal="left" vertical="center" wrapText="1"/>
    </xf>
    <xf numFmtId="170" fontId="71" fillId="5" borderId="29" xfId="0" applyFont="1" applyFill="1" applyBorder="1" applyAlignment="1">
      <alignment horizontal="center" vertical="center"/>
    </xf>
    <xf numFmtId="170" fontId="71" fillId="5" borderId="30" xfId="0" applyFont="1" applyFill="1" applyBorder="1" applyAlignment="1">
      <alignment horizontal="center" vertical="center"/>
    </xf>
    <xf numFmtId="170" fontId="71" fillId="5" borderId="31" xfId="0" applyFont="1" applyFill="1" applyBorder="1" applyAlignment="1">
      <alignment horizontal="center" vertical="center"/>
    </xf>
    <xf numFmtId="170" fontId="110" fillId="22" borderId="30" xfId="0" applyFont="1" applyFill="1" applyBorder="1" applyAlignment="1" applyProtection="1">
      <alignment horizontal="justify" vertical="center" wrapText="1"/>
      <protection locked="0"/>
    </xf>
    <xf numFmtId="170" fontId="110" fillId="22" borderId="31" xfId="0" applyFont="1" applyFill="1" applyBorder="1" applyAlignment="1" applyProtection="1">
      <alignment horizontal="justify" vertical="center" wrapText="1"/>
      <protection locked="0"/>
    </xf>
    <xf numFmtId="170" fontId="110" fillId="0" borderId="29" xfId="0" applyFont="1" applyBorder="1" applyAlignment="1" applyProtection="1">
      <alignment horizontal="justify" vertical="center" wrapText="1"/>
      <protection locked="0"/>
    </xf>
    <xf numFmtId="170" fontId="110" fillId="0" borderId="30" xfId="0" applyFont="1" applyBorder="1" applyAlignment="1" applyProtection="1">
      <alignment horizontal="justify" vertical="center" wrapText="1"/>
      <protection locked="0"/>
    </xf>
    <xf numFmtId="170" fontId="110" fillId="0" borderId="31" xfId="0" applyFont="1" applyBorder="1" applyAlignment="1" applyProtection="1">
      <alignment horizontal="justify" vertical="center" wrapText="1"/>
      <protection locked="0"/>
    </xf>
    <xf numFmtId="170" fontId="17" fillId="0" borderId="29" xfId="0" applyFont="1" applyBorder="1" applyAlignment="1">
      <alignment horizontal="center" vertical="center" wrapText="1"/>
    </xf>
    <xf numFmtId="170" fontId="17" fillId="0" borderId="30" xfId="0" applyFont="1" applyBorder="1" applyAlignment="1">
      <alignment horizontal="center" vertical="center" wrapText="1"/>
    </xf>
    <xf numFmtId="170" fontId="17" fillId="0" borderId="31" xfId="0" applyFont="1" applyBorder="1" applyAlignment="1">
      <alignment horizontal="center" vertical="center" wrapText="1"/>
    </xf>
    <xf numFmtId="170" fontId="71" fillId="5" borderId="29" xfId="0" applyFont="1" applyFill="1" applyBorder="1" applyAlignment="1">
      <alignment horizontal="center" wrapText="1"/>
    </xf>
    <xf numFmtId="170" fontId="71" fillId="5" borderId="30" xfId="0" applyFont="1" applyFill="1" applyBorder="1" applyAlignment="1">
      <alignment horizontal="center" wrapText="1"/>
    </xf>
    <xf numFmtId="170" fontId="71" fillId="5" borderId="31" xfId="0" applyFont="1" applyFill="1" applyBorder="1" applyAlignment="1">
      <alignment horizontal="center" wrapText="1"/>
    </xf>
    <xf numFmtId="170" fontId="71" fillId="5" borderId="29" xfId="0" applyFont="1" applyFill="1" applyBorder="1" applyAlignment="1">
      <alignment horizontal="center"/>
    </xf>
    <xf numFmtId="170" fontId="71" fillId="5" borderId="30" xfId="0" applyFont="1" applyFill="1" applyBorder="1" applyAlignment="1">
      <alignment horizontal="center"/>
    </xf>
    <xf numFmtId="170" fontId="71" fillId="5" borderId="31" xfId="0" applyFont="1" applyFill="1" applyBorder="1" applyAlignment="1">
      <alignment horizontal="center"/>
    </xf>
    <xf numFmtId="170" fontId="66" fillId="0" borderId="29" xfId="0" applyFont="1" applyBorder="1" applyAlignment="1" applyProtection="1">
      <alignment vertical="center" wrapText="1"/>
      <protection locked="0"/>
    </xf>
    <xf numFmtId="170" fontId="66" fillId="0" borderId="30" xfId="0" applyFont="1" applyBorder="1" applyAlignment="1" applyProtection="1">
      <alignment vertical="center" wrapText="1"/>
      <protection locked="0"/>
    </xf>
    <xf numFmtId="170" fontId="66" fillId="0" borderId="31" xfId="0" applyFont="1" applyBorder="1" applyAlignment="1" applyProtection="1">
      <alignment vertical="center" wrapText="1"/>
      <protection locked="0"/>
    </xf>
    <xf numFmtId="164" fontId="66" fillId="0" borderId="29" xfId="0" applyNumberFormat="1" applyFont="1" applyBorder="1" applyAlignment="1">
      <alignment horizontal="justify" vertical="center" wrapText="1"/>
    </xf>
    <xf numFmtId="170" fontId="66" fillId="0" borderId="30" xfId="0" applyFont="1" applyBorder="1" applyAlignment="1">
      <alignment horizontal="justify" vertical="center" wrapText="1"/>
    </xf>
    <xf numFmtId="170" fontId="66" fillId="0" borderId="31" xfId="0" applyFont="1" applyBorder="1" applyAlignment="1">
      <alignment horizontal="justify" vertical="center" wrapText="1"/>
    </xf>
    <xf numFmtId="164" fontId="66" fillId="0" borderId="112" xfId="0" applyNumberFormat="1" applyFont="1" applyBorder="1" applyAlignment="1">
      <alignment horizontal="left" vertical="center" wrapText="1"/>
    </xf>
    <xf numFmtId="170" fontId="66" fillId="0" borderId="111" xfId="0" applyFont="1" applyBorder="1" applyAlignment="1">
      <alignment horizontal="left" vertical="center" wrapText="1"/>
    </xf>
    <xf numFmtId="170" fontId="66" fillId="0" borderId="113" xfId="0" applyFont="1" applyBorder="1" applyAlignment="1">
      <alignment horizontal="left" vertical="center" wrapText="1"/>
    </xf>
    <xf numFmtId="170" fontId="66" fillId="0" borderId="114" xfId="0" applyFont="1" applyBorder="1" applyAlignment="1">
      <alignment horizontal="left" vertical="center" wrapText="1"/>
    </xf>
    <xf numFmtId="170" fontId="66" fillId="0" borderId="75" xfId="0" applyFont="1" applyBorder="1" applyAlignment="1">
      <alignment horizontal="left" vertical="center" wrapText="1"/>
    </xf>
    <xf numFmtId="170" fontId="66" fillId="0" borderId="77" xfId="0" applyFont="1" applyBorder="1" applyAlignment="1">
      <alignment horizontal="left" vertical="center" wrapText="1"/>
    </xf>
    <xf numFmtId="170" fontId="67" fillId="0" borderId="114" xfId="0" applyFont="1" applyBorder="1" applyAlignment="1">
      <alignment horizontal="justify" vertical="center" wrapText="1"/>
    </xf>
    <xf numFmtId="170" fontId="67" fillId="0" borderId="75" xfId="0" applyFont="1" applyBorder="1" applyAlignment="1">
      <alignment horizontal="justify" vertical="center" wrapText="1"/>
    </xf>
    <xf numFmtId="170" fontId="67" fillId="0" borderId="77" xfId="0" applyFont="1" applyBorder="1" applyAlignment="1">
      <alignment horizontal="justify" vertical="center" wrapText="1"/>
    </xf>
    <xf numFmtId="170" fontId="67" fillId="0" borderId="29" xfId="0" applyFont="1" applyBorder="1" applyAlignment="1">
      <alignment horizontal="justify" vertical="center" wrapText="1"/>
    </xf>
    <xf numFmtId="170" fontId="67" fillId="0" borderId="30" xfId="0" applyFont="1" applyBorder="1" applyAlignment="1">
      <alignment horizontal="justify" vertical="center" wrapText="1"/>
    </xf>
    <xf numFmtId="170" fontId="67" fillId="0" borderId="31" xfId="0" applyFont="1" applyBorder="1" applyAlignment="1">
      <alignment horizontal="justify" vertical="center" wrapText="1"/>
    </xf>
    <xf numFmtId="170" fontId="47" fillId="0" borderId="29" xfId="0" applyFont="1" applyBorder="1" applyAlignment="1">
      <alignment horizontal="justify" vertical="center" wrapText="1"/>
    </xf>
    <xf numFmtId="170" fontId="47" fillId="0" borderId="30" xfId="0" applyFont="1" applyBorder="1" applyAlignment="1">
      <alignment horizontal="justify" vertical="center" wrapText="1"/>
    </xf>
    <xf numFmtId="170" fontId="47" fillId="0" borderId="31" xfId="0" applyFont="1" applyBorder="1" applyAlignment="1">
      <alignment horizontal="justify" vertical="center" wrapText="1"/>
    </xf>
    <xf numFmtId="170" fontId="0" fillId="0" borderId="29" xfId="0" applyBorder="1" applyAlignment="1">
      <alignment horizontal="center" vertical="center" wrapText="1"/>
    </xf>
    <xf numFmtId="170" fontId="0" fillId="0" borderId="30" xfId="0" applyBorder="1" applyAlignment="1">
      <alignment horizontal="center" vertical="center" wrapText="1"/>
    </xf>
    <xf numFmtId="170" fontId="0" fillId="0" borderId="31" xfId="0" applyBorder="1" applyAlignment="1">
      <alignment horizontal="center" vertical="center" wrapText="1"/>
    </xf>
    <xf numFmtId="170" fontId="64" fillId="0" borderId="0" xfId="0" applyFont="1" applyAlignment="1">
      <alignment horizontal="center"/>
    </xf>
    <xf numFmtId="170" fontId="72" fillId="5" borderId="29" xfId="0" applyFont="1" applyFill="1" applyBorder="1" applyAlignment="1">
      <alignment horizontal="center" vertical="center" wrapText="1"/>
    </xf>
    <xf numFmtId="170" fontId="72" fillId="5" borderId="30" xfId="0" applyFont="1" applyFill="1" applyBorder="1" applyAlignment="1">
      <alignment horizontal="center" vertical="center"/>
    </xf>
    <xf numFmtId="170" fontId="72" fillId="5" borderId="31" xfId="0" applyFont="1" applyFill="1" applyBorder="1" applyAlignment="1">
      <alignment horizontal="center" vertical="center"/>
    </xf>
    <xf numFmtId="170" fontId="47" fillId="0" borderId="29" xfId="0" applyFont="1" applyBorder="1" applyAlignment="1">
      <alignment horizontal="left" vertical="center" wrapText="1"/>
    </xf>
    <xf numFmtId="170" fontId="47" fillId="0" borderId="30" xfId="0" applyFont="1" applyBorder="1" applyAlignment="1">
      <alignment horizontal="left" vertical="center" wrapText="1"/>
    </xf>
    <xf numFmtId="170" fontId="47" fillId="0" borderId="31" xfId="0" applyFont="1" applyBorder="1" applyAlignment="1">
      <alignment horizontal="left" vertical="center" wrapText="1"/>
    </xf>
    <xf numFmtId="170" fontId="47" fillId="0" borderId="112" xfId="0" applyFont="1" applyBorder="1" applyAlignment="1">
      <alignment horizontal="justify" wrapText="1"/>
    </xf>
    <xf numFmtId="170" fontId="47" fillId="0" borderId="111" xfId="0" applyFont="1" applyBorder="1" applyAlignment="1">
      <alignment horizontal="justify" wrapText="1"/>
    </xf>
    <xf numFmtId="170" fontId="47" fillId="0" borderId="113" xfId="0" applyFont="1" applyBorder="1" applyAlignment="1">
      <alignment horizontal="justify" wrapText="1"/>
    </xf>
    <xf numFmtId="170" fontId="98" fillId="0" borderId="114" xfId="0" applyFont="1" applyBorder="1" applyAlignment="1">
      <alignment horizontal="justify" vertical="center" wrapText="1"/>
    </xf>
    <xf numFmtId="170" fontId="98" fillId="0" borderId="75" xfId="0" applyFont="1" applyBorder="1" applyAlignment="1">
      <alignment horizontal="justify" vertical="center" wrapText="1"/>
    </xf>
    <xf numFmtId="170" fontId="98" fillId="0" borderId="77" xfId="0" applyFont="1" applyBorder="1" applyAlignment="1">
      <alignment horizontal="justify" vertical="center" wrapText="1"/>
    </xf>
    <xf numFmtId="170" fontId="98" fillId="0" borderId="29" xfId="0" applyFont="1" applyBorder="1" applyAlignment="1">
      <alignment horizontal="left" vertical="center" wrapText="1"/>
    </xf>
    <xf numFmtId="170" fontId="95" fillId="0" borderId="30" xfId="0" applyFont="1" applyBorder="1" applyAlignment="1">
      <alignment horizontal="left" vertical="center" wrapText="1"/>
    </xf>
    <xf numFmtId="170" fontId="95" fillId="0" borderId="31" xfId="0" applyFont="1" applyBorder="1" applyAlignment="1">
      <alignment horizontal="left" vertical="center" wrapText="1"/>
    </xf>
    <xf numFmtId="170" fontId="98" fillId="0" borderId="29" xfId="0" applyFont="1" applyBorder="1" applyAlignment="1">
      <alignment horizontal="justify" vertical="center" wrapText="1"/>
    </xf>
    <xf numFmtId="170" fontId="98" fillId="0" borderId="30" xfId="0" applyFont="1" applyBorder="1" applyAlignment="1">
      <alignment horizontal="justify" vertical="center" wrapText="1"/>
    </xf>
    <xf numFmtId="170" fontId="98" fillId="0" borderId="31" xfId="0" applyFont="1" applyBorder="1" applyAlignment="1">
      <alignment horizontal="justify" vertical="center" wrapText="1"/>
    </xf>
    <xf numFmtId="170" fontId="110" fillId="5" borderId="29" xfId="0" applyFont="1" applyFill="1" applyBorder="1" applyAlignment="1">
      <alignment horizontal="justify" vertical="center" wrapText="1"/>
    </xf>
    <xf numFmtId="170" fontId="110" fillId="5" borderId="30" xfId="0" applyFont="1" applyFill="1" applyBorder="1" applyAlignment="1">
      <alignment horizontal="justify" vertical="center" wrapText="1"/>
    </xf>
    <xf numFmtId="170" fontId="110" fillId="5" borderId="31" xfId="0" applyFont="1" applyFill="1" applyBorder="1" applyAlignment="1">
      <alignment horizontal="justify" vertical="center" wrapText="1"/>
    </xf>
    <xf numFmtId="170" fontId="0" fillId="0" borderId="0" xfId="0" applyBorder="1" applyAlignment="1">
      <alignment horizontal="center" wrapText="1"/>
    </xf>
    <xf numFmtId="170" fontId="65" fillId="6" borderId="29" xfId="0" applyFont="1" applyFill="1" applyBorder="1" applyAlignment="1">
      <alignment horizontal="center"/>
    </xf>
    <xf numFmtId="170" fontId="65" fillId="6" borderId="30" xfId="0" applyFont="1" applyFill="1" applyBorder="1" applyAlignment="1">
      <alignment horizontal="center"/>
    </xf>
    <xf numFmtId="170" fontId="65" fillId="6" borderId="31" xfId="0" applyFont="1" applyFill="1" applyBorder="1" applyAlignment="1">
      <alignment horizontal="center"/>
    </xf>
    <xf numFmtId="170" fontId="0" fillId="0" borderId="0" xfId="0" applyBorder="1" applyAlignment="1">
      <alignment horizontal="center"/>
    </xf>
    <xf numFmtId="164" fontId="10" fillId="17" borderId="0" xfId="12" applyFont="1" applyFill="1" applyAlignment="1" applyProtection="1">
      <alignment horizontal="center" vertical="center"/>
    </xf>
    <xf numFmtId="170" fontId="65" fillId="9" borderId="29" xfId="0" applyFont="1" applyFill="1" applyBorder="1" applyAlignment="1">
      <alignment horizontal="center"/>
    </xf>
    <xf numFmtId="170" fontId="65" fillId="9" borderId="30" xfId="0" applyFont="1" applyFill="1" applyBorder="1" applyAlignment="1">
      <alignment horizontal="center"/>
    </xf>
    <xf numFmtId="170" fontId="65" fillId="9" borderId="31" xfId="0" applyFont="1" applyFill="1" applyBorder="1" applyAlignment="1">
      <alignment horizontal="center"/>
    </xf>
    <xf numFmtId="170" fontId="66" fillId="0" borderId="30" xfId="0" applyFont="1" applyBorder="1" applyAlignment="1">
      <alignment horizontal="justify" vertical="center"/>
    </xf>
    <xf numFmtId="170" fontId="66" fillId="0" borderId="31" xfId="0" applyFont="1" applyBorder="1" applyAlignment="1">
      <alignment horizontal="justify" vertical="center"/>
    </xf>
    <xf numFmtId="9" fontId="67" fillId="0" borderId="29" xfId="19" applyFont="1" applyBorder="1" applyAlignment="1">
      <alignment horizontal="justify" vertical="center" wrapText="1"/>
    </xf>
    <xf numFmtId="9" fontId="67" fillId="0" borderId="30" xfId="19" applyFont="1" applyBorder="1" applyAlignment="1">
      <alignment horizontal="justify" vertical="center" wrapText="1"/>
    </xf>
    <xf numFmtId="9" fontId="67" fillId="0" borderId="31" xfId="19" applyFont="1" applyBorder="1" applyAlignment="1">
      <alignment horizontal="justify" vertical="center" wrapText="1"/>
    </xf>
    <xf numFmtId="170" fontId="0" fillId="0" borderId="111" xfId="0" applyBorder="1" applyAlignment="1">
      <alignment horizontal="center" wrapText="1"/>
    </xf>
    <xf numFmtId="164" fontId="66" fillId="0" borderId="29" xfId="0" applyNumberFormat="1" applyFont="1" applyBorder="1" applyAlignment="1">
      <alignment horizontal="left" vertical="center" wrapText="1"/>
    </xf>
    <xf numFmtId="170" fontId="66" fillId="0" borderId="30" xfId="0" applyFont="1" applyBorder="1" applyAlignment="1">
      <alignment horizontal="left" vertical="center" wrapText="1"/>
    </xf>
    <xf numFmtId="170" fontId="66" fillId="0" borderId="31" xfId="0" applyFont="1" applyBorder="1" applyAlignment="1">
      <alignment horizontal="left" vertical="center" wrapText="1"/>
    </xf>
    <xf numFmtId="170" fontId="66" fillId="0" borderId="30" xfId="0" applyFont="1" applyBorder="1" applyAlignment="1">
      <alignment horizontal="left" vertical="center"/>
    </xf>
    <xf numFmtId="170" fontId="66" fillId="0" borderId="31" xfId="0" applyFont="1" applyBorder="1" applyAlignment="1">
      <alignment horizontal="left" vertical="center"/>
    </xf>
    <xf numFmtId="170" fontId="0" fillId="0" borderId="111" xfId="0" applyBorder="1" applyAlignment="1">
      <alignment horizontal="center"/>
    </xf>
    <xf numFmtId="49" fontId="49" fillId="7" borderId="31" xfId="0" applyNumberFormat="1" applyFont="1" applyFill="1" applyBorder="1" applyAlignment="1" applyProtection="1">
      <alignment horizontal="center" vertical="center" wrapText="1"/>
      <protection locked="0"/>
    </xf>
    <xf numFmtId="49" fontId="49" fillId="7" borderId="134" xfId="0" applyNumberFormat="1" applyFont="1" applyFill="1" applyBorder="1" applyAlignment="1" applyProtection="1">
      <alignment horizontal="center" vertical="center" wrapText="1"/>
      <protection locked="0"/>
    </xf>
    <xf numFmtId="49" fontId="49" fillId="7" borderId="129" xfId="0" applyNumberFormat="1" applyFont="1" applyFill="1" applyBorder="1" applyAlignment="1" applyProtection="1">
      <alignment horizontal="left" vertical="center" wrapText="1"/>
      <protection locked="0"/>
    </xf>
    <xf numFmtId="49" fontId="107" fillId="7" borderId="2" xfId="0" applyNumberFormat="1" applyFont="1" applyFill="1" applyBorder="1" applyAlignment="1" applyProtection="1">
      <alignment horizontal="left" vertical="center" wrapText="1"/>
      <protection locked="0"/>
    </xf>
    <xf numFmtId="49" fontId="107" fillId="7" borderId="29" xfId="0" applyNumberFormat="1" applyFont="1" applyFill="1" applyBorder="1" applyAlignment="1" applyProtection="1">
      <alignment horizontal="left" vertical="center" wrapText="1"/>
      <protection locked="0"/>
    </xf>
    <xf numFmtId="49" fontId="107" fillId="7" borderId="129" xfId="0" applyNumberFormat="1" applyFont="1" applyFill="1" applyBorder="1" applyAlignment="1" applyProtection="1">
      <alignment horizontal="left" vertical="center" wrapText="1"/>
      <protection locked="0"/>
    </xf>
    <xf numFmtId="0" fontId="107" fillId="7" borderId="126" xfId="0" applyNumberFormat="1" applyFont="1" applyFill="1" applyBorder="1" applyAlignment="1" applyProtection="1">
      <alignment horizontal="center" vertical="center" wrapText="1"/>
      <protection locked="0"/>
    </xf>
    <xf numFmtId="0" fontId="49" fillId="5" borderId="89" xfId="0" applyNumberFormat="1" applyFont="1" applyFill="1" applyBorder="1" applyAlignment="1" applyProtection="1">
      <alignment horizontal="center" vertical="center" wrapText="1"/>
      <protection locked="0"/>
    </xf>
    <xf numFmtId="0" fontId="107" fillId="5" borderId="76" xfId="0" applyNumberFormat="1" applyFont="1" applyFill="1" applyBorder="1" applyAlignment="1" applyProtection="1">
      <alignment horizontal="center" vertical="center" wrapText="1"/>
      <protection locked="0"/>
    </xf>
    <xf numFmtId="49" fontId="49" fillId="19" borderId="144" xfId="0" applyNumberFormat="1" applyFont="1" applyFill="1" applyBorder="1" applyAlignment="1" applyProtection="1">
      <alignment horizontal="left" vertical="center" wrapText="1"/>
      <protection locked="0"/>
    </xf>
    <xf numFmtId="49" fontId="107" fillId="19" borderId="111" xfId="0" applyNumberFormat="1" applyFont="1" applyFill="1" applyBorder="1" applyAlignment="1" applyProtection="1">
      <alignment horizontal="left" vertical="center" wrapText="1"/>
      <protection locked="0"/>
    </xf>
    <xf numFmtId="49" fontId="107" fillId="19" borderId="145" xfId="0" applyNumberFormat="1" applyFont="1" applyFill="1" applyBorder="1" applyAlignment="1" applyProtection="1">
      <alignment horizontal="left" vertical="center" wrapText="1"/>
      <protection locked="0"/>
    </xf>
    <xf numFmtId="49" fontId="107" fillId="19" borderId="74" xfId="0" applyNumberFormat="1" applyFont="1" applyFill="1" applyBorder="1" applyAlignment="1" applyProtection="1">
      <alignment horizontal="left" vertical="center" wrapText="1"/>
      <protection locked="0"/>
    </xf>
    <xf numFmtId="49" fontId="107" fillId="19" borderId="75" xfId="0" applyNumberFormat="1" applyFont="1" applyFill="1" applyBorder="1" applyAlignment="1" applyProtection="1">
      <alignment horizontal="left" vertical="center" wrapText="1"/>
      <protection locked="0"/>
    </xf>
    <xf numFmtId="49" fontId="107" fillId="19" borderId="79" xfId="0" applyNumberFormat="1" applyFont="1" applyFill="1" applyBorder="1" applyAlignment="1" applyProtection="1">
      <alignment horizontal="left" vertical="center" wrapText="1"/>
      <protection locked="0"/>
    </xf>
    <xf numFmtId="170" fontId="49" fillId="5" borderId="31" xfId="0" applyNumberFormat="1" applyFont="1" applyFill="1" applyBorder="1" applyAlignment="1" applyProtection="1">
      <alignment horizontal="center" vertical="center" wrapText="1"/>
      <protection locked="0"/>
    </xf>
    <xf numFmtId="49" fontId="49" fillId="13" borderId="118" xfId="0" applyNumberFormat="1" applyFont="1" applyFill="1" applyBorder="1" applyAlignment="1" applyProtection="1">
      <alignment horizontal="center" vertical="center" wrapText="1"/>
      <protection locked="0"/>
    </xf>
    <xf numFmtId="49" fontId="49" fillId="13" borderId="119" xfId="0" applyNumberFormat="1" applyFont="1" applyFill="1" applyBorder="1" applyAlignment="1" applyProtection="1">
      <alignment horizontal="center" vertical="center" wrapText="1"/>
      <protection locked="0"/>
    </xf>
    <xf numFmtId="170" fontId="0" fillId="2" borderId="149" xfId="0" applyFill="1" applyBorder="1" applyAlignment="1" applyProtection="1">
      <alignment horizontal="center" vertical="center" textRotation="90"/>
    </xf>
    <xf numFmtId="49" fontId="49" fillId="13" borderId="144" xfId="0" applyNumberFormat="1" applyFont="1" applyFill="1" applyBorder="1" applyAlignment="1" applyProtection="1">
      <alignment horizontal="left" vertical="center" wrapText="1"/>
      <protection locked="0"/>
    </xf>
    <xf numFmtId="49" fontId="107" fillId="13" borderId="111" xfId="0" applyNumberFormat="1" applyFont="1" applyFill="1" applyBorder="1" applyAlignment="1" applyProtection="1">
      <alignment horizontal="left" vertical="center" wrapText="1"/>
      <protection locked="0"/>
    </xf>
    <xf numFmtId="49" fontId="107" fillId="13" borderId="145" xfId="0" applyNumberFormat="1" applyFont="1" applyFill="1" applyBorder="1" applyAlignment="1" applyProtection="1">
      <alignment horizontal="left" vertical="center" wrapText="1"/>
      <protection locked="0"/>
    </xf>
    <xf numFmtId="49" fontId="107" fillId="13" borderId="74" xfId="0" applyNumberFormat="1" applyFont="1" applyFill="1" applyBorder="1" applyAlignment="1" applyProtection="1">
      <alignment horizontal="left" vertical="center" wrapText="1"/>
      <protection locked="0"/>
    </xf>
    <xf numFmtId="49" fontId="107" fillId="13" borderId="75" xfId="0" applyNumberFormat="1" applyFont="1" applyFill="1" applyBorder="1" applyAlignment="1" applyProtection="1">
      <alignment horizontal="left" vertical="center" wrapText="1"/>
      <protection locked="0"/>
    </xf>
    <xf numFmtId="49" fontId="107" fillId="13" borderId="79" xfId="0" applyNumberFormat="1" applyFont="1" applyFill="1" applyBorder="1" applyAlignment="1" applyProtection="1">
      <alignment horizontal="left" vertical="center" wrapText="1"/>
      <protection locked="0"/>
    </xf>
    <xf numFmtId="0" fontId="107" fillId="13" borderId="89" xfId="0" applyNumberFormat="1" applyFont="1" applyFill="1" applyBorder="1" applyAlignment="1" applyProtection="1">
      <alignment horizontal="center" vertical="center" wrapText="1"/>
      <protection locked="0"/>
    </xf>
    <xf numFmtId="0" fontId="107" fillId="13" borderId="76" xfId="0" applyNumberFormat="1" applyFont="1" applyFill="1" applyBorder="1" applyAlignment="1" applyProtection="1">
      <alignment horizontal="center" vertical="center" wrapText="1"/>
      <protection locked="0"/>
    </xf>
    <xf numFmtId="164" fontId="45" fillId="17" borderId="0" xfId="4" applyFont="1" applyFill="1" applyAlignment="1" applyProtection="1">
      <alignment horizontal="center" vertical="center"/>
    </xf>
    <xf numFmtId="49" fontId="0" fillId="0" borderId="29"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70" fontId="91" fillId="0" borderId="0" xfId="0" applyFont="1" applyAlignment="1" applyProtection="1">
      <alignment horizontal="right"/>
    </xf>
    <xf numFmtId="49" fontId="0" fillId="0" borderId="29" xfId="0" applyNumberFormat="1" applyBorder="1" applyAlignment="1" applyProtection="1">
      <alignment horizontal="justify" wrapText="1"/>
      <protection locked="0"/>
    </xf>
    <xf numFmtId="49" fontId="0" fillId="0" borderId="30" xfId="0" applyNumberFormat="1" applyBorder="1" applyAlignment="1" applyProtection="1">
      <alignment horizontal="justify" wrapText="1"/>
      <protection locked="0"/>
    </xf>
    <xf numFmtId="49" fontId="0" fillId="0" borderId="31" xfId="0" applyNumberFormat="1" applyBorder="1" applyAlignment="1" applyProtection="1">
      <alignment horizontal="justify" wrapText="1"/>
      <protection locked="0"/>
    </xf>
    <xf numFmtId="170" fontId="121" fillId="0" borderId="88" xfId="0" applyFont="1" applyFill="1" applyBorder="1" applyAlignment="1" applyProtection="1">
      <alignment horizontal="right" wrapText="1"/>
    </xf>
    <xf numFmtId="170" fontId="121" fillId="0" borderId="138" xfId="0" applyFont="1" applyFill="1" applyBorder="1" applyAlignment="1" applyProtection="1">
      <alignment horizontal="right" wrapText="1"/>
    </xf>
    <xf numFmtId="171" fontId="103" fillId="0" borderId="2" xfId="20" applyNumberFormat="1" applyFont="1" applyFill="1" applyBorder="1" applyAlignment="1" applyProtection="1">
      <alignment horizontal="center"/>
      <protection locked="0"/>
    </xf>
    <xf numFmtId="171" fontId="111" fillId="0" borderId="2" xfId="20" applyNumberFormat="1" applyFill="1" applyBorder="1" applyAlignment="1" applyProtection="1">
      <alignment horizontal="center"/>
      <protection locked="0"/>
    </xf>
    <xf numFmtId="170" fontId="91" fillId="0" borderId="88" xfId="0" applyFont="1" applyBorder="1" applyAlignment="1" applyProtection="1">
      <alignment horizontal="right"/>
    </xf>
    <xf numFmtId="172" fontId="113" fillId="0" borderId="29" xfId="0" applyNumberFormat="1" applyFont="1" applyFill="1" applyBorder="1" applyAlignment="1" applyProtection="1">
      <alignment horizontal="center"/>
      <protection locked="0"/>
    </xf>
    <xf numFmtId="172" fontId="113" fillId="0" borderId="31" xfId="0" applyNumberFormat="1" applyFont="1" applyFill="1" applyBorder="1" applyAlignment="1" applyProtection="1">
      <alignment horizontal="center"/>
      <protection locked="0"/>
    </xf>
    <xf numFmtId="49" fontId="118" fillId="0" borderId="2" xfId="0" applyNumberFormat="1" applyFont="1" applyBorder="1" applyAlignment="1" applyProtection="1">
      <alignment horizontal="center"/>
      <protection locked="0"/>
    </xf>
    <xf numFmtId="49" fontId="0" fillId="0" borderId="30" xfId="0" applyNumberFormat="1" applyBorder="1" applyAlignment="1" applyProtection="1">
      <alignment horizontal="center"/>
      <protection locked="0"/>
    </xf>
    <xf numFmtId="170" fontId="91" fillId="0" borderId="0" xfId="0" applyFont="1" applyBorder="1" applyAlignment="1" applyProtection="1">
      <alignment horizontal="right"/>
    </xf>
    <xf numFmtId="170" fontId="91" fillId="0" borderId="138" xfId="0" applyFont="1" applyBorder="1" applyAlignment="1" applyProtection="1">
      <alignment horizontal="right"/>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6" fillId="0" borderId="130" xfId="0" applyFont="1" applyFill="1" applyBorder="1" applyAlignment="1" applyProtection="1">
      <alignment horizontal="center" vertical="center"/>
    </xf>
    <xf numFmtId="170" fontId="56" fillId="0" borderId="131" xfId="0" applyFont="1" applyFill="1" applyBorder="1" applyAlignment="1" applyProtection="1">
      <alignment horizontal="center" vertical="center"/>
    </xf>
    <xf numFmtId="170" fontId="56" fillId="0" borderId="132" xfId="0" applyFont="1" applyFill="1" applyBorder="1" applyAlignment="1" applyProtection="1">
      <alignment horizontal="center" vertical="center"/>
    </xf>
    <xf numFmtId="170" fontId="0" fillId="0" borderId="135" xfId="0" applyFill="1" applyBorder="1" applyAlignment="1" applyProtection="1">
      <alignment horizontal="center" vertical="center"/>
      <protection locked="0"/>
    </xf>
    <xf numFmtId="170" fontId="0" fillId="0" borderId="136" xfId="0" applyFill="1" applyBorder="1" applyAlignment="1" applyProtection="1">
      <alignment horizontal="center" vertical="center"/>
      <protection locked="0"/>
    </xf>
    <xf numFmtId="170" fontId="0" fillId="0" borderId="137" xfId="0" applyFill="1" applyBorder="1" applyAlignment="1" applyProtection="1">
      <alignment horizontal="center" vertical="center"/>
      <protection locked="0"/>
    </xf>
    <xf numFmtId="49" fontId="49" fillId="7" borderId="118" xfId="0" applyNumberFormat="1" applyFont="1" applyFill="1" applyBorder="1" applyAlignment="1" applyProtection="1">
      <alignment horizontal="center" vertical="center" wrapText="1"/>
      <protection locked="0"/>
    </xf>
    <xf numFmtId="49" fontId="49" fillId="7" borderId="119" xfId="0" applyNumberFormat="1" applyFont="1" applyFill="1" applyBorder="1" applyAlignment="1" applyProtection="1">
      <alignment horizontal="center" vertical="center" wrapText="1"/>
      <protection locked="0"/>
    </xf>
    <xf numFmtId="49" fontId="49" fillId="5" borderId="144" xfId="0" applyNumberFormat="1" applyFont="1" applyFill="1" applyBorder="1" applyAlignment="1" applyProtection="1">
      <alignment horizontal="left" vertical="center" wrapText="1"/>
      <protection locked="0"/>
    </xf>
    <xf numFmtId="49" fontId="49" fillId="5" borderId="111" xfId="0" applyNumberFormat="1" applyFont="1" applyFill="1" applyBorder="1" applyAlignment="1" applyProtection="1">
      <alignment horizontal="left" vertical="center" wrapText="1"/>
      <protection locked="0"/>
    </xf>
    <xf numFmtId="49" fontId="49" fillId="5" borderId="145" xfId="0" applyNumberFormat="1" applyFont="1" applyFill="1" applyBorder="1" applyAlignment="1" applyProtection="1">
      <alignment horizontal="left" vertical="center" wrapText="1"/>
      <protection locked="0"/>
    </xf>
    <xf numFmtId="49" fontId="49" fillId="5" borderId="74" xfId="0" applyNumberFormat="1" applyFont="1" applyFill="1" applyBorder="1" applyAlignment="1" applyProtection="1">
      <alignment horizontal="left" vertical="center" wrapText="1"/>
      <protection locked="0"/>
    </xf>
    <xf numFmtId="49" fontId="49" fillId="5" borderId="75" xfId="0" applyNumberFormat="1" applyFont="1" applyFill="1" applyBorder="1" applyAlignment="1" applyProtection="1">
      <alignment horizontal="left" vertical="center" wrapText="1"/>
      <protection locked="0"/>
    </xf>
    <xf numFmtId="49" fontId="49" fillId="5" borderId="79" xfId="0" applyNumberFormat="1" applyFont="1" applyFill="1" applyBorder="1" applyAlignment="1" applyProtection="1">
      <alignment horizontal="left" vertical="center" wrapText="1"/>
      <protection locked="0"/>
    </xf>
    <xf numFmtId="49" fontId="49" fillId="5" borderId="118" xfId="0" applyNumberFormat="1" applyFont="1" applyFill="1" applyBorder="1" applyAlignment="1" applyProtection="1">
      <alignment horizontal="center" vertical="center" wrapText="1"/>
      <protection locked="0"/>
    </xf>
    <xf numFmtId="49" fontId="49" fillId="5" borderId="119" xfId="0" applyNumberFormat="1" applyFont="1" applyFill="1" applyBorder="1" applyAlignment="1" applyProtection="1">
      <alignment horizontal="center" vertical="center" wrapText="1"/>
      <protection locked="0"/>
    </xf>
    <xf numFmtId="49" fontId="49" fillId="24" borderId="144" xfId="0" applyNumberFormat="1" applyFont="1" applyFill="1" applyBorder="1" applyAlignment="1" applyProtection="1">
      <alignment horizontal="left" vertical="center" wrapText="1"/>
      <protection locked="0"/>
    </xf>
    <xf numFmtId="49" fontId="49" fillId="24" borderId="111" xfId="0" applyNumberFormat="1" applyFont="1" applyFill="1" applyBorder="1" applyAlignment="1" applyProtection="1">
      <alignment horizontal="left" vertical="center" wrapText="1"/>
      <protection locked="0"/>
    </xf>
    <xf numFmtId="49" fontId="49" fillId="24" borderId="145" xfId="0" applyNumberFormat="1" applyFont="1" applyFill="1" applyBorder="1" applyAlignment="1" applyProtection="1">
      <alignment horizontal="left" vertical="center" wrapText="1"/>
      <protection locked="0"/>
    </xf>
    <xf numFmtId="49" fontId="49" fillId="24" borderId="74" xfId="0" applyNumberFormat="1" applyFont="1" applyFill="1" applyBorder="1" applyAlignment="1" applyProtection="1">
      <alignment horizontal="left" vertical="center" wrapText="1"/>
      <protection locked="0"/>
    </xf>
    <xf numFmtId="49" fontId="49" fillId="24" borderId="75" xfId="0" applyNumberFormat="1" applyFont="1" applyFill="1" applyBorder="1" applyAlignment="1" applyProtection="1">
      <alignment horizontal="left" vertical="center" wrapText="1"/>
      <protection locked="0"/>
    </xf>
    <xf numFmtId="49" fontId="49" fillId="24" borderId="79" xfId="0" applyNumberFormat="1" applyFont="1" applyFill="1" applyBorder="1" applyAlignment="1" applyProtection="1">
      <alignment horizontal="left" vertical="center" wrapText="1"/>
      <protection locked="0"/>
    </xf>
    <xf numFmtId="0" fontId="49" fillId="7" borderId="126" xfId="0" applyNumberFormat="1" applyFont="1" applyFill="1" applyBorder="1" applyAlignment="1" applyProtection="1">
      <alignment horizontal="center" vertical="center" wrapText="1"/>
      <protection locked="0"/>
    </xf>
    <xf numFmtId="49" fontId="7" fillId="0" borderId="16" xfId="0" applyNumberFormat="1" applyFont="1" applyBorder="1" applyAlignment="1" applyProtection="1">
      <alignment horizontal="center"/>
    </xf>
    <xf numFmtId="49" fontId="7" fillId="0" borderId="33" xfId="0" applyNumberFormat="1" applyFont="1" applyBorder="1" applyAlignment="1" applyProtection="1">
      <alignment horizontal="center"/>
    </xf>
    <xf numFmtId="170" fontId="0" fillId="0" borderId="139" xfId="0" applyBorder="1" applyAlignment="1" applyProtection="1">
      <alignment horizontal="center"/>
    </xf>
    <xf numFmtId="170" fontId="0" fillId="0" borderId="13" xfId="0" applyBorder="1" applyAlignment="1" applyProtection="1">
      <alignment horizontal="center"/>
    </xf>
    <xf numFmtId="170" fontId="62" fillId="0" borderId="140" xfId="0" applyFont="1" applyBorder="1" applyAlignment="1" applyProtection="1">
      <alignment horizontal="right"/>
    </xf>
    <xf numFmtId="170" fontId="99" fillId="0" borderId="140" xfId="0" applyFont="1" applyBorder="1" applyAlignment="1"/>
    <xf numFmtId="164" fontId="7" fillId="0" borderId="141" xfId="0" applyNumberFormat="1" applyFont="1" applyBorder="1" applyAlignment="1" applyProtection="1">
      <alignment horizontal="center"/>
    </xf>
    <xf numFmtId="170" fontId="7" fillId="0" borderId="142" xfId="0" applyFont="1" applyBorder="1" applyAlignment="1" applyProtection="1">
      <alignment horizontal="center"/>
    </xf>
    <xf numFmtId="170" fontId="7" fillId="0" borderId="143" xfId="0" applyFont="1" applyBorder="1" applyAlignment="1" applyProtection="1">
      <alignment horizontal="center"/>
    </xf>
    <xf numFmtId="170" fontId="19" fillId="0" borderId="146" xfId="0" applyFont="1" applyBorder="1" applyAlignment="1" applyProtection="1">
      <alignment horizontal="center" wrapText="1"/>
    </xf>
    <xf numFmtId="170" fontId="19" fillId="0" borderId="147" xfId="0" applyFont="1" applyBorder="1" applyAlignment="1" applyProtection="1">
      <alignment horizontal="center" wrapText="1"/>
    </xf>
    <xf numFmtId="170" fontId="19" fillId="0" borderId="148" xfId="0" applyFont="1" applyBorder="1" applyAlignment="1" applyProtection="1">
      <alignment horizontal="center" wrapText="1"/>
    </xf>
    <xf numFmtId="170" fontId="0" fillId="5" borderId="29" xfId="0" applyFill="1" applyBorder="1" applyAlignment="1" applyProtection="1">
      <alignment horizontal="center"/>
    </xf>
    <xf numFmtId="170" fontId="0" fillId="5" borderId="31" xfId="0" applyFill="1" applyBorder="1" applyAlignment="1" applyProtection="1">
      <alignment horizontal="center"/>
    </xf>
    <xf numFmtId="164" fontId="8" fillId="20"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170" fontId="49" fillId="11" borderId="31" xfId="0" applyFont="1" applyFill="1" applyBorder="1" applyAlignment="1" applyProtection="1">
      <alignment horizontal="center" vertical="center" wrapText="1"/>
    </xf>
    <xf numFmtId="0" fontId="49" fillId="0" borderId="126" xfId="0" applyNumberFormat="1" applyFont="1" applyFill="1" applyBorder="1" applyAlignment="1" applyProtection="1">
      <alignment horizontal="center" vertical="center" wrapText="1"/>
    </xf>
    <xf numFmtId="0" fontId="49" fillId="0" borderId="133" xfId="0" applyNumberFormat="1" applyFont="1" applyFill="1" applyBorder="1" applyAlignment="1" applyProtection="1">
      <alignment horizontal="center" vertical="center" wrapText="1"/>
    </xf>
    <xf numFmtId="170" fontId="49" fillId="0" borderId="31" xfId="0" applyFont="1" applyFill="1" applyBorder="1" applyAlignment="1" applyProtection="1">
      <alignment horizontal="center" vertical="center" wrapText="1"/>
    </xf>
    <xf numFmtId="170" fontId="49" fillId="0" borderId="134" xfId="0" applyFont="1" applyFill="1" applyBorder="1" applyAlignment="1" applyProtection="1">
      <alignment horizontal="center" vertical="center" wrapText="1"/>
    </xf>
    <xf numFmtId="170" fontId="49" fillId="0" borderId="74" xfId="0" applyFont="1" applyFill="1" applyBorder="1" applyAlignment="1" applyProtection="1">
      <alignment horizontal="left" vertical="center" wrapText="1"/>
    </xf>
    <xf numFmtId="170" fontId="49" fillId="0" borderId="75" xfId="0" applyFont="1" applyFill="1" applyBorder="1" applyAlignment="1" applyProtection="1">
      <alignment horizontal="left" vertical="center" wrapText="1"/>
    </xf>
    <xf numFmtId="170" fontId="49" fillId="0" borderId="79" xfId="0" applyFont="1" applyFill="1" applyBorder="1" applyAlignment="1" applyProtection="1">
      <alignment horizontal="left" vertical="center" wrapText="1"/>
    </xf>
    <xf numFmtId="170" fontId="49" fillId="0" borderId="123" xfId="0" applyFont="1" applyFill="1" applyBorder="1" applyAlignment="1" applyProtection="1">
      <alignment horizontal="left" vertical="center" wrapText="1"/>
    </xf>
    <xf numFmtId="170" fontId="49" fillId="0" borderId="124" xfId="0" applyFont="1" applyFill="1" applyBorder="1" applyAlignment="1" applyProtection="1">
      <alignment horizontal="left" vertical="center" wrapText="1"/>
    </xf>
    <xf numFmtId="170" fontId="49" fillId="0" borderId="125" xfId="0" applyFont="1" applyFill="1" applyBorder="1" applyAlignment="1" applyProtection="1">
      <alignment horizontal="left" vertical="center" wrapText="1"/>
    </xf>
    <xf numFmtId="0" fontId="49" fillId="11" borderId="126" xfId="0" applyNumberFormat="1" applyFont="1" applyFill="1" applyBorder="1" applyAlignment="1" applyProtection="1">
      <alignment horizontal="center" vertical="center" wrapText="1"/>
    </xf>
    <xf numFmtId="170" fontId="49" fillId="11" borderId="127" xfId="0" applyFont="1" applyFill="1" applyBorder="1" applyAlignment="1" applyProtection="1">
      <alignment horizontal="left" vertical="center" wrapText="1"/>
    </xf>
    <xf numFmtId="170" fontId="49" fillId="11" borderId="30" xfId="0" applyFont="1" applyFill="1" applyBorder="1" applyAlignment="1" applyProtection="1">
      <alignment horizontal="left" vertical="center" wrapText="1"/>
    </xf>
    <xf numFmtId="170" fontId="49" fillId="11" borderId="128" xfId="0" applyFont="1" applyFill="1" applyBorder="1" applyAlignment="1" applyProtection="1">
      <alignment horizontal="left" vertical="center" wrapText="1"/>
    </xf>
    <xf numFmtId="49" fontId="49" fillId="19" borderId="129" xfId="0" applyNumberFormat="1" applyFont="1" applyFill="1" applyBorder="1" applyAlignment="1" applyProtection="1">
      <alignment horizontal="left" vertical="center" wrapText="1"/>
      <protection locked="0"/>
    </xf>
    <xf numFmtId="49" fontId="107" fillId="19" borderId="2" xfId="0" applyNumberFormat="1" applyFont="1" applyFill="1" applyBorder="1" applyAlignment="1" applyProtection="1">
      <alignment horizontal="left" vertical="center" wrapText="1"/>
      <protection locked="0"/>
    </xf>
    <xf numFmtId="49" fontId="107" fillId="19" borderId="29" xfId="0" applyNumberFormat="1" applyFont="1" applyFill="1" applyBorder="1" applyAlignment="1" applyProtection="1">
      <alignment horizontal="left" vertical="center" wrapText="1"/>
      <protection locked="0"/>
    </xf>
    <xf numFmtId="49" fontId="107" fillId="19" borderId="129" xfId="0" applyNumberFormat="1" applyFont="1" applyFill="1" applyBorder="1" applyAlignment="1" applyProtection="1">
      <alignment horizontal="left" vertical="center" wrapText="1"/>
      <protection locked="0"/>
    </xf>
    <xf numFmtId="49" fontId="107" fillId="7" borderId="20" xfId="0" applyNumberFormat="1" applyFont="1" applyFill="1" applyBorder="1" applyAlignment="1" applyProtection="1">
      <alignment horizontal="left" vertical="center" wrapText="1"/>
      <protection locked="0"/>
    </xf>
    <xf numFmtId="0" fontId="107" fillId="5" borderId="126" xfId="0" applyNumberFormat="1" applyFont="1" applyFill="1" applyBorder="1" applyAlignment="1" applyProtection="1">
      <alignment horizontal="center" vertical="center" wrapText="1"/>
      <protection locked="0"/>
    </xf>
    <xf numFmtId="49" fontId="49" fillId="19" borderId="2" xfId="0" applyNumberFormat="1" applyFont="1" applyFill="1" applyBorder="1" applyAlignment="1" applyProtection="1">
      <alignment horizontal="left" vertical="center" wrapText="1"/>
      <protection locked="0"/>
    </xf>
    <xf numFmtId="49" fontId="49" fillId="19" borderId="29" xfId="0" applyNumberFormat="1" applyFont="1" applyFill="1" applyBorder="1" applyAlignment="1" applyProtection="1">
      <alignment horizontal="left" vertical="center" wrapText="1"/>
      <protection locked="0"/>
    </xf>
    <xf numFmtId="170" fontId="49" fillId="0" borderId="130" xfId="0" applyFont="1" applyFill="1" applyBorder="1" applyAlignment="1" applyProtection="1">
      <alignment horizontal="left" vertical="center" wrapText="1"/>
    </xf>
    <xf numFmtId="170" fontId="49" fillId="0" borderId="131" xfId="0" applyFont="1" applyFill="1" applyBorder="1" applyAlignment="1" applyProtection="1">
      <alignment horizontal="left" vertical="center" wrapText="1"/>
    </xf>
    <xf numFmtId="170" fontId="49" fillId="0" borderId="132" xfId="0" applyFont="1" applyFill="1" applyBorder="1" applyAlignment="1" applyProtection="1">
      <alignment horizontal="left" vertical="center" wrapText="1"/>
    </xf>
    <xf numFmtId="170" fontId="49" fillId="0" borderId="127" xfId="0" applyFont="1" applyFill="1" applyBorder="1" applyAlignment="1" applyProtection="1">
      <alignment horizontal="left" vertical="center" wrapText="1"/>
    </xf>
    <xf numFmtId="170" fontId="49" fillId="0" borderId="30" xfId="0" applyFont="1" applyFill="1" applyBorder="1" applyAlignment="1" applyProtection="1">
      <alignment horizontal="left" vertical="center" wrapText="1"/>
    </xf>
    <xf numFmtId="170" fontId="49" fillId="0" borderId="128" xfId="0" applyFont="1" applyFill="1" applyBorder="1" applyAlignment="1" applyProtection="1">
      <alignment horizontal="left" vertical="center" wrapText="1"/>
    </xf>
    <xf numFmtId="170" fontId="49" fillId="5" borderId="126" xfId="0" applyNumberFormat="1" applyFont="1" applyFill="1" applyBorder="1" applyAlignment="1" applyProtection="1">
      <alignment horizontal="center" vertical="center" wrapText="1"/>
      <protection locked="0"/>
    </xf>
    <xf numFmtId="49" fontId="49" fillId="7" borderId="2" xfId="0" applyNumberFormat="1" applyFont="1" applyFill="1" applyBorder="1" applyAlignment="1" applyProtection="1">
      <alignment horizontal="left" vertical="center" wrapText="1"/>
      <protection locked="0"/>
    </xf>
    <xf numFmtId="49" fontId="49" fillId="7" borderId="29" xfId="0" applyNumberFormat="1" applyFont="1" applyFill="1" applyBorder="1" applyAlignment="1" applyProtection="1">
      <alignment horizontal="left" vertical="center" wrapText="1"/>
      <protection locked="0"/>
    </xf>
    <xf numFmtId="49" fontId="49" fillId="7" borderId="150" xfId="0" applyNumberFormat="1" applyFont="1" applyFill="1" applyBorder="1" applyAlignment="1" applyProtection="1">
      <alignment horizontal="left" vertical="center" wrapText="1"/>
      <protection locked="0"/>
    </xf>
    <xf numFmtId="49" fontId="49" fillId="7" borderId="80" xfId="0" applyNumberFormat="1" applyFont="1" applyFill="1" applyBorder="1" applyAlignment="1" applyProtection="1">
      <alignment horizontal="left" vertical="center" wrapText="1"/>
      <protection locked="0"/>
    </xf>
    <xf numFmtId="49" fontId="49" fillId="7" borderId="151" xfId="0" applyNumberFormat="1" applyFont="1" applyFill="1" applyBorder="1" applyAlignment="1" applyProtection="1">
      <alignment horizontal="left" vertical="center" wrapText="1"/>
      <protection locked="0"/>
    </xf>
    <xf numFmtId="170" fontId="49" fillId="7" borderId="126" xfId="0" applyNumberFormat="1" applyFont="1" applyFill="1" applyBorder="1" applyAlignment="1" applyProtection="1">
      <alignment horizontal="center" vertical="center" wrapText="1"/>
      <protection locked="0"/>
    </xf>
    <xf numFmtId="170" fontId="49" fillId="7" borderId="133" xfId="0" applyNumberFormat="1" applyFont="1" applyFill="1" applyBorder="1" applyAlignment="1" applyProtection="1">
      <alignment horizontal="center" vertical="center" wrapText="1"/>
      <protection locked="0"/>
    </xf>
    <xf numFmtId="10" fontId="26" fillId="0" borderId="115" xfId="19" applyNumberFormat="1" applyFont="1" applyFill="1" applyBorder="1" applyAlignment="1" applyProtection="1">
      <alignment horizontal="center" vertical="center"/>
    </xf>
    <xf numFmtId="10" fontId="26" fillId="0" borderId="116" xfId="19" applyNumberFormat="1" applyFont="1" applyFill="1" applyBorder="1" applyAlignment="1" applyProtection="1">
      <alignment horizontal="center" vertical="center"/>
    </xf>
    <xf numFmtId="10" fontId="26" fillId="0" borderId="117" xfId="19" applyNumberFormat="1" applyFont="1" applyFill="1" applyBorder="1" applyAlignment="1" applyProtection="1">
      <alignment horizontal="center" vertical="center"/>
    </xf>
    <xf numFmtId="0" fontId="49" fillId="5" borderId="76" xfId="0" applyNumberFormat="1" applyFont="1" applyFill="1" applyBorder="1" applyAlignment="1" applyProtection="1">
      <alignment horizontal="center" vertical="center" wrapText="1"/>
      <protection locked="0"/>
    </xf>
    <xf numFmtId="49" fontId="49" fillId="24" borderId="118" xfId="0" applyNumberFormat="1" applyFont="1" applyFill="1" applyBorder="1" applyAlignment="1" applyProtection="1">
      <alignment horizontal="center" vertical="center" wrapText="1"/>
      <protection locked="0"/>
    </xf>
    <xf numFmtId="49" fontId="49" fillId="24" borderId="119" xfId="0" applyNumberFormat="1" applyFont="1" applyFill="1" applyBorder="1" applyAlignment="1" applyProtection="1">
      <alignment horizontal="center" vertical="center" wrapText="1"/>
      <protection locked="0"/>
    </xf>
    <xf numFmtId="0" fontId="49" fillId="24" borderId="89" xfId="0" applyNumberFormat="1" applyFont="1" applyFill="1" applyBorder="1" applyAlignment="1" applyProtection="1">
      <alignment horizontal="center" vertical="center" wrapText="1"/>
      <protection locked="0"/>
    </xf>
    <xf numFmtId="0" fontId="107" fillId="24" borderId="76" xfId="0" applyNumberFormat="1" applyFont="1" applyFill="1" applyBorder="1" applyAlignment="1" applyProtection="1">
      <alignment horizontal="center" vertical="center" wrapText="1"/>
      <protection locked="0"/>
    </xf>
    <xf numFmtId="170" fontId="0" fillId="18" borderId="120" xfId="0" applyFill="1" applyBorder="1" applyAlignment="1" applyProtection="1">
      <alignment horizontal="center"/>
    </xf>
    <xf numFmtId="170" fontId="0" fillId="18" borderId="121" xfId="0" applyFill="1" applyBorder="1" applyAlignment="1" applyProtection="1">
      <alignment horizontal="center"/>
    </xf>
    <xf numFmtId="170" fontId="0" fillId="18" borderId="122" xfId="0" applyFill="1" applyBorder="1" applyAlignment="1" applyProtection="1">
      <alignment horizontal="center"/>
    </xf>
    <xf numFmtId="164" fontId="119" fillId="17" borderId="0" xfId="4" applyFont="1" applyFill="1" applyAlignment="1" applyProtection="1">
      <alignment horizontal="center" vertical="center"/>
    </xf>
    <xf numFmtId="164" fontId="17" fillId="6" borderId="26" xfId="20" applyFont="1" applyFill="1" applyBorder="1" applyAlignment="1" applyProtection="1">
      <alignment horizontal="center"/>
    </xf>
    <xf numFmtId="164" fontId="26" fillId="6" borderId="0" xfId="15" applyFont="1" applyFill="1" applyAlignment="1" applyProtection="1">
      <alignment horizontal="center" vertical="center" wrapText="1"/>
    </xf>
    <xf numFmtId="173" fontId="17" fillId="6" borderId="26" xfId="20" applyNumberFormat="1" applyFont="1" applyFill="1" applyBorder="1" applyAlignment="1" applyProtection="1">
      <alignment horizontal="center" vertical="center"/>
    </xf>
    <xf numFmtId="164" fontId="1" fillId="0" borderId="26" xfId="20" applyFont="1" applyBorder="1" applyAlignment="1" applyProtection="1">
      <alignment horizontal="right"/>
    </xf>
    <xf numFmtId="164" fontId="1" fillId="0" borderId="26" xfId="20" applyFont="1" applyFill="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93" fillId="16" borderId="26" xfId="20" applyFont="1" applyFill="1" applyBorder="1" applyAlignment="1" applyProtection="1">
      <alignment horizontal="center"/>
    </xf>
    <xf numFmtId="164" fontId="1" fillId="0" borderId="26" xfId="20" applyFont="1" applyFill="1" applyBorder="1" applyAlignment="1" applyProtection="1">
      <alignment horizontal="right" wrapText="1"/>
    </xf>
    <xf numFmtId="171" fontId="17" fillId="6" borderId="26" xfId="20" applyNumberFormat="1" applyFont="1" applyFill="1" applyBorder="1" applyAlignment="1" applyProtection="1">
      <alignment horizontal="center"/>
    </xf>
    <xf numFmtId="171" fontId="0" fillId="0" borderId="26" xfId="0" applyNumberFormat="1" applyBorder="1" applyAlignment="1"/>
    <xf numFmtId="164" fontId="28" fillId="0" borderId="0" xfId="0" applyNumberFormat="1" applyFont="1" applyFill="1" applyAlignment="1">
      <alignment wrapText="1"/>
    </xf>
    <xf numFmtId="170" fontId="0" fillId="0" borderId="0" xfId="0" applyFill="1" applyAlignment="1">
      <alignment wrapText="1"/>
    </xf>
    <xf numFmtId="164" fontId="28" fillId="0" borderId="0" xfId="0" applyNumberFormat="1" applyFont="1" applyAlignment="1">
      <alignment wrapText="1"/>
    </xf>
    <xf numFmtId="170" fontId="0" fillId="0" borderId="0" xfId="0" applyAlignment="1">
      <alignment wrapText="1"/>
    </xf>
    <xf numFmtId="170" fontId="63" fillId="0" borderId="0" xfId="0" applyFont="1" applyAlignment="1">
      <alignment horizontal="left" wrapText="1"/>
    </xf>
    <xf numFmtId="170" fontId="0" fillId="0" borderId="135" xfId="0" applyFill="1" applyBorder="1" applyAlignment="1" applyProtection="1">
      <alignment horizontal="center" vertical="center"/>
    </xf>
    <xf numFmtId="170" fontId="0" fillId="0" borderId="136" xfId="0" applyFill="1" applyBorder="1" applyAlignment="1" applyProtection="1">
      <alignment horizontal="center" vertical="center"/>
    </xf>
    <xf numFmtId="170" fontId="0" fillId="0" borderId="137" xfId="0" applyFill="1" applyBorder="1" applyAlignment="1" applyProtection="1">
      <alignment horizontal="center" vertical="center"/>
    </xf>
    <xf numFmtId="164" fontId="7" fillId="0" borderId="0" xfId="0" applyNumberFormat="1" applyFont="1" applyAlignment="1">
      <alignment horizontal="center"/>
    </xf>
    <xf numFmtId="170" fontId="7" fillId="0" borderId="0" xfId="0" applyFont="1" applyBorder="1" applyAlignment="1">
      <alignment horizontal="center"/>
    </xf>
    <xf numFmtId="164" fontId="45" fillId="17" borderId="0" xfId="13" applyFont="1" applyFill="1" applyAlignment="1">
      <alignment horizontal="center" vertical="center"/>
    </xf>
    <xf numFmtId="164" fontId="8" fillId="16" borderId="0" xfId="20" applyFont="1" applyFill="1" applyBorder="1" applyAlignment="1" applyProtection="1">
      <alignment horizontal="center"/>
    </xf>
    <xf numFmtId="170" fontId="88" fillId="0" borderId="0" xfId="0"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70" fontId="0" fillId="0" borderId="152" xfId="0" applyBorder="1" applyAlignment="1" applyProtection="1">
      <alignment horizontal="center"/>
    </xf>
    <xf numFmtId="170" fontId="0" fillId="0" borderId="44" xfId="0" applyBorder="1" applyAlignment="1" applyProtection="1">
      <alignment horizontal="center"/>
    </xf>
    <xf numFmtId="170" fontId="94" fillId="0" borderId="153" xfId="0" applyFont="1" applyFill="1" applyBorder="1" applyAlignment="1" applyProtection="1">
      <alignment horizontal="left" wrapText="1"/>
    </xf>
    <xf numFmtId="170" fontId="94" fillId="0" borderId="154" xfId="0" applyFont="1" applyFill="1" applyBorder="1" applyAlignment="1" applyProtection="1">
      <alignment horizontal="left" wrapText="1"/>
    </xf>
    <xf numFmtId="164" fontId="30" fillId="0" borderId="0" xfId="0" applyNumberFormat="1" applyFont="1" applyAlignment="1" applyProtection="1">
      <alignment wrapText="1"/>
    </xf>
    <xf numFmtId="170" fontId="88" fillId="0" borderId="0" xfId="0" applyFont="1" applyAlignment="1" applyProtection="1">
      <alignment horizontal="center"/>
    </xf>
    <xf numFmtId="170" fontId="94" fillId="0" borderId="155" xfId="0" applyFont="1" applyFill="1" applyBorder="1" applyAlignment="1" applyProtection="1">
      <alignment horizontal="left" wrapText="1"/>
    </xf>
    <xf numFmtId="170" fontId="94" fillId="0" borderId="70" xfId="0" applyFont="1" applyFill="1" applyBorder="1" applyAlignment="1" applyProtection="1">
      <alignment horizontal="left" wrapText="1"/>
    </xf>
    <xf numFmtId="164" fontId="30" fillId="0" borderId="0" xfId="0" applyNumberFormat="1" applyFont="1" applyBorder="1" applyAlignment="1" applyProtection="1">
      <alignment wrapText="1"/>
    </xf>
    <xf numFmtId="164" fontId="87" fillId="0" borderId="120" xfId="0" applyNumberFormat="1" applyFont="1" applyBorder="1" applyAlignment="1" applyProtection="1">
      <alignment horizontal="center" vertical="center" wrapText="1"/>
    </xf>
    <xf numFmtId="164" fontId="87" fillId="0" borderId="121" xfId="0" applyNumberFormat="1" applyFont="1" applyBorder="1" applyAlignment="1" applyProtection="1">
      <alignment horizontal="center" vertical="center" wrapText="1"/>
    </xf>
    <xf numFmtId="164" fontId="87" fillId="0" borderId="122" xfId="0" applyNumberFormat="1" applyFont="1" applyBorder="1" applyAlignment="1" applyProtection="1">
      <alignment horizontal="center" vertical="center" wrapText="1"/>
    </xf>
    <xf numFmtId="164" fontId="120" fillId="17" borderId="0" xfId="4" applyFont="1" applyFill="1" applyAlignment="1" applyProtection="1">
      <alignment horizontal="center" vertical="center"/>
    </xf>
    <xf numFmtId="164" fontId="7" fillId="0" borderId="0" xfId="0" applyNumberFormat="1" applyFont="1" applyAlignment="1" applyProtection="1">
      <alignment horizontal="center" wrapText="1"/>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64" fontId="21" fillId="0" borderId="0" xfId="0" applyNumberFormat="1" applyFont="1" applyAlignment="1" applyProtection="1">
      <alignment horizontal="left"/>
    </xf>
    <xf numFmtId="170" fontId="27" fillId="0" borderId="111" xfId="0" applyFont="1" applyBorder="1" applyAlignment="1" applyProtection="1">
      <alignment horizontal="center" vertical="center" wrapText="1"/>
    </xf>
    <xf numFmtId="164" fontId="21" fillId="0" borderId="0" xfId="0" applyNumberFormat="1" applyFont="1" applyAlignment="1" applyProtection="1">
      <alignment horizontal="right" wrapText="1"/>
    </xf>
    <xf numFmtId="170" fontId="27" fillId="3" borderId="111" xfId="0" applyFont="1" applyFill="1" applyBorder="1" applyAlignment="1" applyProtection="1">
      <alignment horizontal="left"/>
    </xf>
    <xf numFmtId="170" fontId="27" fillId="3" borderId="111" xfId="0" applyFont="1" applyFill="1" applyBorder="1" applyAlignment="1" applyProtection="1">
      <alignment horizontal="left" vertical="center" wrapText="1"/>
    </xf>
    <xf numFmtId="170" fontId="21" fillId="0" borderId="29" xfId="0" applyFont="1" applyBorder="1" applyAlignment="1" applyProtection="1">
      <alignment horizontal="justify" vertical="center" wrapText="1"/>
    </xf>
    <xf numFmtId="170" fontId="21" fillId="0" borderId="30" xfId="0" applyFont="1" applyBorder="1" applyAlignment="1" applyProtection="1">
      <alignment horizontal="justify" vertical="center" wrapText="1"/>
    </xf>
    <xf numFmtId="170" fontId="21" fillId="0" borderId="31" xfId="0" applyFont="1" applyBorder="1" applyAlignment="1" applyProtection="1">
      <alignment horizontal="justify" vertical="center" wrapText="1"/>
    </xf>
    <xf numFmtId="170" fontId="27" fillId="0" borderId="2" xfId="0" applyFont="1" applyBorder="1" applyAlignment="1" applyProtection="1">
      <alignment vertical="center" wrapText="1"/>
    </xf>
    <xf numFmtId="176" fontId="21" fillId="0" borderId="29" xfId="19" applyNumberFormat="1" applyFont="1" applyBorder="1" applyAlignment="1" applyProtection="1">
      <alignment horizontal="center" vertical="center" wrapText="1"/>
    </xf>
    <xf numFmtId="176" fontId="21" fillId="0" borderId="30" xfId="19" applyNumberFormat="1" applyFont="1" applyBorder="1" applyAlignment="1" applyProtection="1">
      <alignment horizontal="center" vertical="center" wrapText="1"/>
    </xf>
    <xf numFmtId="176" fontId="21" fillId="0" borderId="31" xfId="19" applyNumberFormat="1" applyFont="1" applyBorder="1" applyAlignment="1" applyProtection="1">
      <alignment horizontal="center" vertical="center" wrapText="1"/>
    </xf>
    <xf numFmtId="170" fontId="21" fillId="0" borderId="2" xfId="0" applyFont="1" applyBorder="1" applyAlignment="1" applyProtection="1">
      <alignment horizontal="justify" vertical="center" wrapText="1"/>
    </xf>
    <xf numFmtId="170" fontId="27" fillId="3" borderId="156" xfId="0" applyFont="1" applyFill="1" applyBorder="1" applyAlignment="1" applyProtection="1">
      <alignment horizontal="left"/>
      <protection locked="0"/>
    </xf>
    <xf numFmtId="170" fontId="27" fillId="3" borderId="0" xfId="0" applyFont="1" applyFill="1" applyBorder="1" applyAlignment="1" applyProtection="1">
      <alignment horizontal="left"/>
      <protection locked="0"/>
    </xf>
    <xf numFmtId="9" fontId="23" fillId="5" borderId="29" xfId="19" applyFont="1" applyFill="1" applyBorder="1" applyAlignment="1" applyProtection="1">
      <alignment horizontal="left" vertical="center" wrapText="1"/>
      <protection locked="0"/>
    </xf>
    <xf numFmtId="9" fontId="23" fillId="5" borderId="30" xfId="19" applyFont="1" applyFill="1" applyBorder="1" applyAlignment="1" applyProtection="1">
      <alignment horizontal="left" vertical="center" wrapText="1"/>
      <protection locked="0"/>
    </xf>
    <xf numFmtId="9" fontId="23" fillId="5" borderId="31" xfId="19" applyFont="1" applyFill="1" applyBorder="1" applyAlignment="1" applyProtection="1">
      <alignment horizontal="left" vertical="center" wrapText="1"/>
      <protection locked="0"/>
    </xf>
    <xf numFmtId="170" fontId="23" fillId="3" borderId="0" xfId="0" applyFont="1" applyFill="1" applyBorder="1" applyAlignment="1" applyProtection="1">
      <alignment horizontal="left"/>
    </xf>
    <xf numFmtId="170" fontId="26" fillId="0" borderId="75" xfId="0" applyFont="1" applyBorder="1" applyAlignment="1" applyProtection="1">
      <alignment horizontal="center"/>
    </xf>
    <xf numFmtId="170" fontId="27" fillId="0" borderId="2" xfId="0" applyFont="1" applyBorder="1" applyAlignment="1" applyProtection="1">
      <alignment horizontal="center" vertical="center" wrapText="1"/>
    </xf>
    <xf numFmtId="170" fontId="27" fillId="3" borderId="0" xfId="0" applyFont="1" applyFill="1" applyAlignment="1" applyProtection="1">
      <alignment horizontal="center" vertical="center" wrapText="1"/>
    </xf>
    <xf numFmtId="170" fontId="27" fillId="3" borderId="0" xfId="0" applyFont="1" applyFill="1" applyAlignment="1" applyProtection="1">
      <alignment horizontal="left"/>
      <protection locked="0"/>
    </xf>
    <xf numFmtId="170" fontId="27" fillId="3" borderId="27" xfId="0" applyFont="1" applyFill="1" applyBorder="1" applyAlignment="1" applyProtection="1">
      <alignment horizontal="left"/>
      <protection locked="0"/>
    </xf>
    <xf numFmtId="9" fontId="21" fillId="0" borderId="29" xfId="19" applyFont="1" applyBorder="1" applyAlignment="1" applyProtection="1">
      <alignment horizontal="center" vertical="center" wrapText="1"/>
    </xf>
    <xf numFmtId="9" fontId="21" fillId="0" borderId="30" xfId="19" applyFont="1" applyBorder="1" applyAlignment="1" applyProtection="1">
      <alignment horizontal="center" vertical="center" wrapText="1"/>
    </xf>
    <xf numFmtId="9" fontId="21" fillId="0" borderId="31" xfId="19" applyFont="1" applyBorder="1" applyAlignment="1" applyProtection="1">
      <alignment horizontal="center" vertical="center" wrapText="1"/>
    </xf>
    <xf numFmtId="170" fontId="27" fillId="0" borderId="29" xfId="0" applyFont="1" applyBorder="1" applyAlignment="1" applyProtection="1">
      <alignment horizontal="center" vertical="center"/>
    </xf>
    <xf numFmtId="170" fontId="27" fillId="0" borderId="30" xfId="0" applyFont="1" applyBorder="1" applyAlignment="1" applyProtection="1">
      <alignment horizontal="center" vertical="center"/>
    </xf>
    <xf numFmtId="170" fontId="27" fillId="0" borderId="31" xfId="0" applyFont="1" applyBorder="1" applyAlignment="1" applyProtection="1">
      <alignment horizontal="center" vertical="center"/>
    </xf>
    <xf numFmtId="9" fontId="30" fillId="18" borderId="29" xfId="19" applyFont="1" applyFill="1" applyBorder="1" applyAlignment="1" applyProtection="1">
      <alignment horizontal="center" vertical="center" wrapText="1"/>
    </xf>
    <xf numFmtId="9" fontId="30" fillId="18" borderId="31" xfId="19" applyFont="1" applyFill="1" applyBorder="1" applyAlignment="1" applyProtection="1">
      <alignment horizontal="center" vertical="center" wrapText="1"/>
    </xf>
    <xf numFmtId="9" fontId="30" fillId="21" borderId="29" xfId="19" applyFont="1" applyFill="1" applyBorder="1" applyAlignment="1" applyProtection="1">
      <alignment horizontal="center" vertical="center" wrapText="1"/>
    </xf>
    <xf numFmtId="9" fontId="30" fillId="21" borderId="31" xfId="19" applyFont="1" applyFill="1" applyBorder="1" applyAlignment="1" applyProtection="1">
      <alignment horizontal="center" vertical="center" wrapText="1"/>
    </xf>
    <xf numFmtId="164" fontId="45" fillId="17" borderId="0" xfId="13" applyFont="1" applyFill="1" applyAlignment="1" applyProtection="1">
      <alignment horizontal="center" vertical="center"/>
    </xf>
    <xf numFmtId="174" fontId="27" fillId="0" borderId="111" xfId="0" applyNumberFormat="1" applyFont="1" applyBorder="1" applyAlignment="1" applyProtection="1">
      <alignment horizontal="center" vertical="center" wrapText="1"/>
    </xf>
    <xf numFmtId="164" fontId="88"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6" borderId="0" xfId="21" applyFont="1" applyFill="1" applyBorder="1" applyAlignment="1" applyProtection="1">
      <alignment horizontal="center"/>
    </xf>
    <xf numFmtId="170" fontId="2" fillId="5" borderId="236" xfId="0" applyFont="1" applyFill="1" applyBorder="1" applyAlignment="1" applyProtection="1">
      <alignment horizontal="justify" vertical="top" wrapText="1"/>
      <protection locked="0"/>
    </xf>
    <xf numFmtId="170" fontId="113" fillId="0" borderId="237" xfId="0" applyFont="1" applyBorder="1" applyAlignment="1">
      <alignment horizontal="justify" vertical="top" wrapText="1"/>
    </xf>
    <xf numFmtId="170" fontId="113" fillId="0" borderId="238" xfId="0" applyFont="1" applyBorder="1" applyAlignment="1">
      <alignment horizontal="justify" vertical="top" wrapText="1"/>
    </xf>
    <xf numFmtId="9" fontId="2" fillId="0" borderId="193" xfId="19" applyNumberFormat="1" applyFont="1" applyFill="1" applyBorder="1" applyAlignment="1" applyProtection="1">
      <alignment horizontal="justify" vertical="center" wrapText="1"/>
    </xf>
    <xf numFmtId="170" fontId="2" fillId="0" borderId="178" xfId="19" applyNumberFormat="1" applyFont="1" applyFill="1" applyBorder="1" applyAlignment="1" applyProtection="1">
      <alignment horizontal="justify" vertical="center" wrapText="1"/>
    </xf>
    <xf numFmtId="170" fontId="2" fillId="0" borderId="194" xfId="19" applyNumberFormat="1" applyFont="1" applyFill="1" applyBorder="1" applyAlignment="1" applyProtection="1">
      <alignment horizontal="justify" vertical="center" wrapText="1"/>
    </xf>
    <xf numFmtId="170" fontId="44" fillId="5" borderId="195" xfId="0" applyFont="1" applyFill="1" applyBorder="1" applyAlignment="1" applyProtection="1">
      <alignment horizontal="center" vertical="center"/>
    </xf>
    <xf numFmtId="170" fontId="44" fillId="5" borderId="196" xfId="0" applyFont="1" applyFill="1" applyBorder="1" applyAlignment="1" applyProtection="1">
      <alignment horizontal="center" vertical="center"/>
    </xf>
    <xf numFmtId="170" fontId="44" fillId="5" borderId="197" xfId="0" applyFont="1" applyFill="1" applyBorder="1" applyAlignment="1" applyProtection="1">
      <alignment horizontal="center" vertical="center"/>
    </xf>
    <xf numFmtId="170" fontId="2" fillId="0" borderId="198" xfId="0" applyNumberFormat="1" applyFont="1" applyFill="1" applyBorder="1" applyAlignment="1" applyProtection="1">
      <alignment horizontal="justify" vertical="center" wrapText="1"/>
    </xf>
    <xf numFmtId="170" fontId="2" fillId="0" borderId="199" xfId="0" applyNumberFormat="1" applyFont="1" applyFill="1" applyBorder="1" applyAlignment="1" applyProtection="1">
      <alignment horizontal="justify" vertical="center" wrapText="1"/>
    </xf>
    <xf numFmtId="170" fontId="2" fillId="0" borderId="200" xfId="0" applyNumberFormat="1" applyFont="1" applyFill="1" applyBorder="1" applyAlignment="1" applyProtection="1">
      <alignment horizontal="justify" vertical="center" wrapText="1"/>
    </xf>
    <xf numFmtId="170" fontId="2" fillId="5" borderId="159" xfId="0" applyFont="1" applyFill="1" applyBorder="1" applyAlignment="1" applyProtection="1">
      <alignment horizontal="justify" vertical="top" wrapText="1"/>
      <protection locked="0"/>
    </xf>
    <xf numFmtId="170" fontId="113" fillId="0" borderId="82" xfId="0" applyFont="1" applyBorder="1" applyAlignment="1">
      <alignment horizontal="justify" vertical="top" wrapText="1"/>
    </xf>
    <xf numFmtId="170" fontId="113" fillId="0" borderId="160" xfId="0" applyFont="1" applyBorder="1" applyAlignment="1">
      <alignment horizontal="justify" vertical="top" wrapText="1"/>
    </xf>
    <xf numFmtId="170" fontId="2" fillId="0" borderId="193" xfId="19" applyNumberFormat="1" applyFont="1" applyFill="1" applyBorder="1" applyAlignment="1" applyProtection="1">
      <alignment horizontal="justify" vertical="center" wrapText="1"/>
    </xf>
    <xf numFmtId="170" fontId="101" fillId="6" borderId="186" xfId="0" applyFont="1" applyFill="1" applyBorder="1" applyAlignment="1" applyProtection="1">
      <alignment horizontal="center" vertical="center"/>
    </xf>
    <xf numFmtId="170" fontId="101" fillId="6" borderId="187" xfId="0" applyFont="1" applyFill="1" applyBorder="1" applyAlignment="1" applyProtection="1">
      <alignment horizontal="center" vertical="center"/>
    </xf>
    <xf numFmtId="170" fontId="101" fillId="6" borderId="188" xfId="0" applyFont="1" applyFill="1" applyBorder="1" applyAlignment="1" applyProtection="1">
      <alignment horizontal="center" vertical="center"/>
    </xf>
    <xf numFmtId="170" fontId="2" fillId="0" borderId="30"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2" fillId="0" borderId="191" xfId="0" applyNumberFormat="1" applyFont="1" applyFill="1" applyBorder="1" applyAlignment="1" applyProtection="1">
      <alignment horizontal="justify" vertical="center" wrapText="1"/>
    </xf>
    <xf numFmtId="170" fontId="2" fillId="0" borderId="192" xfId="0" applyNumberFormat="1" applyFont="1" applyFill="1" applyBorder="1" applyAlignment="1" applyProtection="1">
      <alignment horizontal="justify" vertical="center" wrapText="1"/>
    </xf>
    <xf numFmtId="170" fontId="126" fillId="0" borderId="0" xfId="0" applyFont="1" applyFill="1" applyBorder="1" applyAlignment="1" applyProtection="1">
      <alignment horizontal="center"/>
    </xf>
    <xf numFmtId="170" fontId="126" fillId="0" borderId="177" xfId="0" applyFont="1" applyFill="1" applyBorder="1" applyAlignment="1" applyProtection="1">
      <alignment horizontal="center"/>
    </xf>
    <xf numFmtId="170" fontId="2" fillId="0" borderId="162" xfId="0" applyNumberFormat="1" applyFont="1" applyFill="1" applyBorder="1" applyAlignment="1" applyProtection="1">
      <alignment horizontal="justify" vertical="center" wrapText="1"/>
    </xf>
    <xf numFmtId="170" fontId="2" fillId="0" borderId="163" xfId="0" applyNumberFormat="1" applyFont="1" applyFill="1" applyBorder="1" applyAlignment="1" applyProtection="1">
      <alignment horizontal="justify" vertical="center" wrapText="1"/>
    </xf>
    <xf numFmtId="170" fontId="58" fillId="2" borderId="4" xfId="0" applyFont="1" applyFill="1" applyBorder="1" applyAlignment="1" applyProtection="1">
      <alignment horizontal="center" vertical="center"/>
    </xf>
    <xf numFmtId="170" fontId="88" fillId="0" borderId="0" xfId="0" applyFont="1" applyBorder="1" applyAlignment="1" applyProtection="1">
      <alignment horizontal="center"/>
    </xf>
    <xf numFmtId="49" fontId="2" fillId="9" borderId="189"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90" xfId="0" applyNumberFormat="1" applyFont="1" applyFill="1" applyBorder="1" applyAlignment="1" applyProtection="1">
      <alignment horizontal="center" vertical="center"/>
      <protection locked="0"/>
    </xf>
    <xf numFmtId="170" fontId="2" fillId="6" borderId="173" xfId="0" applyFont="1" applyFill="1" applyBorder="1" applyAlignment="1" applyProtection="1">
      <alignment horizontal="center" vertical="center" wrapText="1"/>
      <protection locked="0"/>
    </xf>
    <xf numFmtId="170" fontId="2" fillId="6" borderId="174" xfId="0" applyFont="1" applyFill="1" applyBorder="1" applyAlignment="1" applyProtection="1">
      <alignment horizontal="center" vertical="center" wrapText="1"/>
      <protection locked="0"/>
    </xf>
    <xf numFmtId="170" fontId="2" fillId="6" borderId="175" xfId="0" applyFont="1" applyFill="1" applyBorder="1" applyAlignment="1" applyProtection="1">
      <alignment horizontal="center" vertical="center" wrapText="1"/>
      <protection locked="0"/>
    </xf>
    <xf numFmtId="170" fontId="44" fillId="9" borderId="164" xfId="0" applyFont="1" applyFill="1" applyBorder="1" applyAlignment="1" applyProtection="1">
      <alignment horizontal="center" vertical="center"/>
    </xf>
    <xf numFmtId="170" fontId="44" fillId="9" borderId="165" xfId="0" applyFont="1" applyFill="1" applyBorder="1" applyAlignment="1" applyProtection="1">
      <alignment horizontal="center" vertical="center"/>
    </xf>
    <xf numFmtId="170" fontId="44" fillId="9" borderId="166" xfId="0" applyFont="1" applyFill="1" applyBorder="1" applyAlignment="1" applyProtection="1">
      <alignment horizontal="center" vertical="center"/>
    </xf>
    <xf numFmtId="170" fontId="2" fillId="6" borderId="167" xfId="0" applyFont="1" applyFill="1" applyBorder="1" applyAlignment="1" applyProtection="1">
      <alignment horizontal="center" vertical="center" wrapText="1"/>
      <protection locked="0"/>
    </xf>
    <xf numFmtId="170" fontId="2" fillId="6" borderId="168" xfId="0" applyFont="1" applyFill="1" applyBorder="1" applyAlignment="1" applyProtection="1">
      <alignment horizontal="center" vertical="center" wrapText="1"/>
      <protection locked="0"/>
    </xf>
    <xf numFmtId="170" fontId="2" fillId="6" borderId="169" xfId="0" applyFont="1" applyFill="1" applyBorder="1" applyAlignment="1" applyProtection="1">
      <alignment horizontal="center" vertical="center" wrapText="1"/>
      <protection locked="0"/>
    </xf>
    <xf numFmtId="170" fontId="2" fillId="6" borderId="170" xfId="0" applyFont="1" applyFill="1" applyBorder="1" applyAlignment="1" applyProtection="1">
      <alignment horizontal="center" vertical="center" wrapText="1"/>
      <protection locked="0"/>
    </xf>
    <xf numFmtId="170" fontId="2" fillId="6" borderId="171" xfId="0" applyFont="1" applyFill="1" applyBorder="1" applyAlignment="1" applyProtection="1">
      <alignment horizontal="center" vertical="center" wrapText="1"/>
      <protection locked="0"/>
    </xf>
    <xf numFmtId="170" fontId="2" fillId="6" borderId="172" xfId="0" applyFont="1" applyFill="1" applyBorder="1" applyAlignment="1" applyProtection="1">
      <alignment horizontal="center" vertical="center" wrapText="1"/>
      <protection locked="0"/>
    </xf>
    <xf numFmtId="170" fontId="126" fillId="0" borderId="176" xfId="0" applyFont="1" applyFill="1" applyBorder="1" applyAlignment="1" applyProtection="1">
      <alignment horizontal="center"/>
    </xf>
    <xf numFmtId="170" fontId="57" fillId="0" borderId="0" xfId="0" applyFont="1" applyFill="1" applyBorder="1" applyAlignment="1" applyProtection="1">
      <alignment horizontal="center"/>
    </xf>
    <xf numFmtId="170" fontId="57" fillId="0" borderId="176" xfId="0" applyFont="1" applyFill="1" applyBorder="1" applyAlignment="1" applyProtection="1">
      <alignment horizontal="center"/>
    </xf>
    <xf numFmtId="49" fontId="2" fillId="9" borderId="180" xfId="0" applyNumberFormat="1" applyFont="1" applyFill="1" applyBorder="1" applyAlignment="1" applyProtection="1">
      <alignment horizontal="center" vertical="center"/>
      <protection locked="0"/>
    </xf>
    <xf numFmtId="49" fontId="2" fillId="9" borderId="181" xfId="0" applyNumberFormat="1" applyFont="1" applyFill="1" applyBorder="1" applyAlignment="1" applyProtection="1">
      <alignment horizontal="center" vertical="center"/>
      <protection locked="0"/>
    </xf>
    <xf numFmtId="49" fontId="2" fillId="9" borderId="182" xfId="0" applyNumberFormat="1" applyFont="1" applyFill="1" applyBorder="1" applyAlignment="1" applyProtection="1">
      <alignment horizontal="center" vertical="center"/>
      <protection locked="0"/>
    </xf>
    <xf numFmtId="170" fontId="2" fillId="0" borderId="179" xfId="0" applyNumberFormat="1" applyFont="1" applyFill="1" applyBorder="1" applyAlignment="1" applyProtection="1">
      <alignment horizontal="justify" vertical="center" wrapText="1"/>
    </xf>
    <xf numFmtId="170" fontId="101" fillId="6" borderId="184" xfId="0" applyFont="1" applyFill="1" applyBorder="1" applyAlignment="1" applyProtection="1">
      <alignment horizontal="center" vertical="center"/>
    </xf>
    <xf numFmtId="170" fontId="101" fillId="6" borderId="185" xfId="0" applyFont="1" applyFill="1" applyBorder="1" applyAlignment="1" applyProtection="1">
      <alignment horizontal="center" vertical="center"/>
    </xf>
    <xf numFmtId="170" fontId="113" fillId="0" borderId="185" xfId="0" applyFont="1" applyBorder="1" applyAlignment="1">
      <alignment horizontal="center" vertical="center"/>
    </xf>
    <xf numFmtId="170" fontId="2" fillId="0" borderId="157" xfId="0" applyNumberFormat="1" applyFont="1" applyFill="1" applyBorder="1" applyAlignment="1" applyProtection="1">
      <alignment horizontal="justify" vertical="center" wrapText="1"/>
    </xf>
    <xf numFmtId="170" fontId="2" fillId="0" borderId="158"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90" xfId="0" applyNumberFormat="1" applyFont="1" applyFill="1" applyBorder="1" applyAlignment="1" applyProtection="1">
      <alignment horizontal="justify" vertical="center" wrapText="1"/>
    </xf>
    <xf numFmtId="170" fontId="113" fillId="5" borderId="112" xfId="0" applyFont="1" applyFill="1" applyBorder="1" applyAlignment="1" applyProtection="1">
      <alignment horizontal="justify" vertical="top" wrapText="1"/>
      <protection locked="0"/>
    </xf>
    <xf numFmtId="170" fontId="113" fillId="5" borderId="111" xfId="0" applyFont="1" applyFill="1" applyBorder="1" applyAlignment="1" applyProtection="1">
      <alignment horizontal="justify" vertical="top" wrapText="1"/>
      <protection locked="0"/>
    </xf>
    <xf numFmtId="170" fontId="113" fillId="5" borderId="113" xfId="0" applyFont="1" applyFill="1" applyBorder="1" applyAlignment="1" applyProtection="1">
      <alignment horizontal="justify" vertical="top" wrapText="1"/>
      <protection locked="0"/>
    </xf>
    <xf numFmtId="170" fontId="113" fillId="5" borderId="114" xfId="0" applyFont="1" applyFill="1" applyBorder="1" applyAlignment="1" applyProtection="1">
      <alignment horizontal="justify" vertical="top" wrapText="1"/>
      <protection locked="0"/>
    </xf>
    <xf numFmtId="170" fontId="113" fillId="5" borderId="75" xfId="0" applyFont="1" applyFill="1" applyBorder="1" applyAlignment="1" applyProtection="1">
      <alignment horizontal="justify" vertical="top" wrapText="1"/>
      <protection locked="0"/>
    </xf>
    <xf numFmtId="170" fontId="113" fillId="5" borderId="77" xfId="0" applyFont="1" applyFill="1" applyBorder="1" applyAlignment="1" applyProtection="1">
      <alignment horizontal="justify" vertical="top" wrapText="1"/>
      <protection locked="0"/>
    </xf>
    <xf numFmtId="170" fontId="56" fillId="4" borderId="5" xfId="18" applyNumberFormat="1" applyFont="1" applyFill="1" applyBorder="1" applyAlignment="1">
      <alignment horizontal="center" vertical="center" wrapText="1"/>
    </xf>
    <xf numFmtId="170" fontId="56" fillId="4" borderId="230" xfId="18" applyNumberFormat="1" applyFont="1" applyFill="1" applyBorder="1" applyAlignment="1">
      <alignment horizontal="center" vertical="center" wrapText="1"/>
    </xf>
    <xf numFmtId="170" fontId="56" fillId="4" borderId="220" xfId="18" applyNumberFormat="1" applyFont="1" applyFill="1" applyBorder="1" applyAlignment="1">
      <alignment horizontal="center" vertical="center" wrapText="1"/>
    </xf>
    <xf numFmtId="170" fontId="14" fillId="0" borderId="207" xfId="0" applyFont="1" applyFill="1" applyBorder="1" applyAlignment="1" applyProtection="1">
      <alignment horizontal="left"/>
      <protection locked="0"/>
    </xf>
    <xf numFmtId="170" fontId="14" fillId="0" borderId="201" xfId="0" applyFont="1" applyFill="1" applyBorder="1" applyAlignment="1" applyProtection="1">
      <alignment horizontal="left"/>
      <protection locked="0"/>
    </xf>
    <xf numFmtId="170" fontId="14" fillId="0" borderId="208" xfId="0" applyFont="1" applyFill="1" applyBorder="1" applyAlignment="1" applyProtection="1">
      <alignment horizontal="left"/>
      <protection locked="0"/>
    </xf>
    <xf numFmtId="170" fontId="14" fillId="0" borderId="209" xfId="0" applyFont="1" applyFill="1" applyBorder="1" applyAlignment="1" applyProtection="1">
      <alignment horizontal="left"/>
      <protection locked="0"/>
    </xf>
    <xf numFmtId="170" fontId="26" fillId="0" borderId="0" xfId="0" applyFont="1" applyAlignment="1">
      <alignment horizontal="center"/>
    </xf>
    <xf numFmtId="170" fontId="56" fillId="4" borderId="204" xfId="18" applyNumberFormat="1" applyFont="1" applyFill="1" applyBorder="1" applyAlignment="1">
      <alignment horizontal="center" vertical="center" wrapText="1"/>
    </xf>
    <xf numFmtId="170" fontId="56" fillId="4" borderId="205" xfId="18" applyNumberFormat="1" applyFont="1" applyFill="1" applyBorder="1" applyAlignment="1">
      <alignment horizontal="center" vertical="center" wrapText="1"/>
    </xf>
    <xf numFmtId="170" fontId="56" fillId="4" borderId="206" xfId="18" applyNumberFormat="1" applyFont="1" applyFill="1" applyBorder="1" applyAlignment="1">
      <alignment horizontal="center" vertical="center" wrapText="1"/>
    </xf>
    <xf numFmtId="170" fontId="14" fillId="0" borderId="201" xfId="0" applyFont="1" applyBorder="1" applyAlignment="1" applyProtection="1">
      <alignment horizontal="left"/>
      <protection locked="0"/>
    </xf>
    <xf numFmtId="164" fontId="8" fillId="16" borderId="0" xfId="22" applyFont="1" applyFill="1" applyBorder="1" applyAlignment="1" applyProtection="1">
      <alignment horizontal="center"/>
      <protection locked="0"/>
    </xf>
    <xf numFmtId="170" fontId="14" fillId="0" borderId="22" xfId="0" applyFont="1" applyFill="1" applyBorder="1" applyAlignment="1" applyProtection="1">
      <alignment horizontal="left"/>
      <protection locked="0"/>
    </xf>
    <xf numFmtId="170" fontId="14" fillId="0" borderId="203" xfId="0" applyFont="1" applyFill="1" applyBorder="1" applyAlignment="1" applyProtection="1">
      <alignment horizontal="left"/>
      <protection locked="0"/>
    </xf>
    <xf numFmtId="170" fontId="14" fillId="0" borderId="202" xfId="0" applyFont="1" applyFill="1" applyBorder="1" applyAlignment="1" applyProtection="1">
      <alignment horizontal="left"/>
      <protection locked="0"/>
    </xf>
    <xf numFmtId="170" fontId="14" fillId="0" borderId="218" xfId="0" applyFont="1" applyBorder="1" applyAlignment="1" applyProtection="1">
      <alignment horizontal="left"/>
      <protection locked="0"/>
    </xf>
    <xf numFmtId="170" fontId="14" fillId="0" borderId="22" xfId="0" applyFont="1" applyBorder="1" applyAlignment="1" applyProtection="1">
      <alignment horizontal="left"/>
      <protection locked="0"/>
    </xf>
    <xf numFmtId="170" fontId="14" fillId="0" borderId="207" xfId="0" applyFont="1" applyBorder="1" applyAlignment="1" applyProtection="1">
      <alignment horizontal="left"/>
      <protection locked="0"/>
    </xf>
    <xf numFmtId="170" fontId="76" fillId="4" borderId="110" xfId="0" applyFont="1" applyFill="1" applyBorder="1" applyAlignment="1">
      <alignment horizontal="center" vertical="center" textRotation="90"/>
    </xf>
    <xf numFmtId="170" fontId="0" fillId="4" borderId="68" xfId="0" applyFill="1" applyBorder="1" applyAlignment="1">
      <alignment horizontal="center" vertical="center" textRotation="90"/>
    </xf>
    <xf numFmtId="170" fontId="0" fillId="4" borderId="78" xfId="0" applyFill="1" applyBorder="1" applyAlignment="1">
      <alignment horizontal="center" vertical="center" textRotation="90"/>
    </xf>
    <xf numFmtId="170" fontId="14" fillId="0" borderId="227" xfId="0" applyFont="1" applyFill="1" applyBorder="1" applyAlignment="1" applyProtection="1">
      <alignment horizontal="justify" vertical="center" wrapText="1"/>
      <protection locked="0"/>
    </xf>
    <xf numFmtId="170" fontId="14" fillId="0" borderId="224" xfId="0" applyFont="1" applyFill="1" applyBorder="1" applyAlignment="1" applyProtection="1">
      <alignment horizontal="justify" vertical="center" wrapText="1"/>
      <protection locked="0"/>
    </xf>
    <xf numFmtId="170" fontId="14" fillId="0" borderId="228" xfId="0" applyFont="1" applyFill="1" applyBorder="1" applyAlignment="1" applyProtection="1">
      <alignment horizontal="justify" vertical="center" wrapText="1"/>
      <protection locked="0"/>
    </xf>
    <xf numFmtId="170" fontId="14" fillId="0" borderId="229" xfId="0" applyFont="1" applyFill="1" applyBorder="1" applyAlignment="1" applyProtection="1">
      <alignment horizontal="justify" vertical="center" wrapText="1"/>
      <protection locked="0"/>
    </xf>
    <xf numFmtId="170" fontId="14" fillId="0" borderId="181" xfId="0" applyFont="1" applyFill="1" applyBorder="1" applyAlignment="1" applyProtection="1">
      <alignment horizontal="justify" vertical="center" wrapText="1"/>
      <protection locked="0"/>
    </xf>
    <xf numFmtId="170" fontId="14" fillId="0" borderId="217" xfId="0" applyFont="1" applyFill="1" applyBorder="1" applyAlignment="1" applyProtection="1">
      <alignment horizontal="justify" vertical="center" wrapText="1"/>
      <protection locked="0"/>
    </xf>
    <xf numFmtId="170" fontId="14" fillId="0" borderId="178" xfId="0" applyFont="1" applyFill="1" applyBorder="1" applyAlignment="1" applyProtection="1">
      <alignment horizontal="left" vertical="center" wrapText="1"/>
      <protection locked="0"/>
    </xf>
    <xf numFmtId="170" fontId="14" fillId="0" borderId="210" xfId="0" applyFont="1" applyFill="1" applyBorder="1" applyAlignment="1" applyProtection="1">
      <alignment horizontal="left" vertical="center" wrapText="1"/>
      <protection locked="0"/>
    </xf>
    <xf numFmtId="170" fontId="14" fillId="0" borderId="211" xfId="0" applyFont="1" applyFill="1" applyBorder="1" applyAlignment="1" applyProtection="1">
      <alignment horizontal="left" vertical="center" wrapText="1"/>
      <protection locked="0"/>
    </xf>
    <xf numFmtId="170" fontId="14" fillId="0" borderId="212" xfId="0" applyFont="1" applyFill="1" applyBorder="1" applyAlignment="1" applyProtection="1">
      <alignment horizontal="left" vertical="center" wrapText="1"/>
      <protection locked="0"/>
    </xf>
    <xf numFmtId="170" fontId="14" fillId="0" borderId="218" xfId="0" applyFont="1" applyFill="1" applyBorder="1" applyAlignment="1" applyProtection="1">
      <alignment horizontal="left"/>
      <protection locked="0"/>
    </xf>
    <xf numFmtId="170" fontId="14" fillId="0" borderId="231" xfId="0" applyFont="1" applyFill="1" applyBorder="1" applyAlignment="1" applyProtection="1">
      <alignment horizontal="justify" vertical="center" wrapText="1"/>
      <protection locked="0"/>
    </xf>
    <xf numFmtId="170" fontId="14" fillId="0" borderId="214" xfId="0" applyFont="1" applyFill="1" applyBorder="1" applyAlignment="1" applyProtection="1">
      <alignment horizontal="justify" vertical="center" wrapText="1"/>
      <protection locked="0"/>
    </xf>
    <xf numFmtId="170" fontId="14" fillId="0" borderId="215" xfId="0" applyFont="1" applyFill="1" applyBorder="1" applyAlignment="1" applyProtection="1">
      <alignment horizontal="justify" vertical="center" wrapText="1"/>
      <protection locked="0"/>
    </xf>
    <xf numFmtId="170" fontId="14" fillId="0" borderId="209" xfId="0" applyFont="1" applyBorder="1" applyAlignment="1" applyProtection="1">
      <alignment horizontal="left"/>
      <protection locked="0"/>
    </xf>
    <xf numFmtId="170" fontId="14" fillId="0" borderId="223" xfId="0" applyFont="1" applyFill="1" applyBorder="1" applyAlignment="1" applyProtection="1">
      <alignment horizontal="left" vertical="top" wrapText="1"/>
      <protection locked="0"/>
    </xf>
    <xf numFmtId="170" fontId="14" fillId="0" borderId="224" xfId="0" applyFont="1" applyFill="1" applyBorder="1" applyAlignment="1" applyProtection="1">
      <alignment horizontal="left" vertical="top" wrapText="1"/>
      <protection locked="0"/>
    </xf>
    <xf numFmtId="170" fontId="14" fillId="0" borderId="225" xfId="0" applyFont="1" applyFill="1" applyBorder="1" applyAlignment="1" applyProtection="1">
      <alignment horizontal="left" vertical="top" wrapText="1"/>
      <protection locked="0"/>
    </xf>
    <xf numFmtId="170" fontId="14" fillId="0" borderId="216" xfId="0" applyFont="1" applyFill="1" applyBorder="1" applyAlignment="1" applyProtection="1">
      <alignment horizontal="left" vertical="top" wrapText="1"/>
      <protection locked="0"/>
    </xf>
    <xf numFmtId="170" fontId="14" fillId="0" borderId="181" xfId="0" applyFont="1" applyFill="1" applyBorder="1" applyAlignment="1" applyProtection="1">
      <alignment horizontal="left" vertical="top" wrapText="1"/>
      <protection locked="0"/>
    </xf>
    <xf numFmtId="170" fontId="14" fillId="0" borderId="226" xfId="0" applyFont="1" applyFill="1" applyBorder="1" applyAlignment="1" applyProtection="1">
      <alignment horizontal="left" vertical="top" wrapText="1"/>
      <protection locked="0"/>
    </xf>
    <xf numFmtId="170" fontId="14" fillId="0" borderId="219" xfId="0" applyFont="1" applyFill="1" applyBorder="1" applyAlignment="1" applyProtection="1">
      <alignment horizontal="left"/>
      <protection locked="0"/>
    </xf>
    <xf numFmtId="170" fontId="14" fillId="0" borderId="202" xfId="0" applyFont="1" applyBorder="1" applyAlignment="1" applyProtection="1">
      <alignment horizontal="left"/>
      <protection locked="0"/>
    </xf>
    <xf numFmtId="170" fontId="14" fillId="0" borderId="219" xfId="0" applyFont="1" applyBorder="1" applyAlignment="1" applyProtection="1">
      <alignment horizontal="left"/>
      <protection locked="0"/>
    </xf>
    <xf numFmtId="170" fontId="14" fillId="0" borderId="203" xfId="0" applyFont="1" applyBorder="1" applyAlignment="1" applyProtection="1">
      <alignment horizontal="left"/>
      <protection locked="0"/>
    </xf>
    <xf numFmtId="170" fontId="14" fillId="0" borderId="221" xfId="0" applyFont="1" applyFill="1" applyBorder="1" applyAlignment="1" applyProtection="1">
      <alignment horizontal="left"/>
      <protection locked="0"/>
    </xf>
    <xf numFmtId="170" fontId="14" fillId="0" borderId="178" xfId="0" applyFont="1" applyFill="1" applyBorder="1" applyAlignment="1" applyProtection="1">
      <alignment horizontal="left"/>
      <protection locked="0"/>
    </xf>
    <xf numFmtId="170" fontId="14" fillId="0" borderId="210" xfId="0" applyFont="1" applyFill="1" applyBorder="1" applyAlignment="1" applyProtection="1">
      <alignment horizontal="left"/>
      <protection locked="0"/>
    </xf>
    <xf numFmtId="170" fontId="14" fillId="0" borderId="222" xfId="0" applyFont="1" applyFill="1" applyBorder="1" applyAlignment="1" applyProtection="1">
      <alignment horizontal="left"/>
      <protection locked="0"/>
    </xf>
    <xf numFmtId="170" fontId="14" fillId="0" borderId="211" xfId="0" applyFont="1" applyFill="1" applyBorder="1" applyAlignment="1" applyProtection="1">
      <alignment horizontal="left"/>
      <protection locked="0"/>
    </xf>
    <xf numFmtId="170" fontId="14" fillId="0" borderId="212" xfId="0" applyFont="1" applyFill="1" applyBorder="1" applyAlignment="1" applyProtection="1">
      <alignment horizontal="left"/>
      <protection locked="0"/>
    </xf>
    <xf numFmtId="170" fontId="14" fillId="0" borderId="208" xfId="0" applyFont="1" applyBorder="1" applyAlignment="1" applyProtection="1">
      <alignment horizontal="left"/>
      <protection locked="0"/>
    </xf>
    <xf numFmtId="170" fontId="14" fillId="0" borderId="213" xfId="0" applyFont="1" applyFill="1" applyBorder="1" applyAlignment="1" applyProtection="1">
      <alignment horizontal="left" vertical="top" wrapText="1"/>
      <protection locked="0"/>
    </xf>
    <xf numFmtId="170" fontId="14" fillId="0" borderId="214" xfId="0" applyFont="1" applyFill="1" applyBorder="1" applyAlignment="1" applyProtection="1">
      <alignment horizontal="left" vertical="top" wrapText="1"/>
      <protection locked="0"/>
    </xf>
    <xf numFmtId="170" fontId="14" fillId="0" borderId="215" xfId="0" applyFont="1" applyFill="1" applyBorder="1" applyAlignment="1" applyProtection="1">
      <alignment horizontal="left" vertical="top" wrapText="1"/>
      <protection locked="0"/>
    </xf>
    <xf numFmtId="170" fontId="14" fillId="0" borderId="217" xfId="0" applyFont="1" applyFill="1" applyBorder="1" applyAlignment="1" applyProtection="1">
      <alignment horizontal="left" vertical="top" wrapText="1"/>
      <protection locked="0"/>
    </xf>
    <xf numFmtId="164" fontId="10" fillId="17" borderId="0" xfId="4" applyFont="1" applyFill="1" applyAlignment="1">
      <alignment horizontal="center" vertical="center"/>
    </xf>
    <xf numFmtId="170" fontId="135" fillId="5" borderId="29" xfId="0" applyFont="1" applyFill="1" applyBorder="1" applyAlignment="1" applyProtection="1">
      <alignment horizontal="justify" vertical="top" wrapText="1"/>
      <protection locked="0"/>
    </xf>
    <xf numFmtId="170" fontId="137" fillId="0" borderId="30" xfId="0" applyFont="1" applyBorder="1" applyAlignment="1">
      <alignment horizontal="justify" vertical="top" wrapText="1"/>
    </xf>
    <xf numFmtId="170" fontId="137" fillId="0" borderId="31" xfId="0" applyFont="1" applyBorder="1" applyAlignment="1">
      <alignment horizontal="justify" vertical="top" wrapText="1"/>
    </xf>
    <xf numFmtId="170" fontId="135" fillId="5" borderId="0" xfId="0" applyFont="1" applyFill="1" applyBorder="1" applyAlignment="1" applyProtection="1">
      <alignment horizontal="center" vertical="top" wrapText="1"/>
      <protection locked="0"/>
    </xf>
    <xf numFmtId="170" fontId="135" fillId="5" borderId="0" xfId="0" applyFont="1" applyFill="1" applyBorder="1" applyAlignment="1" applyProtection="1">
      <alignment horizontal="left" vertical="top" wrapText="1"/>
      <protection locked="0"/>
    </xf>
    <xf numFmtId="170" fontId="135" fillId="5" borderId="30" xfId="0" applyFont="1" applyFill="1" applyBorder="1" applyAlignment="1" applyProtection="1">
      <alignment horizontal="justify" vertical="top" wrapText="1"/>
      <protection locked="0"/>
    </xf>
    <xf numFmtId="170" fontId="135" fillId="5" borderId="31" xfId="0" applyFont="1" applyFill="1" applyBorder="1" applyAlignment="1" applyProtection="1">
      <alignment horizontal="justify" vertical="top" wrapText="1"/>
      <protection locked="0"/>
    </xf>
    <xf numFmtId="170" fontId="135" fillId="5" borderId="29" xfId="19" applyNumberFormat="1" applyFont="1" applyFill="1" applyBorder="1" applyAlignment="1" applyProtection="1">
      <alignment horizontal="justify" vertical="center" wrapText="1"/>
      <protection locked="0"/>
    </xf>
    <xf numFmtId="9" fontId="135" fillId="5" borderId="30" xfId="19" applyFont="1" applyFill="1" applyBorder="1" applyAlignment="1" applyProtection="1">
      <alignment horizontal="justify" vertical="center" wrapText="1"/>
      <protection locked="0"/>
    </xf>
    <xf numFmtId="9" fontId="135" fillId="5" borderId="31" xfId="19" applyFont="1" applyFill="1" applyBorder="1" applyAlignment="1" applyProtection="1">
      <alignment horizontal="justify" vertical="center" wrapText="1"/>
      <protection locked="0"/>
    </xf>
    <xf numFmtId="9" fontId="135" fillId="5" borderId="29" xfId="19" applyFont="1" applyFill="1" applyBorder="1" applyAlignment="1" applyProtection="1">
      <alignment horizontal="justify" vertical="center" wrapText="1"/>
      <protection locked="0"/>
    </xf>
    <xf numFmtId="9" fontId="135" fillId="5" borderId="2" xfId="19"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23" fillId="5" borderId="30" xfId="0" applyFont="1" applyFill="1" applyBorder="1" applyAlignment="1" applyProtection="1">
      <alignment horizontal="justify" vertical="center" wrapText="1"/>
      <protection locked="0"/>
    </xf>
    <xf numFmtId="170" fontId="23" fillId="5" borderId="31" xfId="0" applyFont="1" applyFill="1" applyBorder="1" applyAlignment="1" applyProtection="1">
      <alignment horizontal="justify" vertical="center" wrapText="1"/>
      <protection locked="0"/>
    </xf>
    <xf numFmtId="170" fontId="113" fillId="0" borderId="30" xfId="0" applyFont="1" applyBorder="1" applyAlignment="1">
      <alignment horizontal="justify" vertical="center" wrapText="1"/>
    </xf>
    <xf numFmtId="170" fontId="113" fillId="0" borderId="31" xfId="0" applyFont="1" applyBorder="1" applyAlignment="1">
      <alignment horizontal="justify" vertical="center" wrapText="1"/>
    </xf>
    <xf numFmtId="170" fontId="113" fillId="0" borderId="30" xfId="0" applyFont="1" applyBorder="1" applyAlignment="1" applyProtection="1">
      <alignment horizontal="justify" vertical="center" wrapText="1"/>
      <protection locked="0"/>
    </xf>
    <xf numFmtId="170" fontId="113" fillId="0" borderId="31" xfId="0" applyFont="1" applyBorder="1" applyAlignment="1" applyProtection="1">
      <alignment horizontal="justify" vertical="center" wrapText="1"/>
      <protection locked="0"/>
    </xf>
    <xf numFmtId="170" fontId="138" fillId="5" borderId="29" xfId="0" applyFont="1" applyFill="1" applyBorder="1" applyAlignment="1" applyProtection="1">
      <alignment horizontal="justify" vertical="center" wrapText="1"/>
      <protection locked="0"/>
    </xf>
    <xf numFmtId="170" fontId="139" fillId="0" borderId="30" xfId="0" applyFont="1" applyBorder="1" applyAlignment="1" applyProtection="1">
      <alignment horizontal="justify" vertical="center" wrapText="1"/>
      <protection locked="0"/>
    </xf>
    <xf numFmtId="170" fontId="139" fillId="0" borderId="31" xfId="0" applyFont="1" applyBorder="1" applyAlignment="1" applyProtection="1">
      <alignment horizontal="justify" vertical="center" wrapText="1"/>
      <protection locked="0"/>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9364260664769759"/>
                  <c:y val="-0.312373870218807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manualLayout>
                      <c:w val="0.25268041237113403"/>
                      <c:h val="0.19032520325203253"/>
                    </c:manualLayout>
                  </c15:layout>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#,##0</c:formatCode>
                <c:ptCount val="1"/>
                <c:pt idx="0">
                  <c:v>6</c:v>
                </c:pt>
              </c:numCache>
            </c:numRef>
          </c:val>
        </c:ser>
        <c:dLbls>
          <c:showLegendKey val="0"/>
          <c:showVal val="0"/>
          <c:showCatName val="0"/>
          <c:showSerName val="0"/>
          <c:showPercent val="0"/>
          <c:showBubbleSize val="0"/>
        </c:dLbls>
        <c:gapWidth val="79"/>
        <c:overlap val="100"/>
        <c:axId val="328512512"/>
        <c:axId val="328512904"/>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#,##0</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#,##0</c:formatCode>
                <c:ptCount val="1"/>
                <c:pt idx="0">
                  <c:v>0</c:v>
                </c:pt>
              </c:numCache>
            </c:numRef>
          </c:val>
        </c:ser>
        <c:dLbls>
          <c:showLegendKey val="0"/>
          <c:showVal val="0"/>
          <c:showCatName val="0"/>
          <c:showSerName val="0"/>
          <c:showPercent val="0"/>
          <c:showBubbleSize val="0"/>
        </c:dLbls>
        <c:gapWidth val="191"/>
        <c:overlap val="100"/>
        <c:axId val="384564232"/>
        <c:axId val="384564624"/>
      </c:barChart>
      <c:catAx>
        <c:axId val="328512512"/>
        <c:scaling>
          <c:orientation val="minMax"/>
        </c:scaling>
        <c:delete val="1"/>
        <c:axPos val="l"/>
        <c:majorTickMark val="out"/>
        <c:minorTickMark val="none"/>
        <c:tickLblPos val="none"/>
        <c:crossAx val="328512904"/>
        <c:crosses val="autoZero"/>
        <c:auto val="1"/>
        <c:lblAlgn val="ctr"/>
        <c:lblOffset val="100"/>
        <c:noMultiLvlLbl val="0"/>
      </c:catAx>
      <c:valAx>
        <c:axId val="32851290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8512512"/>
        <c:crosses val="max"/>
        <c:crossBetween val="between"/>
      </c:valAx>
      <c:catAx>
        <c:axId val="384564232"/>
        <c:scaling>
          <c:orientation val="minMax"/>
        </c:scaling>
        <c:delete val="1"/>
        <c:axPos val="l"/>
        <c:majorTickMark val="out"/>
        <c:minorTickMark val="none"/>
        <c:tickLblPos val="none"/>
        <c:crossAx val="384564624"/>
        <c:crosses val="autoZero"/>
        <c:auto val="0"/>
        <c:lblAlgn val="ctr"/>
        <c:lblOffset val="100"/>
        <c:noMultiLvlLbl val="0"/>
      </c:catAx>
      <c:valAx>
        <c:axId val="384564624"/>
        <c:scaling>
          <c:orientation val="minMax"/>
        </c:scaling>
        <c:delete val="0"/>
        <c:axPos val="b"/>
        <c:numFmt formatCode="0%" sourceLinked="1"/>
        <c:majorTickMark val="none"/>
        <c:minorTickMark val="none"/>
        <c:tickLblPos val="none"/>
        <c:spPr>
          <a:ln w="3175">
            <a:solidFill>
              <a:srgbClr val="000000"/>
            </a:solidFill>
            <a:prstDash val="solid"/>
          </a:ln>
        </c:spPr>
        <c:crossAx val="384564232"/>
        <c:crosses val="autoZero"/>
        <c:crossBetween val="between"/>
      </c:valAx>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18251347613808"/>
          <c:y val="8.9552612741589155E-2"/>
          <c:w val="0.83314004319329704"/>
          <c:h val="0.65320736566206339"/>
        </c:manualLayout>
      </c:layout>
      <c:barChart>
        <c:barDir val="col"/>
        <c:grouping val="clustered"/>
        <c:varyColors val="0"/>
        <c:ser>
          <c:idx val="0"/>
          <c:order val="0"/>
          <c:tx>
            <c:strRef>
              <c:f>'Introducerea datelor'!$G$122</c:f>
              <c:strCache>
                <c:ptCount val="1"/>
                <c:pt idx="0">
                  <c:v>Ținta</c:v>
                </c:pt>
              </c:strCache>
            </c:strRef>
          </c:tx>
          <c:spPr>
            <a:solidFill>
              <a:srgbClr val="0066CC"/>
            </a:solidFill>
            <a:ln w="25400">
              <a:noFill/>
            </a:ln>
          </c:spPr>
          <c:invertIfNegative val="0"/>
          <c:val>
            <c:numRef>
              <c:f>'Introducerea datelor'!$H$122:$S$122</c:f>
              <c:numCache>
                <c:formatCode>0.0</c:formatCode>
                <c:ptCount val="12"/>
                <c:pt idx="0">
                  <c:v>24</c:v>
                </c:pt>
                <c:pt idx="1">
                  <c:v>22</c:v>
                </c:pt>
                <c:pt idx="2">
                  <c:v>22</c:v>
                </c:pt>
                <c:pt idx="3">
                  <c:v>22</c:v>
                </c:pt>
                <c:pt idx="4">
                  <c:v>21</c:v>
                </c:pt>
              </c:numCache>
            </c:numRef>
          </c:val>
        </c:ser>
        <c:ser>
          <c:idx val="1"/>
          <c:order val="1"/>
          <c:tx>
            <c:strRef>
              <c:f>'Introducerea datelor'!$G$123</c:f>
              <c:strCache>
                <c:ptCount val="1"/>
                <c:pt idx="0">
                  <c:v>Rezultat</c:v>
                </c:pt>
              </c:strCache>
            </c:strRef>
          </c:tx>
          <c:spPr>
            <a:solidFill>
              <a:srgbClr val="00CCFF"/>
            </a:solidFill>
            <a:ln w="12700">
              <a:solidFill>
                <a:srgbClr val="000000"/>
              </a:solidFill>
              <a:prstDash val="solid"/>
            </a:ln>
          </c:spPr>
          <c:invertIfNegative val="0"/>
          <c:val>
            <c:numRef>
              <c:f>'Introducerea datelor'!$H$123:$S$123</c:f>
              <c:numCache>
                <c:formatCode>0.0</c:formatCode>
                <c:ptCount val="12"/>
                <c:pt idx="0">
                  <c:v>23.7</c:v>
                </c:pt>
                <c:pt idx="1">
                  <c:v>24.8</c:v>
                </c:pt>
                <c:pt idx="2">
                  <c:v>25.53</c:v>
                </c:pt>
                <c:pt idx="3">
                  <c:v>25.53</c:v>
                </c:pt>
                <c:pt idx="4">
                  <c:v>27.65</c:v>
                </c:pt>
              </c:numCache>
            </c:numRef>
          </c:val>
        </c:ser>
        <c:dLbls>
          <c:showLegendKey val="0"/>
          <c:showVal val="0"/>
          <c:showCatName val="0"/>
          <c:showSerName val="0"/>
          <c:showPercent val="0"/>
          <c:showBubbleSize val="0"/>
        </c:dLbls>
        <c:gapWidth val="150"/>
        <c:axId val="331258936"/>
        <c:axId val="331259328"/>
      </c:barChart>
      <c:catAx>
        <c:axId val="3312589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31259328"/>
        <c:crosses val="autoZero"/>
        <c:auto val="1"/>
        <c:lblAlgn val="ctr"/>
        <c:lblOffset val="100"/>
        <c:tickLblSkip val="1"/>
        <c:tickMarkSkip val="1"/>
        <c:noMultiLvlLbl val="0"/>
      </c:catAx>
      <c:valAx>
        <c:axId val="331259328"/>
        <c:scaling>
          <c:orientation val="minMax"/>
          <c:min val="2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331258936"/>
        <c:crosses val="autoZero"/>
        <c:crossBetween val="between"/>
      </c:valAx>
      <c:spPr>
        <a:noFill/>
        <a:ln w="25400">
          <a:noFill/>
        </a:ln>
      </c:spPr>
    </c:plotArea>
    <c:legend>
      <c:legendPos val="r"/>
      <c:layout>
        <c:manualLayout>
          <c:xMode val="edge"/>
          <c:yMode val="edge"/>
          <c:x val="0.18466890563410759"/>
          <c:y val="0.91099498926270572"/>
          <c:w val="0.57491302834457536"/>
          <c:h val="7.329873538534958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04"/>
          <c:h val="0.65320736566206339"/>
        </c:manualLayout>
      </c:layout>
      <c:barChart>
        <c:barDir val="col"/>
        <c:grouping val="clustered"/>
        <c:varyColors val="0"/>
        <c:ser>
          <c:idx val="0"/>
          <c:order val="0"/>
          <c:tx>
            <c:strRef>
              <c:f>'Introducerea datelor'!$G$118</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0.0</c:formatCode>
                <c:ptCount val="12"/>
                <c:pt idx="0">
                  <c:v>12.7</c:v>
                </c:pt>
                <c:pt idx="1">
                  <c:v>11.6</c:v>
                </c:pt>
                <c:pt idx="2">
                  <c:v>11.6</c:v>
                </c:pt>
                <c:pt idx="3">
                  <c:v>11.6</c:v>
                </c:pt>
                <c:pt idx="4">
                  <c:v>9.5</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0.0</c:formatCode>
                <c:ptCount val="12"/>
                <c:pt idx="0">
                  <c:v>14.4</c:v>
                </c:pt>
                <c:pt idx="1">
                  <c:v>11.14</c:v>
                </c:pt>
                <c:pt idx="2">
                  <c:v>11.22</c:v>
                </c:pt>
                <c:pt idx="3">
                  <c:v>11.22</c:v>
                </c:pt>
                <c:pt idx="4">
                  <c:v>12.5</c:v>
                </c:pt>
              </c:numCache>
            </c:numRef>
          </c:val>
        </c:ser>
        <c:dLbls>
          <c:showLegendKey val="0"/>
          <c:showVal val="0"/>
          <c:showCatName val="0"/>
          <c:showSerName val="0"/>
          <c:showPercent val="0"/>
          <c:showBubbleSize val="0"/>
        </c:dLbls>
        <c:gapWidth val="150"/>
        <c:axId val="254098416"/>
        <c:axId val="331260112"/>
      </c:barChart>
      <c:catAx>
        <c:axId val="25409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331260112"/>
        <c:crosses val="autoZero"/>
        <c:auto val="1"/>
        <c:lblAlgn val="ctr"/>
        <c:lblOffset val="100"/>
        <c:tickLblSkip val="1"/>
        <c:tickMarkSkip val="1"/>
        <c:noMultiLvlLbl val="0"/>
      </c:catAx>
      <c:valAx>
        <c:axId val="3312601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54098416"/>
        <c:crosses val="autoZero"/>
        <c:crossBetween val="between"/>
      </c:valAx>
      <c:spPr>
        <a:noFill/>
        <a:ln w="25400">
          <a:noFill/>
        </a:ln>
      </c:spPr>
    </c:plotArea>
    <c:legend>
      <c:legendPos val="r"/>
      <c:layout>
        <c:manualLayout>
          <c:xMode val="edge"/>
          <c:yMode val="edge"/>
          <c:x val="0.1824568771008887"/>
          <c:y val="0.91237155700365058"/>
          <c:w val="0.57894921029608171"/>
          <c:h val="7.216580686034936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9172167.4499999993</c:v>
                </c:pt>
                <c:pt idx="1">
                  <c:v>10668150.789999999</c:v>
                </c:pt>
                <c:pt idx="2">
                  <c:v>12040591.76</c:v>
                </c:pt>
                <c:pt idx="3">
                  <c:v>13063822.76</c:v>
                </c:pt>
                <c:pt idx="4">
                  <c:v>13165003.98</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9932743.2899999991</c:v>
                </c:pt>
                <c:pt idx="1">
                  <c:v>12370937.68</c:v>
                </c:pt>
                <c:pt idx="2">
                  <c:v>12370937.68</c:v>
                </c:pt>
                <c:pt idx="3">
                  <c:v>12370937.68</c:v>
                </c:pt>
                <c:pt idx="4">
                  <c:v>12370937.68</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29127176"/>
        <c:axId val="329127568"/>
      </c:areaChart>
      <c:catAx>
        <c:axId val="329127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329127568"/>
        <c:crosses val="autoZero"/>
        <c:auto val="1"/>
        <c:lblAlgn val="ctr"/>
        <c:lblOffset val="100"/>
        <c:tickLblSkip val="8"/>
        <c:tickMarkSkip val="1"/>
        <c:noMultiLvlLbl val="0"/>
      </c:catAx>
      <c:valAx>
        <c:axId val="32912756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32912717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#,##0</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#,##0</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#,##0</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#,##0</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#,##0</c:formatCode>
                <c:ptCount val="1"/>
                <c:pt idx="0">
                  <c:v>0</c:v>
                </c:pt>
              </c:numCache>
            </c:numRef>
          </c:val>
        </c:ser>
        <c:dLbls>
          <c:showLegendKey val="0"/>
          <c:showVal val="0"/>
          <c:showCatName val="0"/>
          <c:showSerName val="0"/>
          <c:showPercent val="0"/>
          <c:showBubbleSize val="0"/>
        </c:dLbls>
        <c:gapWidth val="150"/>
        <c:overlap val="-20"/>
        <c:axId val="256130456"/>
        <c:axId val="227727192"/>
      </c:barChart>
      <c:catAx>
        <c:axId val="256130456"/>
        <c:scaling>
          <c:orientation val="minMax"/>
        </c:scaling>
        <c:delete val="0"/>
        <c:axPos val="b"/>
        <c:majorTickMark val="none"/>
        <c:minorTickMark val="none"/>
        <c:tickLblPos val="none"/>
        <c:spPr>
          <a:ln w="3175">
            <a:solidFill>
              <a:srgbClr val="000000"/>
            </a:solidFill>
            <a:prstDash val="solid"/>
          </a:ln>
        </c:spPr>
        <c:crossAx val="227727192"/>
        <c:crosses val="autoZero"/>
        <c:auto val="0"/>
        <c:lblAlgn val="ctr"/>
        <c:lblOffset val="100"/>
        <c:tickMarkSkip val="1"/>
        <c:noMultiLvlLbl val="0"/>
      </c:catAx>
      <c:valAx>
        <c:axId val="227727192"/>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56130456"/>
        <c:crosses val="autoZero"/>
        <c:crossBetween val="between"/>
      </c:valAx>
      <c:spPr>
        <a:noFill/>
        <a:ln w="25400">
          <a:noFill/>
        </a:ln>
      </c:spPr>
    </c:plotArea>
    <c:legend>
      <c:legendPos val="r"/>
      <c:layout>
        <c:manualLayout>
          <c:xMode val="edge"/>
          <c:yMode val="edge"/>
          <c:x val="7.7323741939664972E-2"/>
          <c:y val="0.79538490678355922"/>
          <c:w val="0.85290509056738295"/>
          <c:h val="8.8396244283897502E-2"/>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4</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227727976"/>
        <c:axId val="227728368"/>
      </c:barChart>
      <c:catAx>
        <c:axId val="2277279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7728368"/>
        <c:crosses val="autoZero"/>
        <c:auto val="1"/>
        <c:lblAlgn val="ctr"/>
        <c:lblOffset val="100"/>
        <c:tickLblSkip val="1"/>
        <c:tickMarkSkip val="1"/>
        <c:noMultiLvlLbl val="0"/>
      </c:catAx>
      <c:valAx>
        <c:axId val="2277283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2772797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către SR</c:v>
                </c:pt>
                <c:pt idx="1">
                  <c:v>SR către RP</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către SR</c:v>
                </c:pt>
                <c:pt idx="1">
                  <c:v>SR către RP</c:v>
                </c:pt>
              </c:strCache>
            </c:strRef>
          </c:cat>
          <c:val>
            <c:numRef>
              <c:f>'Introducerea datelor'!$E$89:$E$90</c:f>
              <c:numCache>
                <c:formatCode>#,##0</c:formatCode>
                <c:ptCount val="2"/>
                <c:pt idx="0" formatCode="0">
                  <c:v>0</c:v>
                </c:pt>
                <c:pt idx="1">
                  <c:v>0</c:v>
                </c:pt>
              </c:numCache>
            </c:numRef>
          </c:val>
        </c:ser>
        <c:dLbls>
          <c:showLegendKey val="0"/>
          <c:showVal val="0"/>
          <c:showCatName val="0"/>
          <c:showSerName val="0"/>
          <c:showPercent val="0"/>
          <c:showBubbleSize val="0"/>
        </c:dLbls>
        <c:gapWidth val="101"/>
        <c:overlap val="100"/>
        <c:axId val="326846744"/>
        <c:axId val="326847136"/>
      </c:barChart>
      <c:catAx>
        <c:axId val="3268467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6847136"/>
        <c:crosses val="autoZero"/>
        <c:auto val="1"/>
        <c:lblAlgn val="ctr"/>
        <c:lblOffset val="100"/>
        <c:noMultiLvlLbl val="0"/>
      </c:catAx>
      <c:valAx>
        <c:axId val="32684713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26846744"/>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87"/>
          <c:y val="0.10989010989011004"/>
          <c:w val="0.81094724363350434"/>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6155290.9999999991</c:v>
                </c:pt>
                <c:pt idx="1">
                  <c:v>7390231.5099999988</c:v>
                </c:pt>
                <c:pt idx="2">
                  <c:v>8550797.9499999993</c:v>
                </c:pt>
                <c:pt idx="3">
                  <c:v>9352686.379999999</c:v>
                </c:pt>
                <c:pt idx="4">
                  <c:v>9352686.379999999</c:v>
                </c:pt>
                <c:pt idx="5">
                  <c:v>9352686.379999999</c:v>
                </c:pt>
                <c:pt idx="6">
                  <c:v>9352686.379999999</c:v>
                </c:pt>
                <c:pt idx="7">
                  <c:v>9352686.379999999</c:v>
                </c:pt>
                <c:pt idx="8">
                  <c:v>9352686.379999999</c:v>
                </c:pt>
                <c:pt idx="9">
                  <c:v>9352686.379999999</c:v>
                </c:pt>
                <c:pt idx="10">
                  <c:v>9352686.379999999</c:v>
                </c:pt>
                <c:pt idx="11">
                  <c:v>9352686.379999999</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6226215.8600000003</c:v>
                </c:pt>
                <c:pt idx="1">
                  <c:v>7229224.0600000005</c:v>
                </c:pt>
                <c:pt idx="2">
                  <c:v>8329708.5700000003</c:v>
                </c:pt>
                <c:pt idx="3">
                  <c:v>9617299.3499999996</c:v>
                </c:pt>
                <c:pt idx="4">
                  <c:v>9627473.3499999996</c:v>
                </c:pt>
                <c:pt idx="5">
                  <c:v>9627473.3499999996</c:v>
                </c:pt>
                <c:pt idx="6">
                  <c:v>9627473.3499999996</c:v>
                </c:pt>
                <c:pt idx="7">
                  <c:v>9627473.3499999996</c:v>
                </c:pt>
                <c:pt idx="8">
                  <c:v>9627473.3499999996</c:v>
                </c:pt>
                <c:pt idx="9">
                  <c:v>9627473.3499999996</c:v>
                </c:pt>
                <c:pt idx="10">
                  <c:v>9627473.3499999996</c:v>
                </c:pt>
                <c:pt idx="11">
                  <c:v>9627473.3499999996</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5932415.0899999999</c:v>
                </c:pt>
                <c:pt idx="1">
                  <c:v>6914404.5999999996</c:v>
                </c:pt>
                <c:pt idx="2">
                  <c:v>8028417.5499999998</c:v>
                </c:pt>
                <c:pt idx="3">
                  <c:v>9351174.3300000001</c:v>
                </c:pt>
                <c:pt idx="4">
                  <c:v>9381034.6699999999</c:v>
                </c:pt>
                <c:pt idx="5">
                  <c:v>9381034.6699999999</c:v>
                </c:pt>
                <c:pt idx="6">
                  <c:v>9381034.6699999999</c:v>
                </c:pt>
                <c:pt idx="7">
                  <c:v>9381034.6699999999</c:v>
                </c:pt>
                <c:pt idx="8">
                  <c:v>9381034.6699999999</c:v>
                </c:pt>
                <c:pt idx="9">
                  <c:v>9381034.6699999999</c:v>
                </c:pt>
                <c:pt idx="10">
                  <c:v>9381034.6699999999</c:v>
                </c:pt>
                <c:pt idx="11">
                  <c:v>9381034.6699999999</c:v>
                </c:pt>
              </c:numCache>
            </c:numRef>
          </c:val>
          <c:smooth val="0"/>
        </c:ser>
        <c:dLbls>
          <c:showLegendKey val="0"/>
          <c:showVal val="0"/>
          <c:showCatName val="0"/>
          <c:showSerName val="0"/>
          <c:showPercent val="0"/>
          <c:showBubbleSize val="0"/>
        </c:dLbls>
        <c:marker val="1"/>
        <c:smooth val="0"/>
        <c:axId val="254098808"/>
        <c:axId val="254099200"/>
      </c:lineChart>
      <c:catAx>
        <c:axId val="254098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254099200"/>
        <c:crosses val="autoZero"/>
        <c:auto val="1"/>
        <c:lblAlgn val="ctr"/>
        <c:lblOffset val="100"/>
        <c:tickLblSkip val="1"/>
        <c:tickMarkSkip val="1"/>
        <c:noMultiLvlLbl val="0"/>
      </c:catAx>
      <c:valAx>
        <c:axId val="2540992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54098808"/>
        <c:crosses val="autoZero"/>
        <c:crossBetween val="between"/>
      </c:valAx>
      <c:spPr>
        <a:solidFill>
          <a:srgbClr val="FFFFFF"/>
        </a:solidFill>
        <a:ln w="12700">
          <a:solidFill>
            <a:srgbClr val="808080"/>
          </a:solidFill>
          <a:prstDash val="solid"/>
        </a:ln>
      </c:spPr>
    </c:plotArea>
    <c:legend>
      <c:legendPos val="r"/>
      <c:layout>
        <c:manualLayout>
          <c:xMode val="edge"/>
          <c:yMode val="edge"/>
          <c:x val="6.7108497293917671E-2"/>
          <c:y val="0.74047715945619164"/>
          <c:w val="0.92212083911347342"/>
          <c:h val="0.17890707481789497"/>
        </c:manualLayout>
      </c:layout>
      <c:overlay val="0"/>
      <c:spPr>
        <a:noFill/>
        <a:ln w="25400">
          <a:noFill/>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16"/>
        </c:manualLayout>
      </c:layout>
      <c:barChart>
        <c:barDir val="col"/>
        <c:grouping val="clustered"/>
        <c:varyColors val="0"/>
        <c:ser>
          <c:idx val="0"/>
          <c:order val="0"/>
          <c:tx>
            <c:strRef>
              <c:f>'Introducerea datelor'!$B$33</c:f>
              <c:strCache>
                <c:ptCount val="1"/>
                <c:pt idx="0">
                  <c:v>Buget Cumulativ</c:v>
                </c:pt>
              </c:strCache>
            </c:strRef>
          </c:tx>
          <c:spPr>
            <a:solidFill>
              <a:schemeClr val="accent2">
                <a:lumMod val="40000"/>
                <a:lumOff val="60000"/>
              </a:schemeClr>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9172167.4499999993</c:v>
                </c:pt>
                <c:pt idx="1">
                  <c:v>10668150.789999999</c:v>
                </c:pt>
                <c:pt idx="2">
                  <c:v>12040591.76</c:v>
                </c:pt>
                <c:pt idx="3">
                  <c:v>13063822.76</c:v>
                </c:pt>
                <c:pt idx="4">
                  <c:v>13165003.98</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9932743.2899999991</c:v>
                </c:pt>
                <c:pt idx="1">
                  <c:v>12370937.68</c:v>
                </c:pt>
                <c:pt idx="2">
                  <c:v>12370937.68</c:v>
                </c:pt>
                <c:pt idx="3">
                  <c:v>12370937.68</c:v>
                </c:pt>
                <c:pt idx="4">
                  <c:v>12370937.68</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54098024"/>
        <c:axId val="254097632"/>
      </c:barChart>
      <c:catAx>
        <c:axId val="25409802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2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254097632"/>
        <c:crosses val="autoZero"/>
        <c:auto val="1"/>
        <c:lblAlgn val="ctr"/>
        <c:lblOffset val="100"/>
        <c:tickLblSkip val="1"/>
        <c:tickMarkSkip val="1"/>
        <c:noMultiLvlLbl val="0"/>
      </c:catAx>
      <c:valAx>
        <c:axId val="2540976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25409802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20" b="0" i="0" u="none" strike="noStrike" baseline="0">
                <a:solidFill>
                  <a:srgbClr val="000000"/>
                </a:solidFill>
                <a:latin typeface="Arial"/>
                <a:ea typeface="Arial"/>
                <a:cs typeface="Arial"/>
              </a:defRPr>
            </a:pPr>
            <a:endParaRPr lang="en-US"/>
          </a:p>
        </c:txPr>
      </c:legendEntry>
      <c:legendEntry>
        <c:idx val="1"/>
        <c:txPr>
          <a:bodyPr/>
          <a:lstStyle/>
          <a:p>
            <a:pPr>
              <a:defRPr sz="620" b="0" i="0" u="none" strike="noStrike" baseline="0">
                <a:solidFill>
                  <a:srgbClr val="000000"/>
                </a:solidFill>
                <a:latin typeface="Arial"/>
                <a:ea typeface="Arial"/>
                <a:cs typeface="Arial"/>
              </a:defRPr>
            </a:pPr>
            <a:endParaRPr lang="en-US"/>
          </a:p>
        </c:txPr>
      </c:legendEntry>
      <c:layout>
        <c:manualLayout>
          <c:xMode val="edge"/>
          <c:yMode val="edge"/>
          <c:x val="0.141649833037886"/>
          <c:y val="0.87772925764192167"/>
          <c:w val="0.84727597531983923"/>
          <c:h val="0.10480349344978168"/>
        </c:manualLayout>
      </c:layout>
      <c:overlay val="0"/>
      <c:spPr>
        <a:solidFill>
          <a:srgbClr val="FFFFFF"/>
        </a:solidFill>
        <a:ln w="3175">
          <a:solidFill>
            <a:srgbClr val="000000"/>
          </a:solidFill>
          <a:prstDash val="solid"/>
        </a:ln>
      </c:spPr>
      <c:txPr>
        <a:bodyPr/>
        <a:lstStyle/>
        <a:p>
          <a:pPr>
            <a:defRPr sz="44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7015"/>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12370937.68</c:v>
                </c:pt>
                <c:pt idx="1">
                  <c:v>13267226</c:v>
                </c:pt>
                <c:pt idx="2">
                  <c:v>194116.33000000002</c:v>
                </c:pt>
                <c:pt idx="3">
                  <c:v>194116.33</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1">
                  <c:v>164615.63</c:v>
                </c:pt>
                <c:pt idx="2">
                  <c:v>0</c:v>
                </c:pt>
                <c:pt idx="3">
                  <c:v>0</c:v>
                </c:pt>
              </c:numCache>
            </c:numRef>
          </c:val>
        </c:ser>
        <c:dLbls>
          <c:showLegendKey val="0"/>
          <c:showVal val="0"/>
          <c:showCatName val="0"/>
          <c:showSerName val="0"/>
          <c:showPercent val="0"/>
          <c:showBubbleSize val="0"/>
        </c:dLbls>
        <c:gapWidth val="150"/>
        <c:overlap val="100"/>
        <c:axId val="253559536"/>
        <c:axId val="253559928"/>
      </c:barChart>
      <c:catAx>
        <c:axId val="2535595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53559928"/>
        <c:crossesAt val="0"/>
        <c:auto val="1"/>
        <c:lblAlgn val="ctr"/>
        <c:lblOffset val="100"/>
        <c:noMultiLvlLbl val="0"/>
      </c:catAx>
      <c:valAx>
        <c:axId val="253559928"/>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25355953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datelor'!$C$39:$C$43</c:f>
              <c:numCache>
                <c:formatCode>#,##0</c:formatCode>
                <c:ptCount val="5"/>
                <c:pt idx="0">
                  <c:v>708260.63999999978</c:v>
                </c:pt>
                <c:pt idx="1">
                  <c:v>10888756.689999999</c:v>
                </c:pt>
                <c:pt idx="2">
                  <c:v>424100</c:v>
                </c:pt>
                <c:pt idx="3">
                  <c:v>104794</c:v>
                </c:pt>
                <c:pt idx="4">
                  <c:v>1039092.65</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datelor'!$D$39:$D$43</c:f>
              <c:numCache>
                <c:formatCode>#,##0</c:formatCode>
                <c:ptCount val="5"/>
                <c:pt idx="0">
                  <c:v>825822.35999999987</c:v>
                </c:pt>
                <c:pt idx="1">
                  <c:v>11101337.529999999</c:v>
                </c:pt>
                <c:pt idx="2">
                  <c:v>256477.4</c:v>
                </c:pt>
                <c:pt idx="3">
                  <c:v>92909.55</c:v>
                </c:pt>
                <c:pt idx="4">
                  <c:v>1084578.6100000001</c:v>
                </c:pt>
              </c:numCache>
            </c:numRef>
          </c:val>
        </c:ser>
        <c:dLbls>
          <c:showLegendKey val="0"/>
          <c:showVal val="0"/>
          <c:showCatName val="0"/>
          <c:showSerName val="0"/>
          <c:showPercent val="0"/>
          <c:showBubbleSize val="0"/>
        </c:dLbls>
        <c:gapWidth val="150"/>
        <c:axId val="326847920"/>
        <c:axId val="5891552"/>
      </c:barChart>
      <c:catAx>
        <c:axId val="326847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5891552"/>
        <c:crosses val="autoZero"/>
        <c:auto val="1"/>
        <c:lblAlgn val="ctr"/>
        <c:lblOffset val="100"/>
        <c:tickMarkSkip val="1"/>
        <c:noMultiLvlLbl val="0"/>
      </c:catAx>
      <c:valAx>
        <c:axId val="58915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2684792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7135069654741E-2"/>
          <c:y val="8.9552577813665157E-2"/>
          <c:w val="0.83314004319329704"/>
          <c:h val="0.65320736566206339"/>
        </c:manualLayout>
      </c:layout>
      <c:barChart>
        <c:barDir val="col"/>
        <c:grouping val="clustered"/>
        <c:varyColors val="0"/>
        <c:ser>
          <c:idx val="0"/>
          <c:order val="0"/>
          <c:tx>
            <c:strRef>
              <c:f>'Introducerea datelor'!$G$120</c:f>
              <c:strCache>
                <c:ptCount val="1"/>
                <c:pt idx="0">
                  <c:v>Ținta</c:v>
                </c:pt>
              </c:strCache>
            </c:strRef>
          </c:tx>
          <c:spPr>
            <a:solidFill>
              <a:srgbClr val="0066CC"/>
            </a:solidFill>
            <a:ln w="25400">
              <a:noFill/>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datelor'!$H$120:$S$120</c:f>
              <c:numCache>
                <c:formatCode>0.0</c:formatCode>
                <c:ptCount val="12"/>
                <c:pt idx="0">
                  <c:v>55.4</c:v>
                </c:pt>
                <c:pt idx="1">
                  <c:v>60</c:v>
                </c:pt>
                <c:pt idx="2">
                  <c:v>60</c:v>
                </c:pt>
                <c:pt idx="3">
                  <c:v>60</c:v>
                </c:pt>
                <c:pt idx="4">
                  <c:v>70</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invertIfNegative val="0"/>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c:v>51.53</c:v>
                </c:pt>
                <c:pt idx="1">
                  <c:v>49.3</c:v>
                </c:pt>
                <c:pt idx="2">
                  <c:v>49.3</c:v>
                </c:pt>
                <c:pt idx="3">
                  <c:v>54.27</c:v>
                </c:pt>
                <c:pt idx="4">
                  <c:v>59</c:v>
                </c:pt>
              </c:numCache>
            </c:numRef>
          </c:val>
        </c:ser>
        <c:dLbls>
          <c:showLegendKey val="0"/>
          <c:showVal val="0"/>
          <c:showCatName val="0"/>
          <c:showSerName val="0"/>
          <c:showPercent val="0"/>
          <c:showBubbleSize val="0"/>
        </c:dLbls>
        <c:gapWidth val="150"/>
        <c:axId val="5892728"/>
        <c:axId val="5893120"/>
      </c:barChart>
      <c:catAx>
        <c:axId val="5892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5893120"/>
        <c:crosses val="autoZero"/>
        <c:auto val="1"/>
        <c:lblAlgn val="ctr"/>
        <c:lblOffset val="100"/>
        <c:tickLblSkip val="1"/>
        <c:tickMarkSkip val="1"/>
        <c:noMultiLvlLbl val="0"/>
      </c:catAx>
      <c:valAx>
        <c:axId val="58931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5892728"/>
        <c:crosses val="autoZero"/>
        <c:crossBetween val="between"/>
      </c:valAx>
      <c:spPr>
        <a:noFill/>
        <a:ln w="25400">
          <a:noFill/>
        </a:ln>
      </c:spPr>
    </c:plotArea>
    <c:legend>
      <c:legendPos val="r"/>
      <c:layout>
        <c:manualLayout>
          <c:xMode val="edge"/>
          <c:yMode val="edge"/>
          <c:x val="0.17957720988847514"/>
          <c:y val="0.91191949072664258"/>
          <c:w val="0.58098600490823116"/>
          <c:h val="7.253897130262033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u!A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u!A1"/><Relationship Id="rId1" Type="http://schemas.openxmlformats.org/officeDocument/2006/relationships/chart" Target="../charts/chart6.xml"/><Relationship Id="rId6" Type="http://schemas.openxmlformats.org/officeDocument/2006/relationships/image" Target="../media/image7.png"/><Relationship Id="rId5" Type="http://schemas.openxmlformats.org/officeDocument/2006/relationships/chart" Target="../charts/chart8.xml"/><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2800249"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800293"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2800250"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800290"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2800251"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800287"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800283"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xdr:cNvGrpSpPr>
          <a:grpSpLocks/>
        </xdr:cNvGrpSpPr>
      </xdr:nvGrpSpPr>
      <xdr:grpSpPr bwMode="auto">
        <a:xfrm>
          <a:off x="327025" y="1903413"/>
          <a:ext cx="2143125" cy="2124075"/>
          <a:chOff x="32" y="188"/>
          <a:chExt cx="225" cy="225"/>
        </a:xfrm>
      </xdr:grpSpPr>
      <xdr:sp macro="" textlink="">
        <xdr:nvSpPr>
          <xdr:cNvPr id="2800281"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xdr:cNvGrpSpPr>
          <a:grpSpLocks/>
        </xdr:cNvGrpSpPr>
      </xdr:nvGrpSpPr>
      <xdr:grpSpPr bwMode="auto">
        <a:xfrm>
          <a:off x="5699125" y="3208338"/>
          <a:ext cx="1501775" cy="409575"/>
          <a:chOff x="578" y="328"/>
          <a:chExt cx="158" cy="43"/>
        </a:xfrm>
      </xdr:grpSpPr>
      <xdr:sp macro="" textlink="">
        <xdr:nvSpPr>
          <xdr:cNvPr id="2800277"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800273"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800269"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800265"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723900</xdr:colOff>
      <xdr:row>34</xdr:row>
      <xdr:rowOff>0</xdr:rowOff>
    </xdr:from>
    <xdr:to>
      <xdr:col>6</xdr:col>
      <xdr:colOff>749300</xdr:colOff>
      <xdr:row>45</xdr:row>
      <xdr:rowOff>177800</xdr:rowOff>
    </xdr:to>
    <xdr:cxnSp macro="">
      <xdr:nvCxnSpPr>
        <xdr:cNvPr id="2305189" name="AutoShape 100"/>
        <xdr:cNvCxnSpPr>
          <a:cxnSpLocks noChangeShapeType="1"/>
        </xdr:cNvCxnSpPr>
      </xdr:nvCxnSpPr>
      <xdr:spPr bwMode="auto">
        <a:xfrm>
          <a:off x="9182100" y="5803900"/>
          <a:ext cx="25400" cy="37592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1244600</xdr:colOff>
      <xdr:row>46</xdr:row>
      <xdr:rowOff>88900</xdr:rowOff>
    </xdr:from>
    <xdr:to>
      <xdr:col>5</xdr:col>
      <xdr:colOff>25400</xdr:colOff>
      <xdr:row>46</xdr:row>
      <xdr:rowOff>101600</xdr:rowOff>
    </xdr:to>
    <xdr:cxnSp macro="">
      <xdr:nvCxnSpPr>
        <xdr:cNvPr id="2305190" name="AutoShape 101"/>
        <xdr:cNvCxnSpPr>
          <a:cxnSpLocks noChangeShapeType="1"/>
        </xdr:cNvCxnSpPr>
      </xdr:nvCxnSpPr>
      <xdr:spPr bwMode="auto">
        <a:xfrm flipH="1">
          <a:off x="6159500" y="9677400"/>
          <a:ext cx="1155700" cy="1270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142875</xdr:rowOff>
    </xdr:from>
    <xdr:to>
      <xdr:col>5</xdr:col>
      <xdr:colOff>838200</xdr:colOff>
      <xdr:row>33</xdr:row>
      <xdr:rowOff>114300</xdr:rowOff>
    </xdr:to>
    <xdr:graphicFrame macro="">
      <xdr:nvGraphicFramePr>
        <xdr:cNvPr id="2125209"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59115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219075</xdr:colOff>
      <xdr:row>9</xdr:row>
      <xdr:rowOff>85725</xdr:rowOff>
    </xdr:from>
    <xdr:to>
      <xdr:col>10</xdr:col>
      <xdr:colOff>714375</xdr:colOff>
      <xdr:row>20</xdr:row>
      <xdr:rowOff>38100</xdr:rowOff>
    </xdr:to>
    <xdr:grpSp>
      <xdr:nvGrpSpPr>
        <xdr:cNvPr id="1591155" name="Group 489"/>
        <xdr:cNvGrpSpPr>
          <a:grpSpLocks/>
        </xdr:cNvGrpSpPr>
      </xdr:nvGrpSpPr>
      <xdr:grpSpPr bwMode="auto">
        <a:xfrm>
          <a:off x="4095336" y="3034334"/>
          <a:ext cx="3228561" cy="2047875"/>
          <a:chOff x="414" y="213"/>
          <a:chExt cx="366" cy="250"/>
        </a:xfrm>
      </xdr:grpSpPr>
      <xdr:graphicFrame macro="">
        <xdr:nvGraphicFramePr>
          <xdr:cNvPr id="1591159"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591160" name="Picture 477" descr="on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6" y="441"/>
            <a:ext cx="297"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591156" name="Group 490"/>
        <xdr:cNvGrpSpPr>
          <a:grpSpLocks/>
        </xdr:cNvGrpSpPr>
      </xdr:nvGrpSpPr>
      <xdr:grpSpPr bwMode="auto">
        <a:xfrm>
          <a:off x="0" y="7796834"/>
          <a:ext cx="3961986" cy="2374624"/>
          <a:chOff x="0" y="505"/>
          <a:chExt cx="407" cy="255"/>
        </a:xfrm>
      </xdr:grpSpPr>
      <xdr:graphicFrame macro="">
        <xdr:nvGraphicFramePr>
          <xdr:cNvPr id="159115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591158" name="Picture 487" descr="ok"/>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6" y="738"/>
            <a:ext cx="259" cy="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47625</xdr:rowOff>
    </xdr:from>
    <xdr:to>
      <xdr:col>10</xdr:col>
      <xdr:colOff>600075</xdr:colOff>
      <xdr:row>16</xdr:row>
      <xdr:rowOff>104775</xdr:rowOff>
    </xdr:to>
    <xdr:graphicFrame macro="">
      <xdr:nvGraphicFramePr>
        <xdr:cNvPr id="21433"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619125</xdr:colOff>
      <xdr:row>9</xdr:row>
      <xdr:rowOff>85725</xdr:rowOff>
    </xdr:from>
    <xdr:to>
      <xdr:col>16</xdr:col>
      <xdr:colOff>752475</xdr:colOff>
      <xdr:row>16</xdr:row>
      <xdr:rowOff>95250</xdr:rowOff>
    </xdr:to>
    <xdr:graphicFrame macro="">
      <xdr:nvGraphicFramePr>
        <xdr:cNvPr id="21435"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542925</xdr:colOff>
      <xdr:row>9</xdr:row>
      <xdr:rowOff>19050</xdr:rowOff>
    </xdr:from>
    <xdr:to>
      <xdr:col>4</xdr:col>
      <xdr:colOff>276225</xdr:colOff>
      <xdr:row>16</xdr:row>
      <xdr:rowOff>9525</xdr:rowOff>
    </xdr:to>
    <xdr:graphicFrame macro="">
      <xdr:nvGraphicFramePr>
        <xdr:cNvPr id="21436"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xdr:cNvGrpSpPr>
          <a:grpSpLocks/>
        </xdr:cNvGrpSpPr>
      </xdr:nvGrpSpPr>
      <xdr:grpSpPr bwMode="auto">
        <a:xfrm>
          <a:off x="7226300" y="7810500"/>
          <a:ext cx="85725" cy="0"/>
          <a:chOff x="595" y="540"/>
          <a:chExt cx="9" cy="9"/>
        </a:xfrm>
      </xdr:grpSpPr>
      <xdr:sp macro="" textlink="">
        <xdr:nvSpPr>
          <xdr:cNvPr id="2514402"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xdr:cNvGrpSpPr>
          <a:grpSpLocks/>
        </xdr:cNvGrpSpPr>
      </xdr:nvGrpSpPr>
      <xdr:grpSpPr bwMode="auto">
        <a:xfrm>
          <a:off x="8207375" y="7810500"/>
          <a:ext cx="82550" cy="0"/>
          <a:chOff x="698" y="540"/>
          <a:chExt cx="9" cy="9"/>
        </a:xfrm>
      </xdr:grpSpPr>
      <xdr:sp macro="" textlink="">
        <xdr:nvSpPr>
          <xdr:cNvPr id="2514400"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xdr:cNvGrpSpPr>
          <a:grpSpLocks/>
        </xdr:cNvGrpSpPr>
      </xdr:nvGrpSpPr>
      <xdr:grpSpPr bwMode="auto">
        <a:xfrm>
          <a:off x="5175250" y="7810500"/>
          <a:ext cx="1758950" cy="0"/>
          <a:chOff x="698" y="540"/>
          <a:chExt cx="9" cy="9"/>
        </a:xfrm>
      </xdr:grpSpPr>
      <xdr:sp macro="" textlink="">
        <xdr:nvSpPr>
          <xdr:cNvPr id="2514398"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xdr:cNvGrpSpPr>
          <a:grpSpLocks/>
        </xdr:cNvGrpSpPr>
      </xdr:nvGrpSpPr>
      <xdr:grpSpPr bwMode="auto">
        <a:xfrm>
          <a:off x="1435100" y="7810500"/>
          <a:ext cx="85725" cy="0"/>
          <a:chOff x="595" y="540"/>
          <a:chExt cx="9" cy="9"/>
        </a:xfrm>
      </xdr:grpSpPr>
      <xdr:sp macro="" textlink="">
        <xdr:nvSpPr>
          <xdr:cNvPr id="251439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62" r="H124" connectionId="0">
    <xmlCellPr id="1" uniqueName="1">
      <xmlPr mapId="43" xpath="/ns1:Root/ns1:Prog/ns1:Target_P1_5" xmlDataType="double"/>
    </xmlCellPr>
  </singleXmlCell>
  <singleXmlCell id="663" r="I124" connectionId="0">
    <xmlCellPr id="1" uniqueName="1">
      <xmlPr mapId="43" xpath="/ns1:Root/ns1:Prog/ns1:Target_P2_5" xmlDataType="double"/>
    </xmlCellPr>
  </singleXmlCell>
  <singleXmlCell id="664" r="J124" connectionId="0">
    <xmlCellPr id="1" uniqueName="1">
      <xmlPr mapId="43" xpath="/ns1:Root/ns1:Prog/ns1:Target_P3_5" xmlDataType="double"/>
    </xmlCellPr>
  </singleXmlCell>
  <singleXmlCell id="665" r="K124" connectionId="0">
    <xmlCellPr id="1" uniqueName="1">
      <xmlPr mapId="43" xpath="/ns1:Root/ns1:Prog/ns1:Target_P4_5" xmlDataType="double"/>
    </xmlCellPr>
  </singleXmlCell>
  <singleXmlCell id="666" r="L124" connectionId="0">
    <xmlCellPr id="1" uniqueName="1">
      <xmlPr mapId="43" xpath="/ns1:Root/ns1:Prog/ns1:Target_P5_5" xmlDataType="double"/>
    </xmlCellPr>
  </singleXmlCell>
  <singleXmlCell id="667" r="M124" connectionId="0">
    <xmlCellPr id="1" uniqueName="1">
      <xmlPr mapId="43" xpath="/ns1:Root/ns1:Prog/ns1:Target_P6_5" xmlDataType="double"/>
    </xmlCellPr>
  </singleXmlCell>
  <singleXmlCell id="668" r="N124" connectionId="0">
    <xmlCellPr id="1" uniqueName="1">
      <xmlPr mapId="43" xpath="/ns1:Root/ns1:Prog/ns1:Target_P7_5" xmlDataType="double"/>
    </xmlCellPr>
  </singleXmlCell>
  <singleXmlCell id="669" r="O124" connectionId="0">
    <xmlCellPr id="1" uniqueName="1">
      <xmlPr mapId="43" xpath="/ns1:Root/ns1:Prog/ns1:Target_P8_5" xmlDataType="double"/>
    </xmlCellPr>
  </singleXmlCell>
  <singleXmlCell id="670" r="P124" connectionId="0">
    <xmlCellPr id="1" uniqueName="1">
      <xmlPr mapId="43" xpath="/ns1:Root/ns1:Prog/ns1:Target_P9_5" xmlDataType="double"/>
    </xmlCellPr>
  </singleXmlCell>
  <singleXmlCell id="671" r="Q124" connectionId="0">
    <xmlCellPr id="1" uniqueName="1">
      <xmlPr mapId="43" xpath="/ns1:Root/ns1:Prog/ns1:Target_P10_5" xmlDataType="double"/>
    </xmlCellPr>
  </singleXmlCell>
  <singleXmlCell id="672" r="R124" connectionId="0">
    <xmlCellPr id="1" uniqueName="1">
      <xmlPr mapId="43" xpath="/ns1:Root/ns1:Prog/ns1:Target_P11_5" xmlDataType="double"/>
    </xmlCellPr>
  </singleXmlCell>
  <singleXmlCell id="673" r="S124" connectionId="0">
    <xmlCellPr id="1" uniqueName="1">
      <xmlPr mapId="43" xpath="/ns1:Root/ns1:Prog/ns1:Target_P12_5" xmlDataType="double"/>
    </xmlCellPr>
  </singleXmlCell>
  <singleXmlCell id="674" r="H125" connectionId="0">
    <xmlCellPr id="1" uniqueName="1">
      <xmlPr mapId="43" xpath="/ns1:Root/ns1:Prog/ns1:Achieved__P1_5" xmlDataType="double"/>
    </xmlCellPr>
  </singleXmlCell>
  <singleXmlCell id="675" r="I125" connectionId="0">
    <xmlCellPr id="1" uniqueName="1">
      <xmlPr mapId="43" xpath="/ns1:Root/ns1:Prog/ns1:Achieved__P2_5" xmlDataType="double"/>
    </xmlCellPr>
  </singleXmlCell>
  <singleXmlCell id="676" r="J125" connectionId="0">
    <xmlCellPr id="1" uniqueName="1">
      <xmlPr mapId="43" xpath="/ns1:Root/ns1:Prog/ns1:Achieved__P3_5" xmlDataType="double"/>
    </xmlCellPr>
  </singleXmlCell>
  <singleXmlCell id="677" r="K125" connectionId="0">
    <xmlCellPr id="1" uniqueName="1">
      <xmlPr mapId="43" xpath="/ns1:Root/ns1:Prog/ns1:Achieved__P4_5" xmlDataType="double"/>
    </xmlCellPr>
  </singleXmlCell>
  <singleXmlCell id="678" r="L125" connectionId="0">
    <xmlCellPr id="1" uniqueName="1">
      <xmlPr mapId="43" xpath="/ns1:Root/ns1:Prog/ns1:Achieved__P5_5" xmlDataType="string"/>
    </xmlCellPr>
  </singleXmlCell>
  <singleXmlCell id="679" r="M125" connectionId="0">
    <xmlCellPr id="1" uniqueName="1">
      <xmlPr mapId="43" xpath="/ns1:Root/ns1:Prog/ns1:Achieved__P6_5" xmlDataType="string"/>
    </xmlCellPr>
  </singleXmlCell>
  <singleXmlCell id="680" r="N125" connectionId="0">
    <xmlCellPr id="1" uniqueName="1">
      <xmlPr mapId="43" xpath="/ns1:Root/ns1:Prog/ns1:Achieved__P7_5" xmlDataType="string"/>
    </xmlCellPr>
  </singleXmlCell>
  <singleXmlCell id="681" r="O125" connectionId="0">
    <xmlCellPr id="1" uniqueName="1">
      <xmlPr mapId="43" xpath="/ns1:Root/ns1:Prog/ns1:Achieved__P8_5" xmlDataType="string"/>
    </xmlCellPr>
  </singleXmlCell>
  <singleXmlCell id="682" r="P125" connectionId="0">
    <xmlCellPr id="1" uniqueName="1">
      <xmlPr mapId="43" xpath="/ns1:Root/ns1:Prog/ns1:Achieved__P9_5" xmlDataType="string"/>
    </xmlCellPr>
  </singleXmlCell>
  <singleXmlCell id="683" r="Q125" connectionId="0">
    <xmlCellPr id="1" uniqueName="1">
      <xmlPr mapId="43" xpath="/ns1:Root/ns1:Prog/ns1:Achieved__P10_5" xmlDataType="string"/>
    </xmlCellPr>
  </singleXmlCell>
  <singleXmlCell id="684" r="R125" connectionId="0">
    <xmlCellPr id="1" uniqueName="1">
      <xmlPr mapId="43" xpath="/ns1:Root/ns1:Prog/ns1:Achieved__P11_5" xmlDataType="string"/>
    </xmlCellPr>
  </singleXmlCell>
  <singleXmlCell id="685" r="S125" connectionId="0">
    <xmlCellPr id="1" uniqueName="1">
      <xmlPr mapId="43" xpath="/ns1:Root/ns1:Prog/ns1:Achieved__P12_5" xmlDataType="string"/>
    </xmlCellPr>
  </singleXmlCell>
  <singleXmlCell id="686" r="H126" connectionId="0">
    <xmlCellPr id="1" uniqueName="1">
      <xmlPr mapId="43" xpath="/ns1:Root/ns1:Prog/ns1:Target_P1_6" xmlDataType="double"/>
    </xmlCellPr>
  </singleXmlCell>
  <singleXmlCell id="687" r="I126" connectionId="0">
    <xmlCellPr id="1" uniqueName="1">
      <xmlPr mapId="43" xpath="/ns1:Root/ns1:Prog/ns1:Target_P2_6" xmlDataType="double"/>
    </xmlCellPr>
  </singleXmlCell>
  <singleXmlCell id="688" r="J126" connectionId="0">
    <xmlCellPr id="1" uniqueName="1">
      <xmlPr mapId="43" xpath="/ns1:Root/ns1:Prog/ns1:Target_P3_6" xmlDataType="double"/>
    </xmlCellPr>
  </singleXmlCell>
  <singleXmlCell id="689" r="K126" connectionId="0">
    <xmlCellPr id="1" uniqueName="1">
      <xmlPr mapId="43" xpath="/ns1:Root/ns1:Prog/ns1:Target_P4_6" xmlDataType="double"/>
    </xmlCellPr>
  </singleXmlCell>
  <singleXmlCell id="690" r="L126" connectionId="0">
    <xmlCellPr id="1" uniqueName="1">
      <xmlPr mapId="43" xpath="/ns1:Root/ns1:Prog/ns1:Target_P5_6" xmlDataType="double"/>
    </xmlCellPr>
  </singleXmlCell>
  <singleXmlCell id="691" r="M126" connectionId="0">
    <xmlCellPr id="1" uniqueName="1">
      <xmlPr mapId="43" xpath="/ns1:Root/ns1:Prog/ns1:Target_P6_6" xmlDataType="double"/>
    </xmlCellPr>
  </singleXmlCell>
  <singleXmlCell id="692" r="N126" connectionId="0">
    <xmlCellPr id="1" uniqueName="1">
      <xmlPr mapId="43" xpath="/ns1:Root/ns1:Prog/ns1:Target_P7_6" xmlDataType="double"/>
    </xmlCellPr>
  </singleXmlCell>
  <singleXmlCell id="693" r="O126" connectionId="0">
    <xmlCellPr id="1" uniqueName="1">
      <xmlPr mapId="43" xpath="/ns1:Root/ns1:Prog/ns1:Target_P8_6" xmlDataType="double"/>
    </xmlCellPr>
  </singleXmlCell>
  <singleXmlCell id="694" r="P126" connectionId="0">
    <xmlCellPr id="1" uniqueName="1">
      <xmlPr mapId="43" xpath="/ns1:Root/ns1:Prog/ns1:Target_P9_6" xmlDataType="double"/>
    </xmlCellPr>
  </singleXmlCell>
  <singleXmlCell id="695" r="Q126" connectionId="0">
    <xmlCellPr id="1" uniqueName="1">
      <xmlPr mapId="43" xpath="/ns1:Root/ns1:Prog/ns1:Target_P10_6" xmlDataType="double"/>
    </xmlCellPr>
  </singleXmlCell>
  <singleXmlCell id="696" r="R126" connectionId="0">
    <xmlCellPr id="1" uniqueName="1">
      <xmlPr mapId="43" xpath="/ns1:Root/ns1:Prog/ns1:Target_P11_6" xmlDataType="double"/>
    </xmlCellPr>
  </singleXmlCell>
  <singleXmlCell id="697" r="S126" connectionId="0">
    <xmlCellPr id="1" uniqueName="1">
      <xmlPr mapId="43" xpath="/ns1:Root/ns1:Prog/ns1:Target_P12_6" xmlDataType="double"/>
    </xmlCellPr>
  </singleXmlCell>
  <singleXmlCell id="698" r="H127" connectionId="0">
    <xmlCellPr id="1" uniqueName="1">
      <xmlPr mapId="43" xpath="/ns1:Root/ns1:Prog/ns1:Achieved__P1_6" xmlDataType="double"/>
    </xmlCellPr>
  </singleXmlCell>
  <singleXmlCell id="699" r="I127" connectionId="0">
    <xmlCellPr id="1" uniqueName="1">
      <xmlPr mapId="43" xpath="/ns1:Root/ns1:Prog/ns1:Achieved__P2_6" xmlDataType="double"/>
    </xmlCellPr>
  </singleXmlCell>
  <singleXmlCell id="700" r="J127" connectionId="0">
    <xmlCellPr id="1" uniqueName="1">
      <xmlPr mapId="43" xpath="/ns1:Root/ns1:Prog/ns1:Achieved__P3_6" xmlDataType="double"/>
    </xmlCellPr>
  </singleXmlCell>
  <singleXmlCell id="701" r="K127" connectionId="0">
    <xmlCellPr id="1" uniqueName="1">
      <xmlPr mapId="43" xpath="/ns1:Root/ns1:Prog/ns1:Achieved__P4_6" xmlDataType="double"/>
    </xmlCellPr>
  </singleXmlCell>
  <singleXmlCell id="702" r="L127" connectionId="0">
    <xmlCellPr id="1" uniqueName="1">
      <xmlPr mapId="43" xpath="/ns1:Root/ns1:Prog/ns1:Achieved__P5_6" xmlDataType="string"/>
    </xmlCellPr>
  </singleXmlCell>
  <singleXmlCell id="703" r="M127" connectionId="0">
    <xmlCellPr id="1" uniqueName="1">
      <xmlPr mapId="43" xpath="/ns1:Root/ns1:Prog/ns1:Achieved__P6_6" xmlDataType="string"/>
    </xmlCellPr>
  </singleXmlCell>
  <singleXmlCell id="704" r="N127" connectionId="0">
    <xmlCellPr id="1" uniqueName="1">
      <xmlPr mapId="43" xpath="/ns1:Root/ns1:Prog/ns1:Achieved__P7_6" xmlDataType="string"/>
    </xmlCellPr>
  </singleXmlCell>
  <singleXmlCell id="705" r="O127" connectionId="0">
    <xmlCellPr id="1" uniqueName="1">
      <xmlPr mapId="43" xpath="/ns1:Root/ns1:Prog/ns1:Achieved__P8_6" xmlDataType="string"/>
    </xmlCellPr>
  </singleXmlCell>
  <singleXmlCell id="706" r="P127" connectionId="0">
    <xmlCellPr id="1" uniqueName="1">
      <xmlPr mapId="43" xpath="/ns1:Root/ns1:Prog/ns1:Achieved__P9_6" xmlDataType="string"/>
    </xmlCellPr>
  </singleXmlCell>
  <singleXmlCell id="707" r="Q127" connectionId="0">
    <xmlCellPr id="1" uniqueName="1">
      <xmlPr mapId="43" xpath="/ns1:Root/ns1:Prog/ns1:Achieved__P10_6" xmlDataType="string"/>
    </xmlCellPr>
  </singleXmlCell>
  <singleXmlCell id="708" r="R127" connectionId="0">
    <xmlCellPr id="1" uniqueName="1">
      <xmlPr mapId="43" xpath="/ns1:Root/ns1:Prog/ns1:Achieved__P11_6" xmlDataType="string"/>
    </xmlCellPr>
  </singleXmlCell>
  <singleXmlCell id="709" r="S127" connectionId="0">
    <xmlCellPr id="1" uniqueName="1">
      <xmlPr mapId="43" xpath="/ns1:Root/ns1:Prog/ns1:Achieved__P12_6" xmlDataType="string"/>
    </xmlCellPr>
  </singleXmlCell>
  <singleXmlCell id="710" r="H128" connectionId="0">
    <xmlCellPr id="1" uniqueName="1">
      <xmlPr mapId="43" xpath="/ns1:Root/ns1:Prog/ns1:Target_P1_7" xmlDataType="double"/>
    </xmlCellPr>
  </singleXmlCell>
  <singleXmlCell id="711" r="I128" connectionId="0">
    <xmlCellPr id="1" uniqueName="1">
      <xmlPr mapId="43" xpath="/ns1:Root/ns1:Prog/ns1:Target_P2_7" xmlDataType="double"/>
    </xmlCellPr>
  </singleXmlCell>
  <singleXmlCell id="712" r="J128" connectionId="0">
    <xmlCellPr id="1" uniqueName="1">
      <xmlPr mapId="43" xpath="/ns1:Root/ns1:Prog/ns1:Target_P3_7" xmlDataType="double"/>
    </xmlCellPr>
  </singleXmlCell>
  <singleXmlCell id="713" r="K128" connectionId="0">
    <xmlCellPr id="1" uniqueName="1">
      <xmlPr mapId="43" xpath="/ns1:Root/ns1:Prog/ns1:Target_P4_7" xmlDataType="double"/>
    </xmlCellPr>
  </singleXmlCell>
  <singleXmlCell id="714" r="L128" connectionId="0">
    <xmlCellPr id="1" uniqueName="1">
      <xmlPr mapId="43" xpath="/ns1:Root/ns1:Prog/ns1:Target_P5_7" xmlDataType="double"/>
    </xmlCellPr>
  </singleXmlCell>
  <singleXmlCell id="715" r="M128" connectionId="0">
    <xmlCellPr id="1" uniqueName="1">
      <xmlPr mapId="43" xpath="/ns1:Root/ns1:Prog/ns1:Target_P6_7" xmlDataType="double"/>
    </xmlCellPr>
  </singleXmlCell>
  <singleXmlCell id="716" r="N128" connectionId="0">
    <xmlCellPr id="1" uniqueName="1">
      <xmlPr mapId="43" xpath="/ns1:Root/ns1:Prog/ns1:Target_P7_7" xmlDataType="double"/>
    </xmlCellPr>
  </singleXmlCell>
  <singleXmlCell id="717" r="O128" connectionId="0">
    <xmlCellPr id="1" uniqueName="1">
      <xmlPr mapId="43" xpath="/ns1:Root/ns1:Prog/ns1:Target_P8_7" xmlDataType="double"/>
    </xmlCellPr>
  </singleXmlCell>
  <singleXmlCell id="718" r="P128" connectionId="0">
    <xmlCellPr id="1" uniqueName="1">
      <xmlPr mapId="43" xpath="/ns1:Root/ns1:Prog/ns1:Target_P9_7" xmlDataType="double"/>
    </xmlCellPr>
  </singleXmlCell>
  <singleXmlCell id="719" r="Q128" connectionId="0">
    <xmlCellPr id="1" uniqueName="1">
      <xmlPr mapId="43" xpath="/ns1:Root/ns1:Prog/ns1:Target_P10_7" xmlDataType="double"/>
    </xmlCellPr>
  </singleXmlCell>
  <singleXmlCell id="720" r="R128" connectionId="0">
    <xmlCellPr id="1" uniqueName="1">
      <xmlPr mapId="43" xpath="/ns1:Root/ns1:Prog/ns1:Target_P11_7" xmlDataType="double"/>
    </xmlCellPr>
  </singleXmlCell>
  <singleXmlCell id="721" r="S128" connectionId="0">
    <xmlCellPr id="1" uniqueName="1">
      <xmlPr mapId="43" xpath="/ns1:Root/ns1:Prog/ns1:Target_P12_7" xmlDataType="double"/>
    </xmlCellPr>
  </singleXmlCell>
  <singleXmlCell id="722" r="H129" connectionId="0">
    <xmlCellPr id="1" uniqueName="1">
      <xmlPr mapId="43" xpath="/ns1:Root/ns1:Prog/ns1:Achieved__P1_7" xmlDataType="double"/>
    </xmlCellPr>
  </singleXmlCell>
  <singleXmlCell id="723" r="I129" connectionId="0">
    <xmlCellPr id="1" uniqueName="1">
      <xmlPr mapId="43" xpath="/ns1:Root/ns1:Prog/ns1:Achieved__P2_7" xmlDataType="double"/>
    </xmlCellPr>
  </singleXmlCell>
  <singleXmlCell id="724" r="J129" connectionId="0">
    <xmlCellPr id="1" uniqueName="1">
      <xmlPr mapId="43" xpath="/ns1:Root/ns1:Prog/ns1:Achieved__P3_7" xmlDataType="double"/>
    </xmlCellPr>
  </singleXmlCell>
  <singleXmlCell id="725" r="K129" connectionId="0">
    <xmlCellPr id="1" uniqueName="1">
      <xmlPr mapId="43" xpath="/ns1:Root/ns1:Prog/ns1:Achieved__P4_7" xmlDataType="double"/>
    </xmlCellPr>
  </singleXmlCell>
  <singleXmlCell id="726" r="L129" connectionId="0">
    <xmlCellPr id="1" uniqueName="1">
      <xmlPr mapId="43" xpath="/ns1:Root/ns1:Prog/ns1:Achieved__P5_7" xmlDataType="string"/>
    </xmlCellPr>
  </singleXmlCell>
  <singleXmlCell id="727" r="M129" connectionId="0">
    <xmlCellPr id="1" uniqueName="1">
      <xmlPr mapId="43" xpath="/ns1:Root/ns1:Prog/ns1:Achieved__P6_7" xmlDataType="string"/>
    </xmlCellPr>
  </singleXmlCell>
  <singleXmlCell id="728" r="N129" connectionId="0">
    <xmlCellPr id="1" uniqueName="1">
      <xmlPr mapId="43" xpath="/ns1:Root/ns1:Prog/ns1:Achieved__P7_7" xmlDataType="string"/>
    </xmlCellPr>
  </singleXmlCell>
  <singleXmlCell id="729" r="O129" connectionId="0">
    <xmlCellPr id="1" uniqueName="1">
      <xmlPr mapId="43" xpath="/ns1:Root/ns1:Prog/ns1:Achieved__P8_7" xmlDataType="string"/>
    </xmlCellPr>
  </singleXmlCell>
  <singleXmlCell id="730" r="P129" connectionId="0">
    <xmlCellPr id="1" uniqueName="1">
      <xmlPr mapId="43" xpath="/ns1:Root/ns1:Prog/ns1:Achieved__P9_7" xmlDataType="string"/>
    </xmlCellPr>
  </singleXmlCell>
  <singleXmlCell id="731" r="Q129" connectionId="0">
    <xmlCellPr id="1" uniqueName="1">
      <xmlPr mapId="43" xpath="/ns1:Root/ns1:Prog/ns1:Achieved__P10_7" xmlDataType="string"/>
    </xmlCellPr>
  </singleXmlCell>
  <singleXmlCell id="732" r="R129" connectionId="0">
    <xmlCellPr id="1" uniqueName="1">
      <xmlPr mapId="43" xpath="/ns1:Root/ns1:Prog/ns1:Achieved__P11_7" xmlDataType="string"/>
    </xmlCellPr>
  </singleXmlCell>
  <singleXmlCell id="733" r="S129"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9" r="B124" connectionId="0">
    <xmlCellPr id="1" uniqueName="1">
      <xmlPr mapId="43" xpath="/ns1:Root/ns1:P5" xmlDataType="string"/>
    </xmlCellPr>
  </singleXmlCell>
  <singleXmlCell id="820" r="E124" connectionId="0">
    <xmlCellPr id="1" uniqueName="1">
      <xmlPr mapId="43" xpath="/ns1:Root/ns1:P5_Code" xmlDataType="double"/>
    </xmlCellPr>
  </singleXmlCell>
  <singleXmlCell id="821" r="F124" connectionId="0">
    <xmlCellPr id="1" uniqueName="1">
      <xmlPr mapId="43" xpath="/ns1:Root/ns1:P5_Tied" xmlDataType="string"/>
    </xmlCellPr>
  </singleXmlCell>
  <singleXmlCell id="822" r="B126" connectionId="0">
    <xmlCellPr id="1" uniqueName="1">
      <xmlPr mapId="43" xpath="/ns1:Root/ns1:P6" xmlDataType="string"/>
    </xmlCellPr>
  </singleXmlCell>
  <singleXmlCell id="823" r="E126" connectionId="0">
    <xmlCellPr id="1" uniqueName="1">
      <xmlPr mapId="43" xpath="/ns1:Root/ns1:P6_Code" xmlDataType="double"/>
    </xmlCellPr>
  </singleXmlCell>
  <singleXmlCell id="824" r="F126" connectionId="0">
    <xmlCellPr id="1" uniqueName="1">
      <xmlPr mapId="43" xpath="/ns1:Root/ns1:P6_Tied" xmlDataType="string"/>
    </xmlCellPr>
  </singleXmlCell>
  <singleXmlCell id="825" r="B128" connectionId="0">
    <xmlCellPr id="1" uniqueName="1">
      <xmlPr mapId="43" xpath="/ns1:Root/ns1:P7" xmlDataType="string"/>
    </xmlCellPr>
  </singleXmlCell>
  <singleXmlCell id="826" r="E128" connectionId="0">
    <xmlCellPr id="1" uniqueName="1">
      <xmlPr mapId="43" xpath="/ns1:Root/ns1:P7_Code" xmlDataType="double"/>
    </xmlCellPr>
  </singleXmlCell>
  <singleXmlCell id="827" r="F128"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73" t="str">
        <f>+'Detail despre Grant'!B3:J3</f>
        <v>Tabel Programatic de Evaluare:  Moldova - TB</v>
      </c>
      <c r="C2" s="573"/>
      <c r="D2" s="573"/>
      <c r="E2" s="573"/>
      <c r="F2" s="573"/>
      <c r="G2" s="573"/>
      <c r="H2" s="573"/>
      <c r="I2" s="573"/>
      <c r="J2" s="573"/>
      <c r="K2" s="573"/>
      <c r="L2" s="573"/>
      <c r="M2" s="1"/>
      <c r="N2" s="1"/>
      <c r="O2" s="1"/>
    </row>
    <row r="4" spans="2:15" ht="21">
      <c r="B4" s="574" t="str">
        <f>+IF('Introducerea datelor'!G6="Please Select", "",'Introducerea datelor'!G6) &amp;"  "&amp;+IF('Introducerea datelor'!G8="Please Select", "", 'Introducerea datelor'!G8&amp;",  ")&amp;+IF('Introducerea datelor'!I8="Please Select","",'Introducerea datelor'!I8)</f>
        <v>TB  Phase 2</v>
      </c>
      <c r="C4" s="574"/>
      <c r="D4" s="574"/>
      <c r="E4" s="575"/>
      <c r="F4" s="196"/>
      <c r="G4" s="196"/>
      <c r="H4" s="292" t="str">
        <f>+'Introducerea datelor'!B6&amp;" "&amp;+'Introducerea datelor'!C6</f>
        <v xml:space="preserve">No. Grantului : MDA-T-PCIMU </v>
      </c>
      <c r="I4" s="292"/>
      <c r="J4" s="195"/>
      <c r="K4" s="196"/>
      <c r="L4" s="196"/>
    </row>
    <row r="22" spans="2:12" ht="26.25">
      <c r="B22" s="576" t="s">
        <v>276</v>
      </c>
      <c r="C22" s="577"/>
      <c r="D22" s="577"/>
      <c r="E22" s="577"/>
      <c r="F22" s="577"/>
      <c r="G22" s="577"/>
      <c r="H22" s="577"/>
      <c r="I22" s="577"/>
      <c r="J22" s="577"/>
      <c r="K22" s="577"/>
      <c r="L22" s="577"/>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011" t="str">
        <f>'Detail despre Grant'!B3:J3</f>
        <v>Tabel Programatic de Evaluare:  Moldova - TB</v>
      </c>
      <c r="C3" s="1011"/>
      <c r="D3" s="1011"/>
      <c r="E3" s="1011"/>
      <c r="F3" s="1011"/>
      <c r="G3" s="1011"/>
      <c r="H3" s="1011"/>
      <c r="I3" s="1"/>
    </row>
    <row r="6" spans="2:15" ht="18.75">
      <c r="B6" s="960" t="s">
        <v>247</v>
      </c>
      <c r="C6" s="960"/>
      <c r="D6" s="960"/>
      <c r="E6" s="960"/>
      <c r="F6" s="960"/>
      <c r="G6" s="960"/>
      <c r="H6" s="960"/>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42" t="s">
        <v>270</v>
      </c>
      <c r="J9" s="85" t="s">
        <v>270</v>
      </c>
      <c r="M9" s="19"/>
      <c r="N9" s="19"/>
      <c r="O9" s="19"/>
    </row>
    <row r="10" spans="2:15">
      <c r="B10" s="56" t="s">
        <v>12</v>
      </c>
      <c r="C10" s="56" t="s">
        <v>7</v>
      </c>
      <c r="D10" s="56" t="s">
        <v>5</v>
      </c>
      <c r="E10" s="56" t="s">
        <v>6</v>
      </c>
      <c r="F10" s="56" t="s">
        <v>62</v>
      </c>
      <c r="G10" s="348" t="s">
        <v>24</v>
      </c>
      <c r="H10" s="59" t="s">
        <v>29</v>
      </c>
      <c r="I10" s="26" t="s">
        <v>237</v>
      </c>
      <c r="J10" s="85" t="s">
        <v>81</v>
      </c>
      <c r="M10" s="19"/>
      <c r="N10" s="19"/>
      <c r="O10" s="19"/>
    </row>
    <row r="11" spans="2:15">
      <c r="B11" s="56" t="s">
        <v>14</v>
      </c>
      <c r="C11" s="56" t="s">
        <v>2</v>
      </c>
      <c r="D11" s="56" t="s">
        <v>8</v>
      </c>
      <c r="E11" s="56" t="s">
        <v>4</v>
      </c>
      <c r="F11" s="56" t="s">
        <v>63</v>
      </c>
      <c r="G11" s="348" t="s">
        <v>25</v>
      </c>
      <c r="H11" s="59" t="s">
        <v>30</v>
      </c>
      <c r="I11" s="26" t="s">
        <v>238</v>
      </c>
      <c r="J11" s="85" t="s">
        <v>82</v>
      </c>
      <c r="M11" s="19"/>
      <c r="N11" s="19"/>
      <c r="O11" s="19"/>
    </row>
    <row r="12" spans="2:15">
      <c r="B12" s="56" t="s">
        <v>15</v>
      </c>
      <c r="D12" s="56" t="s">
        <v>9</v>
      </c>
      <c r="E12" s="56" t="s">
        <v>10</v>
      </c>
      <c r="F12" s="56" t="s">
        <v>64</v>
      </c>
      <c r="G12" s="348" t="s">
        <v>26</v>
      </c>
      <c r="H12" s="59" t="s">
        <v>31</v>
      </c>
      <c r="I12" s="26" t="s">
        <v>239</v>
      </c>
      <c r="J12" s="85" t="s">
        <v>83</v>
      </c>
      <c r="M12" s="164"/>
      <c r="N12" s="19"/>
      <c r="O12" s="19"/>
    </row>
    <row r="13" spans="2:15">
      <c r="B13" s="56" t="s">
        <v>50</v>
      </c>
      <c r="D13" s="56" t="s">
        <v>11</v>
      </c>
      <c r="E13" s="57"/>
      <c r="F13" s="56" t="s">
        <v>65</v>
      </c>
      <c r="G13" s="348" t="s">
        <v>27</v>
      </c>
      <c r="H13" s="59" t="s">
        <v>32</v>
      </c>
      <c r="I13" s="26" t="s">
        <v>240</v>
      </c>
      <c r="J13" s="85" t="s">
        <v>84</v>
      </c>
      <c r="M13" s="164"/>
      <c r="N13" s="19"/>
      <c r="O13" s="19"/>
    </row>
    <row r="14" spans="2:15">
      <c r="B14" s="56" t="s">
        <v>51</v>
      </c>
      <c r="D14" s="56" t="s">
        <v>18</v>
      </c>
      <c r="F14" s="56" t="s">
        <v>72</v>
      </c>
      <c r="G14" s="348" t="s">
        <v>28</v>
      </c>
      <c r="H14" s="59" t="s">
        <v>33</v>
      </c>
      <c r="I14" s="26" t="s">
        <v>216</v>
      </c>
      <c r="J14" s="85" t="s">
        <v>85</v>
      </c>
      <c r="M14" s="164"/>
      <c r="N14" s="19"/>
      <c r="O14" s="19"/>
    </row>
    <row r="15" spans="2:15">
      <c r="D15" s="56" t="s">
        <v>19</v>
      </c>
      <c r="F15" s="56" t="s">
        <v>73</v>
      </c>
      <c r="H15" s="59" t="s">
        <v>34</v>
      </c>
      <c r="I15" s="26" t="s">
        <v>40</v>
      </c>
      <c r="J15" s="85" t="s">
        <v>86</v>
      </c>
      <c r="M15" s="164"/>
      <c r="N15" s="19"/>
      <c r="O15" s="19"/>
    </row>
    <row r="16" spans="2:15">
      <c r="D16" s="56" t="s">
        <v>20</v>
      </c>
      <c r="F16" s="56" t="s">
        <v>74</v>
      </c>
      <c r="H16" s="59" t="s">
        <v>35</v>
      </c>
      <c r="I16" s="26" t="s">
        <v>41</v>
      </c>
      <c r="J16" s="85" t="s">
        <v>87</v>
      </c>
      <c r="M16" s="164"/>
      <c r="N16" s="19"/>
      <c r="O16" s="19"/>
    </row>
    <row r="17" spans="4:15">
      <c r="D17" s="56" t="s">
        <v>21</v>
      </c>
      <c r="F17" s="56" t="s">
        <v>75</v>
      </c>
      <c r="H17" s="59" t="s">
        <v>36</v>
      </c>
      <c r="I17" s="26" t="s">
        <v>42</v>
      </c>
      <c r="J17" s="85" t="s">
        <v>88</v>
      </c>
      <c r="M17" s="164"/>
      <c r="N17" s="19"/>
      <c r="O17" s="19"/>
    </row>
    <row r="18" spans="4:15">
      <c r="D18" s="56" t="s">
        <v>3</v>
      </c>
      <c r="F18" s="56" t="s">
        <v>76</v>
      </c>
      <c r="H18" s="59" t="s">
        <v>37</v>
      </c>
      <c r="I18" s="26" t="s">
        <v>43</v>
      </c>
      <c r="J18" s="85" t="s">
        <v>89</v>
      </c>
      <c r="M18" s="164"/>
      <c r="N18" s="19"/>
      <c r="O18" s="19"/>
    </row>
    <row r="19" spans="4:15">
      <c r="D19" s="347" t="s">
        <v>269</v>
      </c>
      <c r="F19" s="56" t="s">
        <v>77</v>
      </c>
      <c r="H19" s="59" t="s">
        <v>38</v>
      </c>
      <c r="I19" s="26" t="s">
        <v>44</v>
      </c>
      <c r="J19" s="85" t="s">
        <v>90</v>
      </c>
      <c r="M19" s="164"/>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40"/>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defaultRowHeight="15"/>
  <sheetData>
    <row r="1" spans="1:1">
      <c r="A1" s="400" t="s">
        <v>280</v>
      </c>
    </row>
    <row r="2" spans="1:1" ht="15" customHeight="1">
      <c r="A2" s="401" t="s">
        <v>376</v>
      </c>
    </row>
    <row r="3" spans="1:1">
      <c r="A3" s="400">
        <v>1.1000000000000001</v>
      </c>
    </row>
    <row r="4" spans="1:1">
      <c r="A4" s="401">
        <v>1.2</v>
      </c>
    </row>
    <row r="5" spans="1:1">
      <c r="A5" s="401">
        <v>1.3</v>
      </c>
    </row>
    <row r="6" spans="1:1">
      <c r="A6" s="400">
        <v>1.4</v>
      </c>
    </row>
    <row r="7" spans="1:1" ht="15.75" thickBot="1">
      <c r="A7" s="401">
        <v>1.5</v>
      </c>
    </row>
    <row r="8" spans="1:1">
      <c r="A8" s="402">
        <v>1.7</v>
      </c>
    </row>
    <row r="9" spans="1:1">
      <c r="A9" s="400">
        <v>2.1</v>
      </c>
    </row>
    <row r="10" spans="1:1">
      <c r="A10" s="401">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0"/>
  <sheetViews>
    <sheetView showGridLines="0" view="pageBreakPreview" zoomScale="60" zoomScaleNormal="70" workbookViewId="0">
      <pane ySplit="2" topLeftCell="A39" activePane="bottomLeft" state="frozen"/>
      <selection activeCell="E22" sqref="E22"/>
      <selection pane="bottomLeft" activeCell="B8" sqref="B8:D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5703125" style="35" hidden="1"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55" t="str">
        <f>+"Tabel Programatic de Evaluare: "&amp;" "&amp;+IF('Introducerea datelor'!C4="Please Select","",'Introducerea datelor'!C4&amp;" - ")&amp;+IF('Introducerea datelor'!G6="Please Select","",'Introducerea datelor'!G6)</f>
        <v>Tabel Programatic de Evaluare:  Moldova - TB</v>
      </c>
      <c r="C2" s="655"/>
      <c r="D2" s="655"/>
      <c r="E2" s="655"/>
      <c r="F2" s="655"/>
      <c r="G2" s="655"/>
      <c r="H2" s="655"/>
      <c r="I2" s="655"/>
      <c r="J2" s="655"/>
      <c r="K2" s="655"/>
      <c r="L2" s="655"/>
      <c r="M2" s="655"/>
    </row>
    <row r="3" spans="1:15" ht="15.75" customHeight="1">
      <c r="A3" s="3"/>
      <c r="B3" s="187"/>
      <c r="C3" s="187"/>
      <c r="D3" s="187"/>
      <c r="E3" s="187"/>
      <c r="F3" s="187"/>
      <c r="G3" s="187"/>
      <c r="H3" s="187"/>
      <c r="I3" s="187"/>
      <c r="J3" s="187"/>
      <c r="K3" s="188"/>
      <c r="L3" s="188"/>
      <c r="M3" s="3"/>
    </row>
    <row r="5" spans="1:15" ht="23.25">
      <c r="B5" s="628" t="s">
        <v>228</v>
      </c>
      <c r="C5" s="628"/>
      <c r="D5" s="628"/>
      <c r="E5" s="628"/>
      <c r="F5" s="628"/>
      <c r="G5" s="628"/>
      <c r="H5" s="628"/>
      <c r="I5" s="628"/>
      <c r="J5" s="628"/>
      <c r="K5" s="628"/>
      <c r="L5" s="628"/>
      <c r="M5" s="628"/>
      <c r="N5" s="628"/>
      <c r="O5" s="628"/>
    </row>
    <row r="7" spans="1:15" ht="21">
      <c r="B7" s="656" t="s">
        <v>217</v>
      </c>
      <c r="C7" s="657"/>
      <c r="D7" s="658"/>
      <c r="E7" s="656" t="s">
        <v>218</v>
      </c>
      <c r="F7" s="657"/>
      <c r="G7" s="657"/>
      <c r="H7" s="657"/>
      <c r="I7" s="658"/>
      <c r="J7" s="656" t="s">
        <v>219</v>
      </c>
      <c r="K7" s="657"/>
      <c r="L7" s="658"/>
      <c r="M7" s="656" t="s">
        <v>253</v>
      </c>
      <c r="N7" s="657"/>
      <c r="O7" s="658"/>
    </row>
    <row r="8" spans="1:15" ht="92.25" customHeight="1">
      <c r="B8" s="607" t="str">
        <f>+'Introducerea datelor'!B27</f>
        <v>F1: Bugetul și debursările de către Fondul Global</v>
      </c>
      <c r="C8" s="659"/>
      <c r="D8" s="660"/>
      <c r="E8" s="661" t="s">
        <v>272</v>
      </c>
      <c r="F8" s="662"/>
      <c r="G8" s="662"/>
      <c r="H8" s="662"/>
      <c r="I8" s="663"/>
      <c r="J8" s="632" t="s">
        <v>254</v>
      </c>
      <c r="K8" s="633"/>
      <c r="L8" s="634"/>
      <c r="M8" s="632" t="s">
        <v>273</v>
      </c>
      <c r="N8" s="633"/>
      <c r="O8" s="634"/>
    </row>
    <row r="9" spans="1:15" ht="110.25" customHeight="1">
      <c r="B9" s="607" t="str">
        <f>+'Introducerea datelor'!B36</f>
        <v>F2: Bugetul și cheltuielile actuale după Obiectivele Grantului</v>
      </c>
      <c r="C9" s="659"/>
      <c r="D9" s="660"/>
      <c r="E9" s="619" t="s">
        <v>262</v>
      </c>
      <c r="F9" s="620"/>
      <c r="G9" s="620"/>
      <c r="H9" s="620"/>
      <c r="I9" s="621"/>
      <c r="J9" s="632" t="s">
        <v>256</v>
      </c>
      <c r="K9" s="633"/>
      <c r="L9" s="634"/>
      <c r="M9" s="632" t="s">
        <v>273</v>
      </c>
      <c r="N9" s="633"/>
      <c r="O9" s="634"/>
    </row>
    <row r="10" spans="1:15" ht="231.75" customHeight="1">
      <c r="B10" s="665" t="str">
        <f>+'Introducerea datelor'!B49</f>
        <v>F3: Debursări și cheltuieli</v>
      </c>
      <c r="C10" s="668"/>
      <c r="D10" s="669"/>
      <c r="E10" s="619" t="s">
        <v>274</v>
      </c>
      <c r="F10" s="620"/>
      <c r="G10" s="620"/>
      <c r="H10" s="620"/>
      <c r="I10" s="621"/>
      <c r="J10" s="632" t="s">
        <v>263</v>
      </c>
      <c r="K10" s="633"/>
      <c r="L10" s="634"/>
      <c r="M10" s="632" t="s">
        <v>255</v>
      </c>
      <c r="N10" s="633"/>
      <c r="O10" s="634"/>
    </row>
    <row r="11" spans="1:15" ht="279.75" customHeight="1">
      <c r="B11" s="665" t="str">
        <f>+'Introducerea datelor'!B58</f>
        <v xml:space="preserve">F4: Ultima perioadă de raportare și debursare a RP </v>
      </c>
      <c r="C11" s="666"/>
      <c r="D11" s="667"/>
      <c r="E11" s="619" t="s">
        <v>277</v>
      </c>
      <c r="F11" s="620"/>
      <c r="G11" s="620"/>
      <c r="H11" s="620"/>
      <c r="I11" s="621"/>
      <c r="J11" s="632" t="s">
        <v>264</v>
      </c>
      <c r="K11" s="633"/>
      <c r="L11" s="634"/>
      <c r="M11" s="632" t="s">
        <v>222</v>
      </c>
      <c r="N11" s="633"/>
      <c r="O11" s="634"/>
    </row>
    <row r="12" spans="1:15" s="19" customFormat="1">
      <c r="B12" s="670"/>
      <c r="C12" s="670"/>
      <c r="D12" s="670"/>
      <c r="E12" s="664"/>
      <c r="F12" s="664"/>
      <c r="G12" s="664"/>
      <c r="H12" s="664"/>
      <c r="I12" s="664"/>
      <c r="J12" s="664"/>
      <c r="K12" s="664"/>
      <c r="L12" s="664"/>
      <c r="M12" s="664"/>
      <c r="N12" s="664"/>
      <c r="O12" s="664"/>
    </row>
    <row r="13" spans="1:15" s="19" customFormat="1" ht="9" customHeight="1">
      <c r="B13" s="654"/>
      <c r="C13" s="654"/>
      <c r="D13" s="654"/>
      <c r="E13" s="650"/>
      <c r="F13" s="650"/>
      <c r="G13" s="650"/>
      <c r="H13" s="650"/>
      <c r="I13" s="650"/>
      <c r="J13" s="650"/>
      <c r="K13" s="650"/>
      <c r="L13" s="650"/>
      <c r="M13" s="650"/>
      <c r="N13" s="650"/>
      <c r="O13" s="650"/>
    </row>
    <row r="14" spans="1:15" s="19" customFormat="1" ht="9.75" customHeight="1">
      <c r="B14" s="654"/>
      <c r="C14" s="654"/>
      <c r="D14" s="654"/>
      <c r="E14" s="650"/>
      <c r="F14" s="650"/>
      <c r="G14" s="650"/>
      <c r="H14" s="650"/>
      <c r="I14" s="650"/>
      <c r="J14" s="650"/>
      <c r="K14" s="650"/>
      <c r="L14" s="650"/>
      <c r="M14" s="650"/>
      <c r="N14" s="650"/>
      <c r="O14" s="650"/>
    </row>
    <row r="15" spans="1:15" s="19" customFormat="1">
      <c r="B15" s="654"/>
      <c r="C15" s="654"/>
      <c r="D15" s="654"/>
      <c r="E15" s="650"/>
      <c r="F15" s="650"/>
      <c r="G15" s="650"/>
      <c r="H15" s="650"/>
      <c r="I15" s="650"/>
      <c r="J15" s="650"/>
      <c r="K15" s="650"/>
      <c r="L15" s="650"/>
      <c r="M15" s="650"/>
      <c r="N15" s="650"/>
      <c r="O15" s="650"/>
    </row>
    <row r="16" spans="1:15" ht="18" customHeight="1">
      <c r="B16" s="628" t="s">
        <v>229</v>
      </c>
      <c r="C16" s="628"/>
      <c r="D16" s="628"/>
      <c r="E16" s="628"/>
      <c r="F16" s="628"/>
      <c r="G16" s="628"/>
      <c r="H16" s="628"/>
      <c r="I16" s="628"/>
      <c r="J16" s="628"/>
      <c r="K16" s="628"/>
      <c r="L16" s="628"/>
      <c r="M16" s="628"/>
      <c r="N16" s="628"/>
      <c r="O16" s="628"/>
    </row>
    <row r="17" spans="1:15" ht="9" customHeight="1"/>
    <row r="18" spans="1:15" ht="21">
      <c r="B18" s="651" t="s">
        <v>217</v>
      </c>
      <c r="C18" s="652"/>
      <c r="D18" s="653"/>
      <c r="E18" s="651" t="s">
        <v>218</v>
      </c>
      <c r="F18" s="652"/>
      <c r="G18" s="652"/>
      <c r="H18" s="652"/>
      <c r="I18" s="653"/>
      <c r="J18" s="651" t="s">
        <v>219</v>
      </c>
      <c r="K18" s="652"/>
      <c r="L18" s="653"/>
      <c r="M18" s="651" t="s">
        <v>220</v>
      </c>
      <c r="N18" s="652"/>
      <c r="O18" s="653"/>
    </row>
    <row r="19" spans="1:15" ht="114" customHeight="1">
      <c r="B19" s="607" t="str">
        <f>+'Introducerea datelor'!B69</f>
        <v xml:space="preserve">M1: Statutul Condițiilor Precedente și a Acțiunilor Prestabilite în Timp </v>
      </c>
      <c r="C19" s="608"/>
      <c r="D19" s="609"/>
      <c r="E19" s="619" t="s">
        <v>227</v>
      </c>
      <c r="F19" s="620"/>
      <c r="G19" s="620"/>
      <c r="H19" s="620"/>
      <c r="I19" s="621"/>
      <c r="J19" s="632" t="s">
        <v>257</v>
      </c>
      <c r="K19" s="633"/>
      <c r="L19" s="634"/>
      <c r="M19" s="632" t="s">
        <v>258</v>
      </c>
      <c r="N19" s="633"/>
      <c r="O19" s="634"/>
    </row>
    <row r="20" spans="1:15" ht="91.5" customHeight="1">
      <c r="B20" s="607" t="str">
        <f>+'Introducerea datelor'!B76</f>
        <v xml:space="preserve">M2: Statutul pozițiilor cheie a RP </v>
      </c>
      <c r="C20" s="608"/>
      <c r="D20" s="609"/>
      <c r="E20" s="619" t="s">
        <v>275</v>
      </c>
      <c r="F20" s="620"/>
      <c r="G20" s="620"/>
      <c r="H20" s="620"/>
      <c r="I20" s="621"/>
      <c r="J20" s="632" t="s">
        <v>224</v>
      </c>
      <c r="K20" s="633"/>
      <c r="L20" s="634"/>
      <c r="M20" s="632" t="s">
        <v>223</v>
      </c>
      <c r="N20" s="633"/>
      <c r="O20" s="634"/>
    </row>
    <row r="21" spans="1:15" ht="171.75" customHeight="1">
      <c r="B21" s="607" t="str">
        <f>+'Introducerea datelor'!B81</f>
        <v xml:space="preserve">M3: Aranjamente contractuale (SR) </v>
      </c>
      <c r="C21" s="608"/>
      <c r="D21" s="609"/>
      <c r="E21" s="622" t="s">
        <v>0</v>
      </c>
      <c r="F21" s="620"/>
      <c r="G21" s="620"/>
      <c r="H21" s="620"/>
      <c r="I21" s="621"/>
      <c r="J21" s="632" t="s">
        <v>259</v>
      </c>
      <c r="K21" s="633"/>
      <c r="L21" s="634"/>
      <c r="M21" s="632" t="s">
        <v>260</v>
      </c>
      <c r="N21" s="633"/>
      <c r="O21" s="634"/>
    </row>
    <row r="22" spans="1:15" ht="74.25" customHeight="1">
      <c r="B22" s="607" t="str">
        <f>+'Introducerea datelor'!B86</f>
        <v>M4: Numărul rapoartelor complete recepționate la timp</v>
      </c>
      <c r="C22" s="608"/>
      <c r="D22" s="609"/>
      <c r="E22" s="622" t="s">
        <v>278</v>
      </c>
      <c r="F22" s="623"/>
      <c r="G22" s="623"/>
      <c r="H22" s="623"/>
      <c r="I22" s="624"/>
      <c r="J22" s="632" t="s">
        <v>265</v>
      </c>
      <c r="K22" s="633"/>
      <c r="L22" s="634"/>
      <c r="M22" s="632" t="s">
        <v>225</v>
      </c>
      <c r="N22" s="633"/>
      <c r="O22" s="634"/>
    </row>
    <row r="23" spans="1:15" ht="135" customHeight="1">
      <c r="B23" s="610" t="str">
        <f>+'Introducerea datelor'!B92</f>
        <v xml:space="preserve">M5: Bugetul și Procurarea produselor medicale, echipamentului medical, medicamentelor și produselor farmaceutice </v>
      </c>
      <c r="C23" s="611"/>
      <c r="D23" s="612"/>
      <c r="E23" s="635" t="s">
        <v>266</v>
      </c>
      <c r="F23" s="636"/>
      <c r="G23" s="636"/>
      <c r="H23" s="636"/>
      <c r="I23" s="637"/>
      <c r="J23" s="581" t="s">
        <v>221</v>
      </c>
      <c r="K23" s="582"/>
      <c r="L23" s="583"/>
      <c r="M23" s="581" t="s">
        <v>226</v>
      </c>
      <c r="N23" s="582"/>
      <c r="O23" s="583"/>
    </row>
    <row r="24" spans="1:15" ht="97.5" customHeight="1">
      <c r="B24" s="613"/>
      <c r="C24" s="614"/>
      <c r="D24" s="615"/>
      <c r="E24" s="616" t="s">
        <v>261</v>
      </c>
      <c r="F24" s="617"/>
      <c r="G24" s="617"/>
      <c r="H24" s="617"/>
      <c r="I24" s="618"/>
      <c r="J24" s="584"/>
      <c r="K24" s="585"/>
      <c r="L24" s="586"/>
      <c r="M24" s="584"/>
      <c r="N24" s="585"/>
      <c r="O24" s="586"/>
    </row>
    <row r="25" spans="1:15" ht="196.5" customHeight="1">
      <c r="B25" s="607" t="str">
        <f>+'Introducerea datelor'!B105</f>
        <v>M6: Diferență între stocul curent și stocul de siguranță</v>
      </c>
      <c r="C25" s="608"/>
      <c r="D25" s="609"/>
      <c r="E25" s="638" t="s">
        <v>279</v>
      </c>
      <c r="F25" s="639"/>
      <c r="G25" s="639"/>
      <c r="H25" s="639"/>
      <c r="I25" s="640"/>
      <c r="J25" s="641" t="s">
        <v>267</v>
      </c>
      <c r="K25" s="642"/>
      <c r="L25" s="643"/>
      <c r="M25" s="644" t="s">
        <v>268</v>
      </c>
      <c r="N25" s="645"/>
      <c r="O25" s="646"/>
    </row>
    <row r="26" spans="1:15" ht="11.25" customHeight="1"/>
    <row r="28" spans="1:15" ht="7.5" customHeight="1"/>
    <row r="29" spans="1:15" ht="9.75" customHeight="1">
      <c r="B29" s="217"/>
    </row>
    <row r="30" spans="1:15" ht="21" customHeight="1">
      <c r="B30" s="628" t="s">
        <v>439</v>
      </c>
      <c r="C30" s="628"/>
      <c r="D30" s="628"/>
      <c r="E30" s="628"/>
      <c r="F30" s="628"/>
      <c r="G30" s="628"/>
      <c r="H30" s="628"/>
      <c r="I30" s="628"/>
      <c r="J30" s="628"/>
      <c r="K30" s="628"/>
      <c r="L30" s="628"/>
      <c r="M30" s="628"/>
      <c r="N30" s="628"/>
      <c r="O30" s="628"/>
    </row>
    <row r="31" spans="1:15" ht="12.75" customHeight="1"/>
    <row r="32" spans="1:15" ht="28.5" customHeight="1">
      <c r="A32" s="211"/>
      <c r="B32" s="629" t="s">
        <v>252</v>
      </c>
      <c r="C32" s="630"/>
      <c r="D32" s="631"/>
      <c r="E32" s="587" t="s">
        <v>468</v>
      </c>
      <c r="F32" s="588"/>
      <c r="G32" s="588"/>
      <c r="H32" s="588"/>
      <c r="I32" s="589"/>
      <c r="J32" s="587" t="s">
        <v>421</v>
      </c>
      <c r="K32" s="588"/>
      <c r="L32" s="589"/>
      <c r="M32" s="587" t="s">
        <v>422</v>
      </c>
      <c r="N32" s="588"/>
      <c r="O32" s="589"/>
    </row>
    <row r="33" spans="1:15" ht="66.75" customHeight="1">
      <c r="A33" s="212"/>
      <c r="B33" s="592" t="s">
        <v>438</v>
      </c>
      <c r="C33" s="593"/>
      <c r="D33" s="594"/>
      <c r="E33" s="578" t="s">
        <v>427</v>
      </c>
      <c r="F33" s="590"/>
      <c r="G33" s="590"/>
      <c r="H33" s="590"/>
      <c r="I33" s="591"/>
      <c r="J33" s="578" t="s">
        <v>423</v>
      </c>
      <c r="K33" s="579"/>
      <c r="L33" s="580"/>
      <c r="M33" s="578" t="s">
        <v>425</v>
      </c>
      <c r="N33" s="579"/>
      <c r="O33" s="580"/>
    </row>
    <row r="34" spans="1:15" ht="66.75" customHeight="1">
      <c r="A34" s="212"/>
      <c r="B34" s="592" t="s">
        <v>445</v>
      </c>
      <c r="C34" s="593"/>
      <c r="D34" s="594"/>
      <c r="E34" s="578" t="s">
        <v>444</v>
      </c>
      <c r="F34" s="590"/>
      <c r="G34" s="590"/>
      <c r="H34" s="590"/>
      <c r="I34" s="591"/>
      <c r="J34" s="578" t="s">
        <v>446</v>
      </c>
      <c r="K34" s="579"/>
      <c r="L34" s="580"/>
      <c r="M34" s="578" t="s">
        <v>440</v>
      </c>
      <c r="N34" s="579"/>
      <c r="O34" s="580"/>
    </row>
    <row r="35" spans="1:15" ht="74.25" customHeight="1">
      <c r="A35" s="212"/>
      <c r="B35" s="592" t="s">
        <v>447</v>
      </c>
      <c r="C35" s="593"/>
      <c r="D35" s="594"/>
      <c r="E35" s="578" t="s">
        <v>449</v>
      </c>
      <c r="F35" s="590"/>
      <c r="G35" s="590"/>
      <c r="H35" s="590"/>
      <c r="I35" s="591"/>
      <c r="J35" s="578" t="s">
        <v>423</v>
      </c>
      <c r="K35" s="579"/>
      <c r="L35" s="580"/>
      <c r="M35" s="578" t="s">
        <v>469</v>
      </c>
      <c r="N35" s="579"/>
      <c r="O35" s="580"/>
    </row>
    <row r="36" spans="1:15" ht="9.75" customHeight="1">
      <c r="A36" s="212"/>
      <c r="B36" s="647"/>
      <c r="C36" s="648"/>
      <c r="D36" s="649"/>
      <c r="E36" s="451"/>
      <c r="F36" s="449"/>
      <c r="G36" s="449"/>
      <c r="H36" s="449"/>
      <c r="I36" s="450"/>
      <c r="J36" s="451"/>
      <c r="K36" s="452"/>
      <c r="L36" s="453"/>
      <c r="M36" s="451"/>
      <c r="N36" s="452"/>
      <c r="O36" s="453"/>
    </row>
    <row r="37" spans="1:15" ht="76.5" customHeight="1">
      <c r="A37" s="212"/>
      <c r="B37" s="592" t="s">
        <v>448</v>
      </c>
      <c r="C37" s="593"/>
      <c r="D37" s="594"/>
      <c r="E37" s="578" t="s">
        <v>450</v>
      </c>
      <c r="F37" s="590"/>
      <c r="G37" s="590"/>
      <c r="H37" s="590"/>
      <c r="I37" s="591"/>
      <c r="J37" s="578" t="s">
        <v>423</v>
      </c>
      <c r="K37" s="579"/>
      <c r="L37" s="580"/>
      <c r="M37" s="578" t="s">
        <v>469</v>
      </c>
      <c r="N37" s="579"/>
      <c r="O37" s="580"/>
    </row>
    <row r="38" spans="1:15" ht="69" customHeight="1">
      <c r="A38" s="212"/>
      <c r="B38" s="592" t="s">
        <v>451</v>
      </c>
      <c r="C38" s="593"/>
      <c r="D38" s="594"/>
      <c r="E38" s="578" t="s">
        <v>428</v>
      </c>
      <c r="F38" s="579"/>
      <c r="G38" s="579"/>
      <c r="H38" s="579"/>
      <c r="I38" s="580"/>
      <c r="J38" s="578" t="s">
        <v>426</v>
      </c>
      <c r="K38" s="579"/>
      <c r="L38" s="580"/>
      <c r="M38" s="578" t="s">
        <v>424</v>
      </c>
      <c r="N38" s="579"/>
      <c r="O38" s="580"/>
    </row>
    <row r="39" spans="1:15" ht="64.5" customHeight="1">
      <c r="A39" s="212"/>
      <c r="B39" s="592" t="s">
        <v>452</v>
      </c>
      <c r="C39" s="593"/>
      <c r="D39" s="594"/>
      <c r="E39" s="578" t="s">
        <v>453</v>
      </c>
      <c r="F39" s="579"/>
      <c r="G39" s="579"/>
      <c r="H39" s="579"/>
      <c r="I39" s="580"/>
      <c r="J39" s="578" t="s">
        <v>426</v>
      </c>
      <c r="K39" s="579"/>
      <c r="L39" s="580"/>
      <c r="M39" s="578" t="s">
        <v>424</v>
      </c>
      <c r="N39" s="579"/>
      <c r="O39" s="580"/>
    </row>
    <row r="40" spans="1:15" ht="64.5" customHeight="1">
      <c r="A40" s="212"/>
      <c r="B40" s="592" t="s">
        <v>454</v>
      </c>
      <c r="C40" s="593"/>
      <c r="D40" s="594"/>
      <c r="E40" s="578" t="s">
        <v>455</v>
      </c>
      <c r="F40" s="579"/>
      <c r="G40" s="579"/>
      <c r="H40" s="579"/>
      <c r="I40" s="580"/>
      <c r="J40" s="578" t="s">
        <v>426</v>
      </c>
      <c r="K40" s="579"/>
      <c r="L40" s="580"/>
      <c r="M40" s="578" t="s">
        <v>424</v>
      </c>
      <c r="N40" s="579"/>
      <c r="O40" s="580"/>
    </row>
    <row r="41" spans="1:15" ht="64.5" customHeight="1">
      <c r="A41" s="212"/>
      <c r="B41" s="592" t="s">
        <v>456</v>
      </c>
      <c r="C41" s="593"/>
      <c r="D41" s="594"/>
      <c r="E41" s="578" t="s">
        <v>459</v>
      </c>
      <c r="F41" s="579"/>
      <c r="G41" s="579"/>
      <c r="H41" s="579"/>
      <c r="I41" s="580"/>
      <c r="J41" s="578" t="s">
        <v>457</v>
      </c>
      <c r="K41" s="579"/>
      <c r="L41" s="580"/>
      <c r="M41" s="578" t="s">
        <v>458</v>
      </c>
      <c r="N41" s="579"/>
      <c r="O41" s="580"/>
    </row>
    <row r="42" spans="1:15" ht="17.25" customHeight="1">
      <c r="A42" s="212"/>
      <c r="B42" s="592"/>
      <c r="C42" s="593"/>
      <c r="D42" s="594"/>
      <c r="E42" s="578"/>
      <c r="F42" s="579"/>
      <c r="G42" s="579"/>
      <c r="H42" s="579"/>
      <c r="I42" s="580"/>
      <c r="J42" s="578"/>
      <c r="K42" s="579"/>
      <c r="L42" s="580"/>
      <c r="M42" s="578"/>
      <c r="N42" s="579"/>
      <c r="O42" s="580"/>
    </row>
    <row r="43" spans="1:15" ht="15" customHeight="1">
      <c r="B43" s="604"/>
      <c r="C43" s="605"/>
      <c r="D43" s="606"/>
      <c r="E43" s="213"/>
      <c r="F43" s="214"/>
      <c r="G43" s="214"/>
      <c r="H43" s="214"/>
      <c r="I43" s="215"/>
      <c r="J43" s="222"/>
      <c r="K43" s="223"/>
      <c r="L43" s="224"/>
      <c r="M43" s="222"/>
      <c r="N43" s="223"/>
      <c r="O43" s="224"/>
    </row>
    <row r="44" spans="1:15" ht="44.25" customHeight="1">
      <c r="B44" s="598" t="s">
        <v>236</v>
      </c>
      <c r="C44" s="599"/>
      <c r="D44" s="600"/>
      <c r="E44" s="601" t="s">
        <v>218</v>
      </c>
      <c r="F44" s="602"/>
      <c r="G44" s="602"/>
      <c r="H44" s="602"/>
      <c r="I44" s="603"/>
      <c r="J44" s="601" t="s">
        <v>219</v>
      </c>
      <c r="K44" s="602"/>
      <c r="L44" s="603"/>
      <c r="M44" s="601" t="s">
        <v>220</v>
      </c>
      <c r="N44" s="602"/>
      <c r="O44" s="603"/>
    </row>
    <row r="45" spans="1:15" ht="33.75" customHeight="1">
      <c r="B45" s="208"/>
      <c r="C45" s="209"/>
      <c r="D45" s="209"/>
      <c r="E45" s="203"/>
      <c r="F45" s="205"/>
      <c r="G45" s="205"/>
      <c r="H45" s="205"/>
      <c r="I45" s="205"/>
      <c r="J45" s="203"/>
      <c r="K45" s="203"/>
      <c r="L45" s="204"/>
      <c r="M45" s="202"/>
      <c r="N45" s="203"/>
      <c r="O45" s="204"/>
    </row>
    <row r="46" spans="1:15" ht="15.75" customHeight="1">
      <c r="B46" s="595" t="s">
        <v>235</v>
      </c>
      <c r="C46" s="596"/>
      <c r="D46" s="596"/>
      <c r="E46" s="596"/>
      <c r="F46" s="596"/>
      <c r="G46" s="596"/>
      <c r="H46" s="596"/>
      <c r="I46" s="596"/>
      <c r="J46" s="596"/>
      <c r="K46" s="596"/>
      <c r="L46" s="597"/>
      <c r="M46" s="625" t="s">
        <v>230</v>
      </c>
      <c r="N46" s="626"/>
      <c r="O46" s="627"/>
    </row>
    <row r="47" spans="1:15">
      <c r="D47" s="189"/>
    </row>
    <row r="49" spans="4:4">
      <c r="D49" s="189"/>
    </row>
    <row r="50" spans="4:4">
      <c r="D50" s="189"/>
    </row>
  </sheetData>
  <mergeCells count="117">
    <mergeCell ref="B12:D12"/>
    <mergeCell ref="J10:L10"/>
    <mergeCell ref="J11:L11"/>
    <mergeCell ref="J12:L12"/>
    <mergeCell ref="E12:I12"/>
    <mergeCell ref="E10:I10"/>
    <mergeCell ref="B14:D14"/>
    <mergeCell ref="M14:O14"/>
    <mergeCell ref="B13:D13"/>
    <mergeCell ref="J13:L13"/>
    <mergeCell ref="E14:I14"/>
    <mergeCell ref="M22:O22"/>
    <mergeCell ref="B2:M2"/>
    <mergeCell ref="B5:O5"/>
    <mergeCell ref="M8:O8"/>
    <mergeCell ref="J8:L8"/>
    <mergeCell ref="E7:I7"/>
    <mergeCell ref="M9:O9"/>
    <mergeCell ref="B7:D7"/>
    <mergeCell ref="B8:D8"/>
    <mergeCell ref="B9:D9"/>
    <mergeCell ref="E9:I9"/>
    <mergeCell ref="E8:I8"/>
    <mergeCell ref="J7:L7"/>
    <mergeCell ref="M7:O7"/>
    <mergeCell ref="J14:L14"/>
    <mergeCell ref="M12:O12"/>
    <mergeCell ref="J9:L9"/>
    <mergeCell ref="M11:O11"/>
    <mergeCell ref="M13:O13"/>
    <mergeCell ref="M10:O10"/>
    <mergeCell ref="E13:I13"/>
    <mergeCell ref="B11:D11"/>
    <mergeCell ref="B10:D10"/>
    <mergeCell ref="E11:I11"/>
    <mergeCell ref="E15:I15"/>
    <mergeCell ref="J21:L21"/>
    <mergeCell ref="M21:O21"/>
    <mergeCell ref="B16:O16"/>
    <mergeCell ref="M18:O18"/>
    <mergeCell ref="B21:D21"/>
    <mergeCell ref="J20:L20"/>
    <mergeCell ref="E18:I18"/>
    <mergeCell ref="J18:L18"/>
    <mergeCell ref="J15:L15"/>
    <mergeCell ref="B15:D15"/>
    <mergeCell ref="M15:O15"/>
    <mergeCell ref="B18:D18"/>
    <mergeCell ref="B20:D20"/>
    <mergeCell ref="M46:O46"/>
    <mergeCell ref="B30:O30"/>
    <mergeCell ref="B32:D32"/>
    <mergeCell ref="E32:I32"/>
    <mergeCell ref="J32:L32"/>
    <mergeCell ref="M19:O19"/>
    <mergeCell ref="E19:I19"/>
    <mergeCell ref="J19:L19"/>
    <mergeCell ref="M44:O44"/>
    <mergeCell ref="M34:O34"/>
    <mergeCell ref="B19:D19"/>
    <mergeCell ref="M20:O20"/>
    <mergeCell ref="E23:I23"/>
    <mergeCell ref="J22:L22"/>
    <mergeCell ref="B22:D22"/>
    <mergeCell ref="E21:I21"/>
    <mergeCell ref="E25:I25"/>
    <mergeCell ref="J25:L25"/>
    <mergeCell ref="M25:O25"/>
    <mergeCell ref="B36:D36"/>
    <mergeCell ref="E42:I42"/>
    <mergeCell ref="B40:D40"/>
    <mergeCell ref="B42:D42"/>
    <mergeCell ref="E34:I34"/>
    <mergeCell ref="B25:D25"/>
    <mergeCell ref="B23:D24"/>
    <mergeCell ref="E24:I24"/>
    <mergeCell ref="J23:L24"/>
    <mergeCell ref="J34:L34"/>
    <mergeCell ref="J33:L33"/>
    <mergeCell ref="B39:D39"/>
    <mergeCell ref="E40:I40"/>
    <mergeCell ref="E20:I20"/>
    <mergeCell ref="E22:I22"/>
    <mergeCell ref="B41:D41"/>
    <mergeCell ref="E41:I41"/>
    <mergeCell ref="B46:L46"/>
    <mergeCell ref="B44:D44"/>
    <mergeCell ref="E44:I44"/>
    <mergeCell ref="J44:L44"/>
    <mergeCell ref="B33:D33"/>
    <mergeCell ref="B43:D43"/>
    <mergeCell ref="J39:L39"/>
    <mergeCell ref="J40:L40"/>
    <mergeCell ref="M39:O39"/>
    <mergeCell ref="M40:O40"/>
    <mergeCell ref="M23:O24"/>
    <mergeCell ref="M32:O32"/>
    <mergeCell ref="J42:L42"/>
    <mergeCell ref="M33:O33"/>
    <mergeCell ref="E33:I33"/>
    <mergeCell ref="B34:D34"/>
    <mergeCell ref="B35:D35"/>
    <mergeCell ref="E35:I35"/>
    <mergeCell ref="J35:L35"/>
    <mergeCell ref="M35:O35"/>
    <mergeCell ref="B37:D37"/>
    <mergeCell ref="B38:D38"/>
    <mergeCell ref="E37:I37"/>
    <mergeCell ref="E38:I38"/>
    <mergeCell ref="J37:L37"/>
    <mergeCell ref="J38:L38"/>
    <mergeCell ref="M42:O42"/>
    <mergeCell ref="M37:O37"/>
    <mergeCell ref="M38:O38"/>
    <mergeCell ref="M41:O41"/>
    <mergeCell ref="J41:L41"/>
    <mergeCell ref="E39:I39"/>
  </mergeCells>
  <phoneticPr fontId="23" type="noConversion"/>
  <pageMargins left="0.70866141732283472" right="0.70866141732283472" top="0.74803149606299213" bottom="0.74803149606299213" header="0.31496062992125984" footer="0.31496062992125984"/>
  <pageSetup paperSize="9" scale="53"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topLeftCell="A43" zoomScale="75" zoomScaleNormal="75" zoomScaleSheetLayoutView="75" workbookViewId="0">
      <selection activeCell="K43" sqref="K43"/>
    </sheetView>
  </sheetViews>
  <sheetFormatPr defaultColWidth="11" defaultRowHeight="15"/>
  <cols>
    <col min="1" max="1" width="2.7109375" customWidth="1"/>
    <col min="2" max="2" width="48" customWidth="1"/>
    <col min="3" max="3" width="23" customWidth="1"/>
    <col min="4" max="4" width="19.140625" customWidth="1"/>
    <col min="5" max="5" width="16.4257812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8" t="s">
        <v>283</v>
      </c>
      <c r="C2" s="698"/>
      <c r="D2" s="698"/>
      <c r="E2" s="698"/>
      <c r="F2" s="698"/>
      <c r="G2" s="698"/>
      <c r="H2" s="698"/>
      <c r="I2" s="698"/>
      <c r="J2" s="698"/>
      <c r="K2" s="239"/>
      <c r="L2" s="239"/>
      <c r="M2" s="239"/>
    </row>
    <row r="3" spans="1:13" ht="4.5" customHeight="1">
      <c r="A3" s="3"/>
      <c r="B3" s="3"/>
      <c r="C3" s="3"/>
      <c r="D3" s="3"/>
      <c r="E3" s="3"/>
      <c r="F3" s="3"/>
      <c r="G3" s="3"/>
      <c r="H3" s="3"/>
      <c r="I3" s="3"/>
      <c r="J3" s="3"/>
      <c r="K3" s="3"/>
      <c r="L3" s="3"/>
      <c r="M3" s="3"/>
    </row>
    <row r="4" spans="1:13" ht="34.5" customHeight="1">
      <c r="A4" s="3"/>
      <c r="B4" s="238" t="s">
        <v>284</v>
      </c>
      <c r="C4" s="699" t="s">
        <v>157</v>
      </c>
      <c r="D4" s="700"/>
      <c r="E4" s="701" t="s">
        <v>288</v>
      </c>
      <c r="F4" s="701"/>
      <c r="G4" s="702" t="s">
        <v>310</v>
      </c>
      <c r="H4" s="703"/>
      <c r="I4" s="703"/>
      <c r="J4" s="704"/>
      <c r="K4" s="3"/>
      <c r="L4" s="3"/>
      <c r="M4" s="3"/>
    </row>
    <row r="5" spans="1:13" ht="3" customHeight="1">
      <c r="A5" s="3"/>
      <c r="B5" s="238"/>
      <c r="C5" s="3"/>
      <c r="D5" s="3"/>
      <c r="E5" s="240"/>
      <c r="F5" s="240"/>
      <c r="G5" s="3"/>
      <c r="H5" s="3"/>
      <c r="I5" s="3"/>
      <c r="J5" s="3"/>
      <c r="K5" s="3"/>
      <c r="L5" s="3"/>
      <c r="M5" s="3"/>
    </row>
    <row r="6" spans="1:13">
      <c r="A6" s="3"/>
      <c r="B6" s="238" t="s">
        <v>285</v>
      </c>
      <c r="C6" s="699" t="s">
        <v>476</v>
      </c>
      <c r="D6" s="700"/>
      <c r="E6" s="701" t="s">
        <v>289</v>
      </c>
      <c r="F6" s="701"/>
      <c r="G6" s="262" t="s">
        <v>15</v>
      </c>
      <c r="H6" s="238" t="s">
        <v>290</v>
      </c>
      <c r="I6" s="710">
        <v>12371649.98</v>
      </c>
      <c r="J6" s="711"/>
      <c r="K6" s="3"/>
      <c r="L6" s="3"/>
      <c r="M6" s="3"/>
    </row>
    <row r="7" spans="1:13" ht="3" customHeight="1">
      <c r="A7" s="3"/>
      <c r="B7" s="238"/>
      <c r="C7" s="3"/>
      <c r="D7" s="3"/>
      <c r="E7" s="240"/>
      <c r="F7" s="240"/>
      <c r="G7" s="3"/>
      <c r="H7" s="238"/>
      <c r="I7" s="3"/>
      <c r="J7" s="3"/>
      <c r="K7" s="3"/>
      <c r="L7" s="3"/>
      <c r="M7" s="3"/>
    </row>
    <row r="8" spans="1:13">
      <c r="A8" s="3"/>
      <c r="B8" s="238" t="s">
        <v>286</v>
      </c>
      <c r="C8" s="699" t="s">
        <v>477</v>
      </c>
      <c r="D8" s="700"/>
      <c r="E8" s="241"/>
      <c r="F8" s="237" t="s">
        <v>291</v>
      </c>
      <c r="G8" s="327" t="s">
        <v>270</v>
      </c>
      <c r="H8" s="237" t="s">
        <v>292</v>
      </c>
      <c r="I8" s="699" t="s">
        <v>4</v>
      </c>
      <c r="J8" s="700"/>
      <c r="K8" s="3"/>
      <c r="L8" s="3"/>
      <c r="M8" s="3"/>
    </row>
    <row r="9" spans="1:13" ht="3" customHeight="1">
      <c r="A9" s="3"/>
      <c r="B9" s="240"/>
      <c r="C9" s="3"/>
      <c r="D9" s="3"/>
      <c r="E9" s="240"/>
      <c r="F9" s="240"/>
      <c r="G9" s="3"/>
      <c r="H9" s="3"/>
      <c r="I9" s="3"/>
      <c r="J9" s="3"/>
      <c r="K9" s="3"/>
      <c r="L9" s="3"/>
      <c r="M9" s="3"/>
    </row>
    <row r="10" spans="1:13">
      <c r="A10" s="3"/>
      <c r="B10" s="238" t="s">
        <v>381</v>
      </c>
      <c r="C10" s="707">
        <v>40452</v>
      </c>
      <c r="D10" s="708"/>
      <c r="E10" s="709" t="s">
        <v>293</v>
      </c>
      <c r="F10" s="715"/>
      <c r="G10" s="699" t="s">
        <v>37</v>
      </c>
      <c r="H10" s="713"/>
      <c r="I10" s="713"/>
      <c r="J10" s="700"/>
      <c r="K10" s="3"/>
      <c r="L10" s="3"/>
      <c r="M10" s="3"/>
    </row>
    <row r="11" spans="1:13" ht="5.25" customHeight="1">
      <c r="A11" s="3"/>
      <c r="B11" s="3"/>
      <c r="C11" s="3"/>
      <c r="D11" s="3"/>
      <c r="E11" s="3"/>
      <c r="F11" s="3"/>
      <c r="G11" s="3"/>
      <c r="H11" s="3"/>
      <c r="I11" s="3"/>
      <c r="J11" s="3"/>
      <c r="K11" s="3"/>
      <c r="L11" s="3"/>
      <c r="M11" s="3"/>
    </row>
    <row r="12" spans="1:13" ht="15" customHeight="1">
      <c r="A12" s="3"/>
      <c r="B12" s="238" t="s">
        <v>287</v>
      </c>
      <c r="C12" s="755" t="s">
        <v>24</v>
      </c>
      <c r="D12" s="755"/>
      <c r="E12" s="709" t="s">
        <v>233</v>
      </c>
      <c r="F12" s="701"/>
      <c r="G12" s="712" t="s">
        <v>478</v>
      </c>
      <c r="H12" s="712"/>
      <c r="I12" s="712"/>
      <c r="J12" s="712"/>
      <c r="K12" s="3"/>
      <c r="L12" s="3"/>
      <c r="M12" s="3"/>
    </row>
    <row r="13" spans="1:13" ht="5.25" customHeight="1">
      <c r="A13" s="3"/>
      <c r="B13" s="3"/>
      <c r="C13" s="3"/>
      <c r="D13" s="3"/>
      <c r="E13" s="3"/>
      <c r="F13" s="3"/>
      <c r="G13" s="3"/>
      <c r="H13" s="3"/>
      <c r="I13" s="3"/>
      <c r="J13" s="3"/>
      <c r="K13" s="3"/>
      <c r="L13" s="3"/>
      <c r="M13" s="3"/>
    </row>
    <row r="14" spans="1:13" ht="15.75" customHeight="1">
      <c r="A14" s="3"/>
      <c r="B14" s="698" t="s">
        <v>294</v>
      </c>
      <c r="C14" s="698"/>
      <c r="D14" s="698"/>
      <c r="E14" s="698"/>
      <c r="F14" s="698"/>
      <c r="G14" s="698"/>
      <c r="H14" s="698"/>
      <c r="I14" s="698"/>
      <c r="J14" s="698"/>
      <c r="K14" s="3"/>
      <c r="L14" s="3"/>
      <c r="M14" s="3"/>
    </row>
    <row r="15" spans="1:13" ht="3" customHeight="1">
      <c r="A15" s="3"/>
      <c r="B15" s="3"/>
      <c r="C15" s="3"/>
      <c r="D15" s="3"/>
      <c r="E15" s="3"/>
      <c r="F15" s="3"/>
      <c r="G15" s="3"/>
      <c r="H15" s="3"/>
      <c r="I15" s="3"/>
      <c r="J15" s="3"/>
      <c r="K15" s="3"/>
      <c r="L15" s="3"/>
      <c r="M15" s="3"/>
    </row>
    <row r="16" spans="1:13" s="35" customFormat="1" ht="30" customHeight="1">
      <c r="A16" s="398"/>
      <c r="B16" s="399" t="s">
        <v>295</v>
      </c>
      <c r="C16" s="506" t="s">
        <v>72</v>
      </c>
      <c r="D16" s="507" t="s">
        <v>296</v>
      </c>
      <c r="E16" s="508">
        <v>42005</v>
      </c>
      <c r="F16" s="509" t="s">
        <v>297</v>
      </c>
      <c r="G16" s="508">
        <v>42185</v>
      </c>
      <c r="H16" s="705" t="s">
        <v>429</v>
      </c>
      <c r="I16" s="706"/>
      <c r="J16" s="508">
        <v>42231</v>
      </c>
      <c r="K16" s="398"/>
      <c r="L16" s="398"/>
      <c r="M16" s="398"/>
    </row>
    <row r="17" spans="1:35" ht="3" customHeight="1">
      <c r="A17" s="3"/>
      <c r="B17" s="3"/>
      <c r="C17" s="3"/>
      <c r="D17" s="3"/>
      <c r="E17" s="3"/>
      <c r="F17" s="3"/>
      <c r="G17" s="3"/>
      <c r="H17" s="3"/>
      <c r="I17" s="3"/>
      <c r="J17" s="3"/>
      <c r="K17" s="3"/>
      <c r="L17" s="3"/>
      <c r="M17" s="3"/>
    </row>
    <row r="18" spans="1:35">
      <c r="A18" s="3"/>
      <c r="B18" s="714" t="s">
        <v>384</v>
      </c>
      <c r="C18" s="715"/>
      <c r="D18" s="756" t="s">
        <v>477</v>
      </c>
      <c r="E18" s="756"/>
      <c r="F18" s="756"/>
      <c r="G18" s="242"/>
      <c r="H18" s="242"/>
      <c r="I18" s="242"/>
      <c r="J18" s="24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98" t="s">
        <v>298</v>
      </c>
      <c r="C21" s="698"/>
      <c r="D21" s="698"/>
      <c r="E21" s="698"/>
      <c r="F21" s="698"/>
      <c r="G21" s="698"/>
      <c r="H21" s="698"/>
      <c r="I21" s="698"/>
      <c r="J21" s="698"/>
      <c r="K21" s="3"/>
      <c r="L21" s="3"/>
      <c r="M21" s="3"/>
    </row>
    <row r="22" spans="1:35">
      <c r="A22" s="3"/>
      <c r="B22" s="240" t="s">
        <v>431</v>
      </c>
      <c r="C22" s="3"/>
      <c r="D22" s="3"/>
      <c r="E22" s="243"/>
      <c r="F22" s="243"/>
      <c r="G22" s="3"/>
      <c r="H22" s="3"/>
      <c r="I22" s="243"/>
      <c r="J22" s="243"/>
      <c r="K22" s="3"/>
      <c r="L22" s="3"/>
      <c r="M22" s="3"/>
    </row>
    <row r="23" spans="1:35" ht="3" customHeight="1">
      <c r="A23" s="3"/>
      <c r="B23" s="3"/>
      <c r="C23" s="3"/>
      <c r="D23" s="3"/>
      <c r="E23" s="3"/>
      <c r="F23" s="3"/>
      <c r="G23" s="3"/>
      <c r="H23" s="3"/>
      <c r="I23" s="3"/>
      <c r="J23" s="3"/>
      <c r="K23" s="3"/>
      <c r="L23" s="3"/>
      <c r="M23" s="3"/>
    </row>
    <row r="24" spans="1:35" ht="15.75" thickBot="1">
      <c r="A24" s="3"/>
      <c r="B24" s="238" t="s">
        <v>299</v>
      </c>
      <c r="C24" s="319"/>
      <c r="D24" s="701" t="s">
        <v>300</v>
      </c>
      <c r="E24" s="701"/>
      <c r="F24" s="320"/>
      <c r="G24" s="701" t="s">
        <v>301</v>
      </c>
      <c r="H24" s="701"/>
      <c r="I24" s="753"/>
      <c r="J24" s="754"/>
      <c r="K24" s="3"/>
      <c r="L24" s="3"/>
      <c r="M24" s="3"/>
      <c r="N24" s="20"/>
    </row>
    <row r="25" spans="1:35" ht="26.25" customHeight="1" thickBot="1">
      <c r="A25" s="3"/>
      <c r="B25" s="86" t="s">
        <v>299</v>
      </c>
      <c r="C25" s="87"/>
      <c r="D25" s="87"/>
      <c r="E25" s="87"/>
      <c r="F25" s="87"/>
      <c r="G25" s="87"/>
      <c r="H25" s="227"/>
      <c r="I25" s="88"/>
      <c r="J25" s="88"/>
      <c r="K25" s="227" t="s">
        <v>430</v>
      </c>
      <c r="L25" s="87"/>
      <c r="M25" s="87"/>
      <c r="N25" s="335"/>
      <c r="O25" s="39"/>
      <c r="AI25" s="43"/>
    </row>
    <row r="26" spans="1:35">
      <c r="A26" s="3"/>
      <c r="B26" s="745" t="s">
        <v>302</v>
      </c>
      <c r="C26" s="746"/>
      <c r="D26" s="395" t="s">
        <v>2</v>
      </c>
      <c r="E26" s="90"/>
      <c r="F26" s="90"/>
      <c r="G26" s="90"/>
      <c r="H26" s="90"/>
      <c r="I26" s="90"/>
      <c r="J26" s="91"/>
      <c r="K26" s="90"/>
      <c r="L26" s="90"/>
      <c r="M26" s="90"/>
      <c r="N26" s="39"/>
      <c r="O26" s="39"/>
      <c r="AI26" s="43"/>
    </row>
    <row r="27" spans="1:35" ht="18.75">
      <c r="A27" s="3"/>
      <c r="B27" s="89" t="s">
        <v>303</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747" t="s">
        <v>307</v>
      </c>
      <c r="C29" s="748"/>
      <c r="D29" s="748"/>
      <c r="E29" s="748"/>
      <c r="F29" s="748"/>
      <c r="G29" s="748"/>
      <c r="H29" s="748"/>
      <c r="I29" s="748"/>
      <c r="J29" s="748"/>
      <c r="K29" s="748"/>
      <c r="L29" s="748"/>
      <c r="M29" s="748"/>
      <c r="N29" s="749"/>
      <c r="P29" s="175"/>
      <c r="Q29" s="176"/>
      <c r="R29" s="177">
        <f>+C33</f>
        <v>9172167.4499999993</v>
      </c>
      <c r="S29" s="175"/>
    </row>
    <row r="30" spans="1:35">
      <c r="A30" s="3"/>
      <c r="B30" s="92" t="s">
        <v>304</v>
      </c>
      <c r="C30" s="305" t="s">
        <v>62</v>
      </c>
      <c r="D30" s="305" t="s">
        <v>63</v>
      </c>
      <c r="E30" s="305" t="s">
        <v>64</v>
      </c>
      <c r="F30" s="305" t="s">
        <v>65</v>
      </c>
      <c r="G30" s="305" t="s">
        <v>72</v>
      </c>
      <c r="H30" s="305" t="s">
        <v>73</v>
      </c>
      <c r="I30" s="305" t="s">
        <v>74</v>
      </c>
      <c r="J30" s="305" t="s">
        <v>75</v>
      </c>
      <c r="K30" s="305" t="s">
        <v>76</v>
      </c>
      <c r="L30" s="305" t="s">
        <v>77</v>
      </c>
      <c r="M30" s="305" t="s">
        <v>78</v>
      </c>
      <c r="N30" s="306" t="s">
        <v>232</v>
      </c>
      <c r="O30" s="307" t="s">
        <v>316</v>
      </c>
      <c r="P30" s="564"/>
      <c r="Q30" s="488"/>
      <c r="R30" s="177">
        <f>+D33</f>
        <v>10668150.789999999</v>
      </c>
      <c r="S30" s="175"/>
    </row>
    <row r="31" spans="1:35">
      <c r="A31" s="3"/>
      <c r="B31" s="235" t="str">
        <f>CONCATENATE("Buget (in ",'Introducerea datelor'!$D$26,")")</f>
        <v>Buget (in €)</v>
      </c>
      <c r="C31" s="510">
        <v>2423956.81</v>
      </c>
      <c r="D31" s="510">
        <v>1495983.34</v>
      </c>
      <c r="E31" s="313">
        <v>1372440.97</v>
      </c>
      <c r="F31" s="426">
        <v>1023231</v>
      </c>
      <c r="G31" s="313">
        <v>101181.22</v>
      </c>
      <c r="H31" s="426"/>
      <c r="I31" s="426"/>
      <c r="J31" s="313"/>
      <c r="K31" s="313"/>
      <c r="L31" s="313"/>
      <c r="M31" s="313"/>
      <c r="N31" s="313"/>
      <c r="O31" s="794">
        <f>G34/I6</f>
        <v>0.99994242481793838</v>
      </c>
      <c r="P31" s="564"/>
      <c r="Q31" s="488"/>
      <c r="R31" s="177">
        <f>+E33</f>
        <v>12040591.76</v>
      </c>
      <c r="S31" s="175"/>
    </row>
    <row r="32" spans="1:35">
      <c r="A32" s="3"/>
      <c r="B32" s="92" t="str">
        <f>CONCATENATE("Debursări de către FG (in ", $D$26,")")</f>
        <v>Debursări de către FG (in €)</v>
      </c>
      <c r="C32" s="510">
        <v>2872440.33</v>
      </c>
      <c r="D32" s="510">
        <v>2438194.39</v>
      </c>
      <c r="E32" s="314"/>
      <c r="F32" s="427"/>
      <c r="G32" s="314"/>
      <c r="H32" s="427"/>
      <c r="I32" s="426"/>
      <c r="J32" s="313"/>
      <c r="K32" s="313"/>
      <c r="L32" s="313"/>
      <c r="M32" s="313"/>
      <c r="N32" s="313"/>
      <c r="O32" s="795"/>
      <c r="P32" s="564"/>
      <c r="Q32" s="488"/>
      <c r="R32" s="177">
        <f>+F33</f>
        <v>13063822.76</v>
      </c>
      <c r="S32" s="175"/>
    </row>
    <row r="33" spans="1:35">
      <c r="A33" s="3"/>
      <c r="B33" s="93" t="s">
        <v>305</v>
      </c>
      <c r="C33" s="511">
        <v>9172167.4499999993</v>
      </c>
      <c r="D33" s="511">
        <f>IF(AND(D31=0,D32=0),0,+C33+D31)</f>
        <v>10668150.789999999</v>
      </c>
      <c r="E33" s="315">
        <f t="shared" ref="E33:N33" si="0">IF(AND(E31=0,E32=0),0,+D33+E31)</f>
        <v>12040591.76</v>
      </c>
      <c r="F33" s="428">
        <f>IF(AND(F31=0,F32=0),0,+E33+F31)</f>
        <v>13063822.76</v>
      </c>
      <c r="G33" s="315">
        <f t="shared" si="0"/>
        <v>13165003.98</v>
      </c>
      <c r="H33" s="428">
        <f t="shared" si="0"/>
        <v>0</v>
      </c>
      <c r="I33" s="428">
        <f t="shared" si="0"/>
        <v>0</v>
      </c>
      <c r="J33" s="315">
        <f t="shared" si="0"/>
        <v>0</v>
      </c>
      <c r="K33" s="315">
        <f t="shared" si="0"/>
        <v>0</v>
      </c>
      <c r="L33" s="315">
        <f t="shared" si="0"/>
        <v>0</v>
      </c>
      <c r="M33" s="315">
        <f t="shared" si="0"/>
        <v>0</v>
      </c>
      <c r="N33" s="315">
        <f t="shared" si="0"/>
        <v>0</v>
      </c>
      <c r="O33" s="795"/>
      <c r="P33" s="565"/>
      <c r="Q33" s="488"/>
      <c r="R33" s="177">
        <f>+G33</f>
        <v>13165003.98</v>
      </c>
      <c r="S33" s="175"/>
    </row>
    <row r="34" spans="1:35" ht="15.75" thickBot="1">
      <c r="A34" s="3"/>
      <c r="B34" s="94" t="s">
        <v>306</v>
      </c>
      <c r="C34" s="512">
        <v>9932743.2899999991</v>
      </c>
      <c r="D34" s="512">
        <f>IF(AND(D31=0,D32=0),0,+C34+D32)</f>
        <v>12370937.68</v>
      </c>
      <c r="E34" s="316">
        <f t="shared" ref="E34:N34" si="1">IF(AND(E31=0,E32=0),0,+D34+E32)</f>
        <v>12370937.68</v>
      </c>
      <c r="F34" s="429">
        <f t="shared" si="1"/>
        <v>12370937.68</v>
      </c>
      <c r="G34" s="316">
        <f>IF(AND(G31=0,G32=0),0,+F34+G32)</f>
        <v>12370937.68</v>
      </c>
      <c r="H34" s="429">
        <f t="shared" si="1"/>
        <v>0</v>
      </c>
      <c r="I34" s="429">
        <f t="shared" si="1"/>
        <v>0</v>
      </c>
      <c r="J34" s="316">
        <f t="shared" si="1"/>
        <v>0</v>
      </c>
      <c r="K34" s="316">
        <f t="shared" si="1"/>
        <v>0</v>
      </c>
      <c r="L34" s="316">
        <f t="shared" si="1"/>
        <v>0</v>
      </c>
      <c r="M34" s="316">
        <f t="shared" si="1"/>
        <v>0</v>
      </c>
      <c r="N34" s="316">
        <f t="shared" si="1"/>
        <v>0</v>
      </c>
      <c r="O34" s="796"/>
      <c r="P34" s="565"/>
      <c r="Q34" s="488"/>
      <c r="R34" s="177">
        <f>+H33</f>
        <v>0</v>
      </c>
      <c r="S34" s="175"/>
    </row>
    <row r="35" spans="1:35">
      <c r="A35" s="3"/>
      <c r="B35" s="3"/>
      <c r="C35" s="286">
        <f>+IF(AND(C30=$C$16,C33&lt;&gt;0),C34/C33,0)</f>
        <v>0</v>
      </c>
      <c r="D35" s="286">
        <f t="shared" ref="D35:N35" si="2">+IF(AND(D30=$C$16,D33&lt;&gt;0),D34/D33,0)</f>
        <v>0</v>
      </c>
      <c r="E35" s="286">
        <f t="shared" si="2"/>
        <v>0</v>
      </c>
      <c r="F35" s="286">
        <f t="shared" si="2"/>
        <v>0</v>
      </c>
      <c r="G35" s="286">
        <f t="shared" si="2"/>
        <v>0.93968355032734285</v>
      </c>
      <c r="H35" s="286">
        <f t="shared" si="2"/>
        <v>0</v>
      </c>
      <c r="I35" s="286">
        <f t="shared" si="2"/>
        <v>0</v>
      </c>
      <c r="J35" s="286">
        <f t="shared" si="2"/>
        <v>0</v>
      </c>
      <c r="K35" s="286">
        <f t="shared" si="2"/>
        <v>0</v>
      </c>
      <c r="L35" s="286">
        <f t="shared" si="2"/>
        <v>0</v>
      </c>
      <c r="M35" s="286">
        <f t="shared" si="2"/>
        <v>0</v>
      </c>
      <c r="N35" s="286">
        <f t="shared" si="2"/>
        <v>0</v>
      </c>
      <c r="O35" s="244"/>
      <c r="P35" s="566"/>
      <c r="Q35" s="489"/>
      <c r="R35" s="177">
        <f>+I33</f>
        <v>0</v>
      </c>
      <c r="S35" s="175"/>
    </row>
    <row r="36" spans="1:35" ht="18.75">
      <c r="A36" s="3"/>
      <c r="B36" s="89" t="s">
        <v>308</v>
      </c>
      <c r="C36" s="3"/>
      <c r="D36" s="3"/>
      <c r="E36" s="295"/>
      <c r="F36" s="3"/>
      <c r="G36" s="221"/>
      <c r="H36" s="3"/>
      <c r="I36" s="3"/>
      <c r="J36" s="3"/>
      <c r="K36" s="3"/>
      <c r="L36" s="3"/>
      <c r="M36" s="3"/>
      <c r="N36" s="40"/>
      <c r="O36" s="40"/>
      <c r="Q36" s="35"/>
      <c r="AI36" s="20"/>
    </row>
    <row r="37" spans="1:35" ht="15.75" thickBot="1">
      <c r="A37" s="3"/>
      <c r="B37" s="3"/>
      <c r="C37" s="3"/>
      <c r="D37" s="3"/>
      <c r="E37" s="3"/>
      <c r="F37" s="3"/>
      <c r="G37" s="3"/>
      <c r="H37" s="3"/>
      <c r="I37" s="3"/>
      <c r="J37" s="3"/>
      <c r="K37" s="3"/>
      <c r="L37" s="3"/>
      <c r="M37" s="3"/>
      <c r="N37" s="38"/>
      <c r="O37" s="38"/>
      <c r="Q37" s="35"/>
    </row>
    <row r="38" spans="1:35" ht="30" customHeight="1">
      <c r="A38" s="3"/>
      <c r="B38" s="321" t="s">
        <v>309</v>
      </c>
      <c r="C38" s="322" t="str">
        <f>CONCATENATE("Bugetul Cumulativ (în ",'Introducerea datelor'!$D$26,")")</f>
        <v>Bugetul Cumulativ (în €)</v>
      </c>
      <c r="D38" s="323" t="str">
        <f>CONCATENATE("Cheltuielile Cumulative (în ",'Introducerea datelor'!$D$26,")")</f>
        <v>Cheltuielile Cumulative (în €)</v>
      </c>
      <c r="E38" s="233"/>
      <c r="F38" s="246"/>
      <c r="G38" s="3"/>
      <c r="H38" s="3"/>
      <c r="I38" s="3"/>
      <c r="J38" s="99"/>
      <c r="K38" s="41"/>
      <c r="N38"/>
      <c r="O38"/>
      <c r="Q38" s="35"/>
      <c r="AE38" s="20"/>
      <c r="AF38" s="35"/>
    </row>
    <row r="39" spans="1:35" ht="46.5" customHeight="1">
      <c r="A39" s="3"/>
      <c r="B39" s="385" t="s">
        <v>311</v>
      </c>
      <c r="C39" s="430">
        <f>671890.36+9092.57+9092.57+9092.57+9092.57</f>
        <v>708260.63999999978</v>
      </c>
      <c r="D39" s="431">
        <f>728120.53+102223.84+1753.49+4485.73-7432.68+4042.95-9165.31+1793.81</f>
        <v>825822.35999999987</v>
      </c>
      <c r="E39" s="567"/>
      <c r="F39" s="302"/>
      <c r="G39" s="303"/>
      <c r="H39" s="3"/>
      <c r="I39" s="3"/>
      <c r="J39" s="100"/>
      <c r="K39" s="42"/>
      <c r="N39"/>
      <c r="O39"/>
      <c r="Q39" s="35"/>
      <c r="AE39" s="20"/>
      <c r="AF39" s="35"/>
    </row>
    <row r="40" spans="1:35" ht="31.5" customHeight="1">
      <c r="A40" s="3"/>
      <c r="B40" s="385" t="s">
        <v>312</v>
      </c>
      <c r="C40" s="430">
        <f>7238109.28+1410611.36+1276805+937859.03+25372.02</f>
        <v>10888756.689999999</v>
      </c>
      <c r="D40" s="431">
        <f>5006646.89+2170340.92+1153058.14+1253806.94+1451109.33+66375.31</f>
        <v>11101337.529999999</v>
      </c>
      <c r="E40" s="15"/>
      <c r="F40" s="302"/>
      <c r="G40" s="303"/>
      <c r="H40" s="3"/>
      <c r="I40" s="3"/>
      <c r="J40" s="3"/>
      <c r="K40" s="42"/>
      <c r="N40"/>
      <c r="O40"/>
      <c r="Q40" s="35"/>
      <c r="AE40" s="20"/>
      <c r="AF40" s="35"/>
    </row>
    <row r="41" spans="1:35" ht="48" customHeight="1">
      <c r="A41" s="3"/>
      <c r="B41" s="385" t="s">
        <v>313</v>
      </c>
      <c r="C41" s="432">
        <v>424100</v>
      </c>
      <c r="D41" s="431">
        <v>256477.4</v>
      </c>
      <c r="E41" s="15"/>
      <c r="F41" s="304"/>
      <c r="G41" s="3"/>
      <c r="H41" s="3"/>
      <c r="I41" s="3"/>
      <c r="J41" s="3"/>
      <c r="K41" s="42"/>
      <c r="N41"/>
      <c r="O41"/>
      <c r="Q41" s="35"/>
      <c r="AE41" s="20"/>
      <c r="AF41" s="35"/>
    </row>
    <row r="42" spans="1:35" ht="30" customHeight="1">
      <c r="A42" s="3"/>
      <c r="B42" s="385" t="s">
        <v>314</v>
      </c>
      <c r="C42" s="430">
        <v>104794</v>
      </c>
      <c r="D42" s="431">
        <v>92909.55</v>
      </c>
      <c r="E42" s="15"/>
      <c r="F42" s="301"/>
      <c r="G42" s="3"/>
      <c r="H42" s="3"/>
      <c r="I42" s="3"/>
      <c r="J42" s="3"/>
      <c r="K42" s="20"/>
      <c r="N42"/>
      <c r="O42"/>
      <c r="Q42" s="35"/>
      <c r="AE42" s="20"/>
      <c r="AF42" s="35"/>
    </row>
    <row r="43" spans="1:35">
      <c r="A43" s="3"/>
      <c r="B43" s="386" t="s">
        <v>315</v>
      </c>
      <c r="C43" s="432">
        <f>627837.84+96343.4+76279.41+86543.4+76279.4+75809.2</f>
        <v>1039092.65</v>
      </c>
      <c r="D43" s="431">
        <f>652418.29+79845.89+85624.61+91873.36+82179.42+92637.04</f>
        <v>1084578.6100000001</v>
      </c>
      <c r="E43" s="15"/>
      <c r="F43" s="245"/>
      <c r="G43" s="3"/>
      <c r="H43" s="3"/>
      <c r="I43" s="3"/>
      <c r="J43" s="3"/>
      <c r="K43" s="20"/>
      <c r="N43"/>
      <c r="O43"/>
      <c r="Q43" s="35"/>
      <c r="AE43" s="20"/>
      <c r="AF43" s="35"/>
    </row>
    <row r="44" spans="1:35">
      <c r="A44" s="3"/>
      <c r="B44" s="386" t="s">
        <v>434</v>
      </c>
      <c r="C44" s="432"/>
      <c r="D44" s="431">
        <f>58814.1+5304.98+916.65+34+43.02+5603.28</f>
        <v>70716.03</v>
      </c>
      <c r="E44" s="15"/>
      <c r="F44" s="343"/>
      <c r="G44" s="3"/>
      <c r="H44" s="3"/>
      <c r="I44" s="3"/>
      <c r="J44" s="3"/>
      <c r="K44" s="20"/>
      <c r="N44"/>
      <c r="O44"/>
      <c r="Q44" s="35"/>
      <c r="AE44" s="20"/>
      <c r="AF44" s="35"/>
    </row>
    <row r="45" spans="1:35">
      <c r="A45" s="3"/>
      <c r="B45" s="324"/>
      <c r="C45" s="432"/>
      <c r="D45" s="431"/>
      <c r="E45" s="15"/>
      <c r="F45" s="245"/>
      <c r="G45" s="15"/>
      <c r="H45" s="15"/>
      <c r="I45" s="15"/>
      <c r="J45" s="15"/>
      <c r="K45" s="20"/>
      <c r="N45"/>
      <c r="O45"/>
      <c r="Q45" s="35"/>
      <c r="AE45" s="35"/>
      <c r="AF45" s="35"/>
    </row>
    <row r="46" spans="1:35" ht="15.75" thickBot="1">
      <c r="A46" s="3"/>
      <c r="B46" s="325"/>
      <c r="C46" s="430"/>
      <c r="D46" s="431"/>
      <c r="E46" s="15"/>
      <c r="F46" s="15"/>
      <c r="G46" s="15"/>
      <c r="H46" s="15"/>
      <c r="I46" s="15"/>
      <c r="J46" s="15"/>
      <c r="K46" s="20"/>
      <c r="N46"/>
      <c r="O46"/>
      <c r="Q46" s="35"/>
      <c r="AE46" s="35"/>
      <c r="AF46" s="35"/>
    </row>
    <row r="47" spans="1:35" ht="15.75" thickBot="1">
      <c r="A47" s="3"/>
      <c r="B47" s="326" t="s">
        <v>39</v>
      </c>
      <c r="C47" s="433">
        <f>SUM(C39:C43)</f>
        <v>13165003.98</v>
      </c>
      <c r="D47" s="434">
        <f>SUM(D39:D44)</f>
        <v>13431841.479999999</v>
      </c>
      <c r="E47" s="244"/>
      <c r="F47" s="802" t="str">
        <f ca="1">+IF((ROUND(C47,0)=ROUND(OFFSET(B33,0,RIGHT('Introducerea datelor'!$C$16,LEN('Introducerea datelor'!$C$16)-1),1,1),0)),"OK: Data match","Warning: The data do not match")</f>
        <v>OK: Data match</v>
      </c>
      <c r="G47" s="803"/>
      <c r="H47" s="803"/>
      <c r="I47" s="804"/>
      <c r="N47" s="179"/>
      <c r="O47" s="177"/>
      <c r="P47" s="175"/>
      <c r="Q47" s="35"/>
      <c r="AE47" s="35"/>
      <c r="AF47" s="35"/>
    </row>
    <row r="48" spans="1:35">
      <c r="A48" s="3"/>
      <c r="B48" s="3"/>
      <c r="C48" s="170"/>
      <c r="D48" s="170"/>
      <c r="E48" s="230"/>
      <c r="F48" s="170"/>
      <c r="G48" s="170"/>
      <c r="H48" s="170"/>
      <c r="I48" s="170"/>
      <c r="J48" s="170"/>
      <c r="K48" s="170"/>
      <c r="L48" s="170"/>
      <c r="M48" s="170"/>
      <c r="N48" s="170"/>
      <c r="O48" s="170"/>
      <c r="P48" s="178"/>
      <c r="Q48" s="489"/>
      <c r="R48" s="177"/>
      <c r="S48" s="175"/>
    </row>
    <row r="49" spans="1:35" ht="18.75">
      <c r="A49" s="3"/>
      <c r="B49" s="89" t="s">
        <v>317</v>
      </c>
      <c r="C49" s="3"/>
      <c r="D49" s="3"/>
      <c r="E49" s="3"/>
      <c r="F49" s="3"/>
      <c r="G49" s="3"/>
      <c r="H49" s="3"/>
      <c r="I49" s="3"/>
      <c r="J49" s="3"/>
      <c r="K49" s="3"/>
      <c r="L49" s="3"/>
      <c r="M49" s="3"/>
      <c r="P49" s="175"/>
      <c r="Q49" s="488"/>
      <c r="R49" s="177">
        <f>+J33</f>
        <v>0</v>
      </c>
      <c r="S49" s="175"/>
    </row>
    <row r="50" spans="1:35" ht="15.75" thickBot="1">
      <c r="A50" s="3"/>
      <c r="B50" s="3"/>
      <c r="C50" s="3"/>
      <c r="D50" s="3"/>
      <c r="E50" s="3"/>
      <c r="F50" s="3"/>
      <c r="G50" s="3"/>
      <c r="H50" s="3"/>
      <c r="I50" s="3"/>
      <c r="J50" s="3"/>
      <c r="K50" s="3"/>
      <c r="L50" s="3"/>
      <c r="M50" s="3"/>
      <c r="P50" s="175"/>
      <c r="Q50" s="176"/>
      <c r="R50" s="177">
        <f>+K33</f>
        <v>0</v>
      </c>
      <c r="S50" s="175"/>
    </row>
    <row r="51" spans="1:35" ht="35.25" customHeight="1">
      <c r="A51" s="3"/>
      <c r="B51" s="249"/>
      <c r="C51" s="250" t="s">
        <v>322</v>
      </c>
      <c r="D51" s="250" t="s">
        <v>323</v>
      </c>
      <c r="E51" s="341" t="str">
        <f>CONCATENATE("Total Cheltuit și debursat (în ",D26,")")</f>
        <v>Total Cheltuit și debursat (în €)</v>
      </c>
      <c r="F51" s="398"/>
      <c r="G51" s="490"/>
      <c r="H51" s="246"/>
      <c r="I51" s="236"/>
      <c r="J51" s="236"/>
      <c r="K51" s="236"/>
      <c r="L51" s="236"/>
      <c r="M51" s="21"/>
      <c r="N51" s="21"/>
      <c r="O51" s="175"/>
      <c r="P51" s="176"/>
      <c r="Q51" s="177">
        <f>+M33</f>
        <v>0</v>
      </c>
      <c r="R51" s="175"/>
      <c r="AH51" s="20"/>
    </row>
    <row r="52" spans="1:35">
      <c r="A52" s="3"/>
      <c r="B52" s="247" t="s">
        <v>318</v>
      </c>
      <c r="C52" s="435">
        <v>12370937.68</v>
      </c>
      <c r="D52" s="436"/>
      <c r="E52" s="568">
        <f>+D52+C52</f>
        <v>12370937.68</v>
      </c>
      <c r="F52" s="398"/>
      <c r="G52" s="491"/>
      <c r="H52" s="251"/>
      <c r="I52" s="95"/>
      <c r="J52" s="172"/>
      <c r="K52" s="173"/>
      <c r="L52" s="96"/>
      <c r="M52" s="36"/>
      <c r="N52" s="36"/>
      <c r="O52" s="175"/>
      <c r="P52" s="175"/>
      <c r="Q52" s="175"/>
      <c r="R52" s="175"/>
      <c r="AH52" s="20"/>
    </row>
    <row r="53" spans="1:35">
      <c r="A53" s="3"/>
      <c r="B53" s="247" t="s">
        <v>319</v>
      </c>
      <c r="C53" s="435">
        <f>11732100+1535126</f>
        <v>13267226</v>
      </c>
      <c r="D53" s="435">
        <v>164615.63</v>
      </c>
      <c r="E53" s="568">
        <f>+D53+C53</f>
        <v>13431841.630000001</v>
      </c>
      <c r="F53" s="398"/>
      <c r="G53" s="492"/>
      <c r="H53" s="251"/>
      <c r="I53" s="95"/>
      <c r="J53" s="172"/>
      <c r="K53" s="172"/>
      <c r="L53" s="96"/>
      <c r="M53" s="37"/>
      <c r="N53" s="37"/>
      <c r="O53" s="175"/>
      <c r="P53" s="175"/>
      <c r="Q53" s="175"/>
      <c r="R53" s="175"/>
      <c r="AH53" s="20"/>
    </row>
    <row r="54" spans="1:35">
      <c r="A54" s="3"/>
      <c r="B54" s="247" t="s">
        <v>320</v>
      </c>
      <c r="C54" s="435">
        <v>194116.33000000002</v>
      </c>
      <c r="D54" s="435">
        <v>0</v>
      </c>
      <c r="E54" s="568">
        <f>+D54+C54</f>
        <v>194116.33000000002</v>
      </c>
      <c r="F54" s="398"/>
      <c r="G54" s="491"/>
      <c r="H54" s="251"/>
      <c r="I54" s="95"/>
      <c r="J54" s="172"/>
      <c r="K54" s="173"/>
      <c r="L54" s="96"/>
      <c r="M54" s="36"/>
      <c r="N54" s="36"/>
      <c r="O54"/>
      <c r="AH54" s="20"/>
    </row>
    <row r="55" spans="1:35" ht="15.75" thickBot="1">
      <c r="A55" s="3"/>
      <c r="B55" s="248" t="s">
        <v>321</v>
      </c>
      <c r="C55" s="437">
        <v>194116.33</v>
      </c>
      <c r="D55" s="437">
        <v>0</v>
      </c>
      <c r="E55" s="569">
        <f>+D55+C55</f>
        <v>194116.33</v>
      </c>
      <c r="F55" s="398"/>
      <c r="G55" s="493"/>
      <c r="H55" s="252"/>
      <c r="I55" s="97"/>
      <c r="J55" s="97"/>
      <c r="K55" s="97"/>
      <c r="L55" s="96"/>
      <c r="M55" s="37"/>
      <c r="N55" s="37"/>
      <c r="O55"/>
      <c r="AH55" s="20"/>
    </row>
    <row r="56" spans="1:35" ht="15.75" customHeight="1">
      <c r="A56" s="3"/>
      <c r="B56" s="3"/>
      <c r="C56" s="3"/>
      <c r="D56" s="3"/>
      <c r="E56" s="3"/>
      <c r="F56" s="3"/>
      <c r="G56" s="3"/>
      <c r="H56" s="3"/>
      <c r="I56" s="3"/>
      <c r="J56" s="3"/>
      <c r="K56" s="3"/>
      <c r="L56" s="3"/>
      <c r="M56" s="3"/>
      <c r="AI56" s="20"/>
    </row>
    <row r="57" spans="1:35">
      <c r="A57" s="3"/>
      <c r="B57" s="3"/>
      <c r="C57" s="3"/>
      <c r="D57" s="234"/>
      <c r="E57" s="3"/>
      <c r="F57" s="3"/>
      <c r="G57" s="3"/>
      <c r="H57" s="3"/>
      <c r="I57" s="3"/>
      <c r="J57" s="3"/>
      <c r="K57" s="3"/>
      <c r="L57" s="3"/>
      <c r="M57" s="3"/>
    </row>
    <row r="58" spans="1:35" ht="18.75">
      <c r="A58" s="3"/>
      <c r="B58" s="89" t="s">
        <v>386</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50" t="s">
        <v>324</v>
      </c>
      <c r="C60" s="751"/>
      <c r="D60" s="752"/>
      <c r="E60" s="3"/>
      <c r="F60" s="3"/>
      <c r="G60" s="3"/>
      <c r="H60" s="3"/>
      <c r="I60" s="3"/>
      <c r="J60" s="3"/>
      <c r="K60" s="3"/>
      <c r="L60" s="3"/>
      <c r="M60" s="35"/>
      <c r="O60"/>
    </row>
    <row r="61" spans="1:35">
      <c r="A61" s="3"/>
      <c r="B61" s="101"/>
      <c r="C61" s="254" t="s">
        <v>325</v>
      </c>
      <c r="D61" s="255" t="s">
        <v>326</v>
      </c>
      <c r="E61" s="398"/>
      <c r="F61" s="3"/>
      <c r="G61" s="3"/>
      <c r="H61" s="3"/>
      <c r="I61" s="3"/>
      <c r="J61" s="3"/>
      <c r="K61" s="3"/>
      <c r="L61" s="3"/>
      <c r="M61" s="35"/>
      <c r="O61"/>
    </row>
    <row r="62" spans="1:35">
      <c r="A62" s="3"/>
      <c r="B62" s="102" t="s">
        <v>327</v>
      </c>
      <c r="C62" s="514">
        <v>45</v>
      </c>
      <c r="D62" s="483">
        <v>45</v>
      </c>
      <c r="E62" s="398"/>
      <c r="F62" s="398"/>
      <c r="G62" s="3"/>
      <c r="H62" s="3"/>
      <c r="I62" s="3"/>
      <c r="J62" s="3"/>
      <c r="K62" s="3"/>
      <c r="L62" s="3"/>
      <c r="M62" s="35"/>
      <c r="O62"/>
    </row>
    <row r="63" spans="1:35">
      <c r="A63" s="3"/>
      <c r="B63" s="253" t="s">
        <v>328</v>
      </c>
      <c r="C63" s="514">
        <v>0</v>
      </c>
      <c r="D63" s="483">
        <v>0</v>
      </c>
      <c r="E63" s="3"/>
      <c r="F63" s="3"/>
      <c r="G63" s="3"/>
      <c r="H63" s="251"/>
      <c r="I63" s="251"/>
      <c r="J63" s="3"/>
      <c r="K63" s="3"/>
      <c r="L63" s="3"/>
      <c r="M63" s="35"/>
      <c r="O63"/>
    </row>
    <row r="64" spans="1:35" ht="15.75" thickBot="1">
      <c r="A64" s="3"/>
      <c r="B64" s="103" t="s">
        <v>329</v>
      </c>
      <c r="C64" s="484">
        <v>0</v>
      </c>
      <c r="D64" s="485">
        <v>0</v>
      </c>
      <c r="E64" s="3"/>
      <c r="F64" s="3"/>
      <c r="G64" s="3"/>
      <c r="H64" s="251"/>
      <c r="I64" s="251"/>
      <c r="J64" s="3"/>
      <c r="K64" s="3"/>
      <c r="L64" s="3"/>
      <c r="M64" s="35"/>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37"/>
      <c r="M66" s="3"/>
      <c r="AC66" s="19"/>
      <c r="AD66" s="19"/>
    </row>
    <row r="67" spans="1:30" ht="19.5" thickBot="1">
      <c r="A67" s="3"/>
      <c r="B67" s="104" t="s">
        <v>332</v>
      </c>
      <c r="C67" s="105"/>
      <c r="D67" s="105"/>
      <c r="E67" s="105"/>
      <c r="F67" s="105"/>
      <c r="G67" s="105" t="s">
        <v>331</v>
      </c>
      <c r="H67" s="390"/>
      <c r="I67" s="105"/>
      <c r="J67" s="106"/>
      <c r="K67" s="106"/>
      <c r="L67" s="338"/>
      <c r="M67" s="339"/>
      <c r="N67" s="83"/>
      <c r="O67" s="83"/>
      <c r="P67" s="83"/>
      <c r="S67" s="43"/>
      <c r="AC67" s="19"/>
      <c r="AD67" s="19"/>
    </row>
    <row r="68" spans="1:30" ht="18.75">
      <c r="A68" s="3"/>
      <c r="B68" s="108"/>
      <c r="C68" s="107"/>
      <c r="D68" s="107"/>
      <c r="E68" s="107"/>
      <c r="F68" s="107"/>
      <c r="G68" s="107"/>
      <c r="H68" s="107"/>
      <c r="I68" s="107"/>
      <c r="J68" s="107"/>
      <c r="K68" s="109"/>
      <c r="L68" s="109"/>
      <c r="M68" s="107"/>
      <c r="N68" s="83"/>
      <c r="O68" s="83"/>
      <c r="P68" s="83"/>
      <c r="S68" s="43"/>
      <c r="AC68" s="19"/>
      <c r="AD68" s="19"/>
    </row>
    <row r="69" spans="1:30" ht="18.75">
      <c r="A69" s="3"/>
      <c r="B69" s="108" t="s">
        <v>333</v>
      </c>
      <c r="C69" s="107"/>
      <c r="D69" s="107"/>
      <c r="E69" s="107"/>
      <c r="F69" s="107"/>
      <c r="G69" s="107"/>
      <c r="H69" s="107"/>
      <c r="I69" s="107"/>
      <c r="J69" s="107"/>
      <c r="K69" s="109"/>
      <c r="L69" s="109"/>
      <c r="M69" s="107"/>
      <c r="N69" s="83"/>
      <c r="O69" s="83"/>
      <c r="P69" s="83"/>
      <c r="S69" s="43"/>
      <c r="AC69" s="19"/>
      <c r="AD69" s="19"/>
    </row>
    <row r="70" spans="1:30" ht="15.75" thickBot="1">
      <c r="A70" s="3"/>
      <c r="B70" s="2"/>
      <c r="C70" s="110"/>
      <c r="D70" s="110"/>
      <c r="E70" s="110"/>
      <c r="F70" s="110"/>
      <c r="G70" s="110"/>
      <c r="H70" s="2"/>
      <c r="I70" s="110"/>
      <c r="J70" s="2"/>
      <c r="K70" s="2"/>
      <c r="L70" s="2"/>
      <c r="M70" s="2"/>
      <c r="N70" s="20"/>
      <c r="O70" s="19"/>
      <c r="P70" s="19"/>
      <c r="Q70" s="19"/>
      <c r="R70" s="19"/>
      <c r="S70" s="19"/>
      <c r="AD70" s="19"/>
    </row>
    <row r="71" spans="1:30" ht="60">
      <c r="A71" s="3"/>
      <c r="B71" s="743"/>
      <c r="C71" s="744"/>
      <c r="D71" s="111" t="s">
        <v>336</v>
      </c>
      <c r="E71" s="112" t="s">
        <v>337</v>
      </c>
      <c r="F71" s="112" t="s">
        <v>338</v>
      </c>
      <c r="G71" s="113" t="s">
        <v>39</v>
      </c>
      <c r="H71" s="259"/>
      <c r="I71" s="260"/>
      <c r="J71" s="15"/>
      <c r="K71" s="2"/>
      <c r="L71" s="2"/>
      <c r="M71" s="2"/>
      <c r="N71" s="20"/>
      <c r="O71" s="19"/>
      <c r="P71" s="19"/>
      <c r="Q71" s="19"/>
      <c r="R71" s="19"/>
      <c r="S71" s="19"/>
    </row>
    <row r="72" spans="1:30">
      <c r="A72" s="3"/>
      <c r="B72" s="716" t="s">
        <v>334</v>
      </c>
      <c r="C72" s="717"/>
      <c r="D72" s="219">
        <v>4</v>
      </c>
      <c r="E72" s="219"/>
      <c r="F72" s="219"/>
      <c r="G72" s="513">
        <f>SUM(D72:F72)</f>
        <v>4</v>
      </c>
      <c r="H72" s="245"/>
      <c r="I72" s="258"/>
      <c r="J72" s="258"/>
      <c r="K72" s="2" t="s">
        <v>330</v>
      </c>
      <c r="L72" s="2"/>
      <c r="M72" s="2"/>
      <c r="N72" s="20"/>
      <c r="O72" s="19"/>
      <c r="P72" s="19"/>
      <c r="Q72" s="19"/>
      <c r="R72" s="19"/>
      <c r="S72" s="19"/>
    </row>
    <row r="73" spans="1:30" ht="15.75" thickBot="1">
      <c r="A73" s="3"/>
      <c r="B73" s="741" t="s">
        <v>335</v>
      </c>
      <c r="C73" s="742"/>
      <c r="D73" s="220"/>
      <c r="E73" s="220"/>
      <c r="F73" s="220"/>
      <c r="G73" s="116">
        <f>SUM(D73:F73)</f>
        <v>0</v>
      </c>
      <c r="H73" s="245"/>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8" t="s">
        <v>339</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7"/>
      <c r="C78" s="389" t="s">
        <v>340</v>
      </c>
      <c r="D78" s="389" t="s">
        <v>341</v>
      </c>
      <c r="E78" s="118" t="s">
        <v>342</v>
      </c>
      <c r="F78" s="15"/>
      <c r="G78" s="15"/>
      <c r="H78" s="15"/>
      <c r="I78" s="260"/>
      <c r="J78" s="2"/>
      <c r="K78" s="2"/>
      <c r="L78" s="2"/>
      <c r="M78" s="2"/>
      <c r="N78" s="19"/>
      <c r="O78" s="19"/>
      <c r="P78" s="19"/>
      <c r="S78" s="19"/>
    </row>
    <row r="79" spans="1:30" ht="15.75" thickBot="1">
      <c r="A79" s="3"/>
      <c r="B79" s="119" t="s">
        <v>282</v>
      </c>
      <c r="C79" s="515">
        <v>6</v>
      </c>
      <c r="D79" s="515">
        <v>6</v>
      </c>
      <c r="E79" s="516">
        <f>+C79-D79</f>
        <v>0</v>
      </c>
      <c r="F79" s="226"/>
      <c r="G79" s="231"/>
      <c r="H79" s="15"/>
      <c r="I79" s="258"/>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8" t="s">
        <v>343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7"/>
      <c r="C83" s="389" t="s">
        <v>344</v>
      </c>
      <c r="D83" s="389" t="s">
        <v>345</v>
      </c>
      <c r="E83" s="389" t="s">
        <v>346</v>
      </c>
      <c r="F83" s="389" t="s">
        <v>347</v>
      </c>
      <c r="G83" s="144" t="s">
        <v>348</v>
      </c>
      <c r="H83" s="232"/>
      <c r="I83" s="260"/>
      <c r="J83" s="2"/>
      <c r="K83" s="2"/>
      <c r="L83" s="2"/>
      <c r="M83" s="2"/>
      <c r="N83" s="19"/>
      <c r="O83" s="19"/>
      <c r="P83" s="19"/>
      <c r="S83" s="19"/>
    </row>
    <row r="84" spans="1:36" ht="15.75" thickBot="1">
      <c r="A84" s="3"/>
      <c r="B84" s="119" t="s">
        <v>79</v>
      </c>
      <c r="C84" s="515">
        <v>0</v>
      </c>
      <c r="D84" s="515">
        <v>0</v>
      </c>
      <c r="E84" s="515">
        <v>0</v>
      </c>
      <c r="F84" s="515">
        <v>0</v>
      </c>
      <c r="G84" s="517">
        <v>0</v>
      </c>
      <c r="H84" s="261"/>
      <c r="I84" s="245"/>
      <c r="J84" s="2"/>
      <c r="K84" s="2"/>
      <c r="L84" s="2"/>
      <c r="M84" s="2"/>
      <c r="N84" s="19"/>
      <c r="O84" s="19"/>
      <c r="P84" s="19"/>
      <c r="S84" s="19"/>
    </row>
    <row r="85" spans="1:36">
      <c r="A85" s="3"/>
      <c r="B85" s="2"/>
      <c r="C85" s="518"/>
      <c r="D85" s="518"/>
      <c r="E85" s="518"/>
      <c r="F85" s="518"/>
      <c r="G85" s="518"/>
      <c r="H85" s="2"/>
      <c r="J85" s="2"/>
      <c r="K85" s="2"/>
      <c r="L85" s="2"/>
      <c r="M85" s="2"/>
      <c r="N85" s="19"/>
      <c r="O85" s="19"/>
      <c r="P85" s="19"/>
      <c r="S85" s="19"/>
    </row>
    <row r="86" spans="1:36" ht="18.75">
      <c r="A86" s="3"/>
      <c r="B86" s="108" t="s">
        <v>349</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7"/>
      <c r="C88" s="120" t="s">
        <v>352</v>
      </c>
      <c r="D88" s="120" t="s">
        <v>353</v>
      </c>
      <c r="E88" s="121" t="s">
        <v>354</v>
      </c>
      <c r="F88" s="2"/>
      <c r="G88" s="2"/>
      <c r="H88" s="2"/>
      <c r="I88" s="2"/>
      <c r="J88" s="19"/>
      <c r="K88" s="19"/>
      <c r="L88" s="19"/>
      <c r="N88"/>
      <c r="O88" s="19"/>
      <c r="AG88" s="35"/>
      <c r="AJ88"/>
    </row>
    <row r="89" spans="1:36">
      <c r="A89" s="3"/>
      <c r="B89" s="114" t="s">
        <v>350</v>
      </c>
      <c r="C89" s="219"/>
      <c r="D89" s="519"/>
      <c r="E89" s="520">
        <f>C89-D89</f>
        <v>0</v>
      </c>
      <c r="F89" s="2"/>
      <c r="G89" s="2"/>
      <c r="H89" s="2"/>
      <c r="I89" s="2"/>
      <c r="J89" s="19"/>
      <c r="K89" s="19"/>
      <c r="L89" s="19"/>
      <c r="N89"/>
      <c r="O89" s="19"/>
      <c r="AG89" s="35"/>
      <c r="AJ89"/>
    </row>
    <row r="90" spans="1:36" ht="15.75" thickBot="1">
      <c r="A90" s="3"/>
      <c r="B90" s="115" t="s">
        <v>351</v>
      </c>
      <c r="C90" s="220"/>
      <c r="D90" s="521"/>
      <c r="E90" s="522">
        <f>C90-D90</f>
        <v>0</v>
      </c>
      <c r="F90" s="2"/>
      <c r="G90" s="2"/>
      <c r="H90" s="2"/>
      <c r="I90" s="2"/>
      <c r="J90" s="19"/>
      <c r="K90" s="19"/>
      <c r="L90" s="19"/>
      <c r="N90"/>
      <c r="O90" s="19"/>
      <c r="AG90" s="35"/>
      <c r="AJ90"/>
    </row>
    <row r="91" spans="1:36">
      <c r="A91" s="3"/>
      <c r="B91" s="2"/>
      <c r="C91" s="2"/>
      <c r="D91" s="2"/>
      <c r="E91" s="2"/>
      <c r="F91" s="2"/>
      <c r="G91" s="2"/>
      <c r="H91" s="2"/>
      <c r="I91" s="2"/>
      <c r="J91" s="2"/>
      <c r="K91" s="2"/>
      <c r="L91" s="2"/>
      <c r="M91" s="2"/>
      <c r="N91" s="19"/>
      <c r="O91" s="19"/>
      <c r="P91" s="19"/>
      <c r="S91" s="19"/>
    </row>
    <row r="92" spans="1:36" ht="18.75">
      <c r="A92" s="3"/>
      <c r="B92" s="108" t="s">
        <v>355</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186"/>
      <c r="C94" s="308" t="s">
        <v>62</v>
      </c>
      <c r="D94" s="308" t="s">
        <v>63</v>
      </c>
      <c r="E94" s="308" t="s">
        <v>64</v>
      </c>
      <c r="F94" s="308" t="s">
        <v>65</v>
      </c>
      <c r="G94" s="308" t="s">
        <v>72</v>
      </c>
      <c r="H94" s="308" t="s">
        <v>73</v>
      </c>
      <c r="I94" s="308" t="s">
        <v>74</v>
      </c>
      <c r="J94" s="308" t="s">
        <v>75</v>
      </c>
      <c r="K94" s="308" t="s">
        <v>76</v>
      </c>
      <c r="L94" s="308" t="s">
        <v>77</v>
      </c>
      <c r="M94" s="308" t="s">
        <v>78</v>
      </c>
      <c r="N94" s="309" t="s">
        <v>232</v>
      </c>
      <c r="O94" s="20"/>
      <c r="P94" s="20"/>
      <c r="S94" s="19"/>
    </row>
    <row r="95" spans="1:36" ht="15" customHeight="1">
      <c r="A95" s="3"/>
      <c r="B95" s="310" t="s">
        <v>356</v>
      </c>
      <c r="C95" s="438">
        <v>6155291.4199999999</v>
      </c>
      <c r="D95" s="438">
        <v>1234940.51</v>
      </c>
      <c r="E95" s="296">
        <v>1160566.44</v>
      </c>
      <c r="F95" s="296">
        <f>239928.43+561960</f>
        <v>801888.42999999993</v>
      </c>
      <c r="G95" s="296"/>
      <c r="H95" s="438"/>
      <c r="I95" s="438"/>
      <c r="J95" s="296"/>
      <c r="K95" s="296"/>
      <c r="L95" s="296"/>
      <c r="M95" s="296"/>
      <c r="N95" s="375"/>
      <c r="O95" s="20"/>
      <c r="P95" s="20"/>
      <c r="S95" s="19"/>
    </row>
    <row r="96" spans="1:36" ht="15" customHeight="1">
      <c r="A96" s="3"/>
      <c r="B96" s="310" t="s">
        <v>357</v>
      </c>
      <c r="C96" s="438">
        <v>5913389.6299999999</v>
      </c>
      <c r="D96" s="438">
        <f>2400+16044.69+2574+981989.51</f>
        <v>1003008.2</v>
      </c>
      <c r="E96" s="296">
        <f>1114012.95+7490.25-21018.69</f>
        <v>1100484.51</v>
      </c>
      <c r="F96" s="296">
        <f>219916.95+1102839.83-75541+40375</f>
        <v>1287590.78</v>
      </c>
      <c r="G96" s="296">
        <v>10174</v>
      </c>
      <c r="H96" s="438"/>
      <c r="I96" s="438"/>
      <c r="J96" s="296"/>
      <c r="K96" s="296"/>
      <c r="L96" s="296"/>
      <c r="M96" s="296"/>
      <c r="N96" s="375"/>
      <c r="O96" s="20"/>
      <c r="P96" s="20"/>
      <c r="S96" s="19"/>
    </row>
    <row r="97" spans="1:19" ht="15" customHeight="1">
      <c r="A97" s="3"/>
      <c r="B97" s="310" t="s">
        <v>358</v>
      </c>
      <c r="C97" s="438">
        <v>5913389.6299999999</v>
      </c>
      <c r="D97" s="438">
        <v>981989.51</v>
      </c>
      <c r="E97" s="296">
        <v>1114012.95</v>
      </c>
      <c r="F97" s="296">
        <f>219916.95+1102839.83</f>
        <v>1322756.78</v>
      </c>
      <c r="G97" s="296">
        <v>29860.34</v>
      </c>
      <c r="H97" s="438"/>
      <c r="I97" s="438"/>
      <c r="J97" s="296"/>
      <c r="K97" s="296"/>
      <c r="L97" s="296"/>
      <c r="M97" s="296"/>
      <c r="N97" s="375"/>
      <c r="O97" s="20"/>
      <c r="P97" s="20"/>
      <c r="S97" s="19"/>
    </row>
    <row r="98" spans="1:19" ht="15" customHeight="1">
      <c r="A98" s="3"/>
      <c r="B98" s="263" t="s">
        <v>359</v>
      </c>
      <c r="C98" s="523">
        <v>6155290.9999999991</v>
      </c>
      <c r="D98" s="439">
        <f>+C98+D95</f>
        <v>7390231.5099999988</v>
      </c>
      <c r="E98" s="297">
        <f>+D98+E95</f>
        <v>8550797.9499999993</v>
      </c>
      <c r="F98" s="297">
        <f t="shared" ref="F98:N98" si="3">+E98+F95</f>
        <v>9352686.379999999</v>
      </c>
      <c r="G98" s="297">
        <f t="shared" si="3"/>
        <v>9352686.379999999</v>
      </c>
      <c r="H98" s="439">
        <f t="shared" si="3"/>
        <v>9352686.379999999</v>
      </c>
      <c r="I98" s="439">
        <f t="shared" si="3"/>
        <v>9352686.379999999</v>
      </c>
      <c r="J98" s="297">
        <f t="shared" si="3"/>
        <v>9352686.379999999</v>
      </c>
      <c r="K98" s="297">
        <f t="shared" si="3"/>
        <v>9352686.379999999</v>
      </c>
      <c r="L98" s="439">
        <f>+K98+L95</f>
        <v>9352686.379999999</v>
      </c>
      <c r="M98" s="439">
        <f t="shared" si="3"/>
        <v>9352686.379999999</v>
      </c>
      <c r="N98" s="494">
        <f t="shared" si="3"/>
        <v>9352686.379999999</v>
      </c>
      <c r="O98" s="20"/>
      <c r="P98" s="20"/>
      <c r="S98" s="19"/>
    </row>
    <row r="99" spans="1:19" ht="15" customHeight="1">
      <c r="A99" s="3"/>
      <c r="B99" s="263" t="s">
        <v>360</v>
      </c>
      <c r="C99" s="523">
        <v>6226215.8600000003</v>
      </c>
      <c r="D99" s="439">
        <f t="shared" ref="D99:N99" si="4">+C99+D96</f>
        <v>7229224.0600000005</v>
      </c>
      <c r="E99" s="297">
        <f>+D99+E96</f>
        <v>8329708.5700000003</v>
      </c>
      <c r="F99" s="297">
        <f t="shared" si="4"/>
        <v>9617299.3499999996</v>
      </c>
      <c r="G99" s="297">
        <f t="shared" si="4"/>
        <v>9627473.3499999996</v>
      </c>
      <c r="H99" s="439">
        <f t="shared" si="4"/>
        <v>9627473.3499999996</v>
      </c>
      <c r="I99" s="439">
        <f>+H99+I96</f>
        <v>9627473.3499999996</v>
      </c>
      <c r="J99" s="297">
        <f t="shared" si="4"/>
        <v>9627473.3499999996</v>
      </c>
      <c r="K99" s="297">
        <f>+J99+K96</f>
        <v>9627473.3499999996</v>
      </c>
      <c r="L99" s="439">
        <f>+K99+L96</f>
        <v>9627473.3499999996</v>
      </c>
      <c r="M99" s="439">
        <f t="shared" si="4"/>
        <v>9627473.3499999996</v>
      </c>
      <c r="N99" s="494">
        <f t="shared" si="4"/>
        <v>9627473.3499999996</v>
      </c>
      <c r="O99" s="20"/>
      <c r="P99" s="20"/>
      <c r="S99" s="19"/>
    </row>
    <row r="100" spans="1:19" ht="15.75" thickBot="1">
      <c r="A100" s="3"/>
      <c r="B100" s="373" t="s">
        <v>361</v>
      </c>
      <c r="C100" s="524">
        <v>5932415.0899999999</v>
      </c>
      <c r="D100" s="440">
        <f t="shared" ref="D100:N100" si="5">+C100+D97</f>
        <v>6914404.5999999996</v>
      </c>
      <c r="E100" s="374">
        <f>+D100+E97</f>
        <v>8028417.5499999998</v>
      </c>
      <c r="F100" s="374">
        <f t="shared" si="5"/>
        <v>9351174.3300000001</v>
      </c>
      <c r="G100" s="374">
        <f t="shared" si="5"/>
        <v>9381034.6699999999</v>
      </c>
      <c r="H100" s="440">
        <f t="shared" si="5"/>
        <v>9381034.6699999999</v>
      </c>
      <c r="I100" s="440">
        <f t="shared" si="5"/>
        <v>9381034.6699999999</v>
      </c>
      <c r="J100" s="374">
        <f t="shared" si="5"/>
        <v>9381034.6699999999</v>
      </c>
      <c r="K100" s="374">
        <f t="shared" si="5"/>
        <v>9381034.6699999999</v>
      </c>
      <c r="L100" s="440">
        <f t="shared" si="5"/>
        <v>9381034.6699999999</v>
      </c>
      <c r="M100" s="440">
        <f>+L100+M97</f>
        <v>9381034.6699999999</v>
      </c>
      <c r="N100" s="495">
        <f t="shared" si="5"/>
        <v>9381034.6699999999</v>
      </c>
      <c r="O100" s="20"/>
      <c r="P100" s="20"/>
      <c r="S100" s="19"/>
    </row>
    <row r="101" spans="1:19">
      <c r="A101" s="3"/>
      <c r="B101" s="3"/>
      <c r="C101" s="2"/>
      <c r="D101" s="2"/>
      <c r="E101" s="2"/>
      <c r="F101" s="2"/>
      <c r="G101" s="2"/>
      <c r="H101" s="2"/>
      <c r="I101" s="15"/>
      <c r="J101" s="122"/>
      <c r="K101" s="123"/>
      <c r="L101" s="15"/>
      <c r="M101" s="124"/>
      <c r="N101" s="20"/>
      <c r="O101" s="20"/>
      <c r="P101" s="20"/>
      <c r="S101" s="19"/>
    </row>
    <row r="102" spans="1:19">
      <c r="A102" s="3"/>
      <c r="B102" s="2" t="s">
        <v>396</v>
      </c>
      <c r="C102" s="2"/>
      <c r="D102" s="2"/>
      <c r="E102" s="2"/>
      <c r="F102" s="2"/>
      <c r="G102" s="2"/>
      <c r="H102" s="2"/>
      <c r="I102" s="15"/>
      <c r="J102" s="122"/>
      <c r="K102" s="123"/>
      <c r="L102" s="15"/>
      <c r="M102" s="124"/>
      <c r="N102" s="20"/>
      <c r="O102" s="20"/>
      <c r="P102" s="20"/>
      <c r="S102" s="19"/>
    </row>
    <row r="103" spans="1:19">
      <c r="A103" s="3"/>
      <c r="C103" s="2"/>
      <c r="D103" s="2"/>
      <c r="E103" s="2"/>
      <c r="F103" s="2"/>
      <c r="G103" s="2"/>
      <c r="H103" s="2"/>
      <c r="I103" s="15"/>
      <c r="J103" s="122"/>
      <c r="K103" s="124"/>
      <c r="L103" s="15"/>
      <c r="M103" s="124"/>
      <c r="N103" s="496"/>
      <c r="O103" s="20"/>
      <c r="P103" s="20"/>
      <c r="S103" s="19"/>
    </row>
    <row r="104" spans="1:19">
      <c r="A104" s="3"/>
      <c r="B104" s="3"/>
      <c r="C104" s="3"/>
      <c r="D104" s="3"/>
      <c r="E104" s="3"/>
      <c r="F104" s="3"/>
      <c r="G104" s="3"/>
      <c r="H104" s="3"/>
      <c r="I104" s="15"/>
      <c r="J104" s="15"/>
      <c r="K104" s="15"/>
      <c r="L104" s="15"/>
      <c r="M104" s="15"/>
      <c r="N104" s="496"/>
      <c r="O104" s="20"/>
      <c r="P104" s="20"/>
    </row>
    <row r="105" spans="1:19" ht="18.75">
      <c r="A105" s="3"/>
      <c r="B105" s="108" t="s">
        <v>362</v>
      </c>
      <c r="C105" s="3"/>
      <c r="D105" s="3"/>
      <c r="E105" s="3"/>
      <c r="F105" s="3"/>
      <c r="G105" s="3"/>
      <c r="H105" s="3"/>
      <c r="I105" s="15"/>
      <c r="J105" s="15"/>
      <c r="K105" s="15"/>
      <c r="L105" s="15"/>
      <c r="M105" s="15"/>
      <c r="N105" s="496"/>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264" t="s">
        <v>363</v>
      </c>
      <c r="C107" s="265" t="s">
        <v>364</v>
      </c>
      <c r="D107" s="267" t="s">
        <v>365</v>
      </c>
      <c r="E107" s="267" t="s">
        <v>366</v>
      </c>
      <c r="F107" s="266" t="s">
        <v>367</v>
      </c>
      <c r="G107" s="266" t="s">
        <v>368</v>
      </c>
      <c r="H107" s="267" t="s">
        <v>369</v>
      </c>
      <c r="I107" s="267" t="s">
        <v>392</v>
      </c>
      <c r="J107" s="267" t="s">
        <v>370</v>
      </c>
      <c r="K107" s="268" t="s">
        <v>371</v>
      </c>
      <c r="L107" s="2"/>
      <c r="M107" s="20"/>
      <c r="N107" s="20"/>
      <c r="O107" s="20"/>
      <c r="P107" s="19"/>
      <c r="R107" s="20"/>
    </row>
    <row r="108" spans="1:19">
      <c r="A108" s="3"/>
      <c r="B108" s="721" t="s">
        <v>270</v>
      </c>
      <c r="C108" s="328" t="s">
        <v>270</v>
      </c>
      <c r="D108" s="329"/>
      <c r="E108" s="330" t="str">
        <f>IF(ISBLANK(D108),"",D108*30)</f>
        <v/>
      </c>
      <c r="F108" s="298"/>
      <c r="G108" s="299" t="str">
        <f>IF(AND(E108&gt;0,F108&gt;0),(F108*E108),"")</f>
        <v/>
      </c>
      <c r="H108" s="298"/>
      <c r="I108" s="344" t="str">
        <f>IF(AND(G108&gt;0,H108&gt;0),H108/G108,"")</f>
        <v/>
      </c>
      <c r="J108" s="331"/>
      <c r="K108" s="376" t="str">
        <f>IF(AND(I108&gt;0,J108&gt;0),I108-J108,"")</f>
        <v/>
      </c>
      <c r="L108" s="2"/>
      <c r="M108" s="20"/>
      <c r="N108" s="20"/>
      <c r="O108" s="20"/>
      <c r="P108" s="19"/>
      <c r="R108" s="20"/>
    </row>
    <row r="109" spans="1:19">
      <c r="A109" s="3"/>
      <c r="B109" s="722"/>
      <c r="C109" s="328" t="s">
        <v>270</v>
      </c>
      <c r="D109" s="329"/>
      <c r="E109" s="330" t="str">
        <f>IF(ISBLANK(D109),"",D109*30)</f>
        <v/>
      </c>
      <c r="F109" s="298"/>
      <c r="G109" s="299" t="str">
        <f>IF(AND(E109&gt;0,F109&gt;0),(F109*E109),"")</f>
        <v/>
      </c>
      <c r="H109" s="298"/>
      <c r="I109" s="344" t="str">
        <f>IF(AND(G109&gt;0,H109&gt;0),H109/G109,"")</f>
        <v/>
      </c>
      <c r="J109" s="331"/>
      <c r="K109" s="376" t="str">
        <f>IF(AND(I109&gt;0,J109&gt;0),I109-J109,"")</f>
        <v/>
      </c>
      <c r="L109" s="2"/>
      <c r="M109" s="20"/>
      <c r="N109" s="20"/>
      <c r="O109" s="20"/>
      <c r="P109" s="19"/>
    </row>
    <row r="110" spans="1:19">
      <c r="A110" s="3"/>
      <c r="B110" s="722"/>
      <c r="C110" s="328" t="s">
        <v>270</v>
      </c>
      <c r="D110" s="329"/>
      <c r="E110" s="330" t="str">
        <f>IF(ISBLANK(D110),"",D110*30)</f>
        <v/>
      </c>
      <c r="F110" s="298"/>
      <c r="G110" s="299" t="str">
        <f>IF(AND(E110&gt;0,F110&gt;0),(F110*E110),"")</f>
        <v/>
      </c>
      <c r="H110" s="298"/>
      <c r="I110" s="344" t="str">
        <f>IF(AND(G110&gt;0,H110&gt;0),H110/G110,"")</f>
        <v/>
      </c>
      <c r="J110" s="331"/>
      <c r="K110" s="376" t="str">
        <f>IF(AND(I110&gt;0,J110&gt;0),I110-J110,"")</f>
        <v/>
      </c>
      <c r="L110" s="2"/>
      <c r="M110" s="20"/>
      <c r="N110" s="20"/>
      <c r="O110" s="20"/>
      <c r="P110" s="19"/>
      <c r="R110" s="20"/>
    </row>
    <row r="111" spans="1:19" ht="15.75" thickBot="1">
      <c r="A111" s="3"/>
      <c r="B111" s="723"/>
      <c r="C111" s="332" t="s">
        <v>270</v>
      </c>
      <c r="D111" s="333"/>
      <c r="E111" s="370" t="str">
        <f>IF(ISBLANK(D111),"",D111*30)</f>
        <v/>
      </c>
      <c r="F111" s="300"/>
      <c r="G111" s="371" t="str">
        <f>IF(AND(E111&gt;0,F111&gt;0),(F111*E111),"")</f>
        <v/>
      </c>
      <c r="H111" s="300"/>
      <c r="I111" s="372" t="str">
        <f>IF(AND(G111&gt;0,H111&gt;0),H111/G111,"")</f>
        <v/>
      </c>
      <c r="J111" s="334"/>
      <c r="K111" s="377"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7"/>
      <c r="K113" s="107"/>
      <c r="L113" s="3"/>
      <c r="M113" s="3"/>
    </row>
    <row r="114" spans="1:20" ht="19.5" thickBot="1">
      <c r="A114" s="3"/>
      <c r="B114" s="206" t="s">
        <v>372</v>
      </c>
      <c r="C114" s="125"/>
      <c r="D114" s="125"/>
      <c r="E114" s="126"/>
      <c r="F114" s="126"/>
      <c r="G114" s="126"/>
      <c r="H114" s="216"/>
      <c r="I114" s="207"/>
      <c r="J114" s="282"/>
      <c r="K114" s="283" t="s">
        <v>441</v>
      </c>
      <c r="L114" s="126"/>
      <c r="M114" s="284"/>
      <c r="N114" s="285"/>
      <c r="O114" s="285"/>
      <c r="P114" s="336"/>
      <c r="Q114" s="35"/>
    </row>
    <row r="115" spans="1:20" ht="15.75" thickBot="1">
      <c r="A115" s="3"/>
      <c r="B115" s="3"/>
      <c r="C115" s="3"/>
      <c r="D115" s="3"/>
      <c r="E115" s="3"/>
      <c r="F115" s="3"/>
      <c r="G115" s="3"/>
      <c r="H115" s="3"/>
      <c r="I115" s="3"/>
      <c r="J115" s="3"/>
      <c r="K115" s="3"/>
      <c r="L115" s="3"/>
      <c r="M115" s="3"/>
      <c r="N115"/>
      <c r="O115"/>
      <c r="P115" s="35"/>
      <c r="Q115" s="35"/>
    </row>
    <row r="116" spans="1:20" ht="29.25" customHeight="1">
      <c r="A116" s="3"/>
      <c r="B116" s="718" t="s">
        <v>378</v>
      </c>
      <c r="C116" s="719"/>
      <c r="D116" s="720"/>
      <c r="E116" s="271" t="s">
        <v>379</v>
      </c>
      <c r="F116" s="393" t="s">
        <v>380</v>
      </c>
      <c r="G116" s="210"/>
      <c r="H116" s="317" t="s">
        <v>62</v>
      </c>
      <c r="I116" s="317" t="s">
        <v>63</v>
      </c>
      <c r="J116" s="317" t="s">
        <v>281</v>
      </c>
      <c r="K116" s="317" t="s">
        <v>65</v>
      </c>
      <c r="L116" s="317" t="s">
        <v>72</v>
      </c>
      <c r="M116" s="317" t="s">
        <v>73</v>
      </c>
      <c r="N116" s="317" t="s">
        <v>74</v>
      </c>
      <c r="O116" s="317" t="s">
        <v>75</v>
      </c>
      <c r="P116" s="317" t="s">
        <v>76</v>
      </c>
      <c r="Q116" s="317" t="s">
        <v>77</v>
      </c>
      <c r="R116" s="317" t="s">
        <v>78</v>
      </c>
      <c r="S116" s="318" t="s">
        <v>232</v>
      </c>
      <c r="T116" s="63"/>
    </row>
    <row r="117" spans="1:20" ht="1.5" customHeight="1">
      <c r="A117" s="3"/>
      <c r="B117" s="350"/>
      <c r="C117" s="351"/>
      <c r="D117" s="351"/>
      <c r="E117" s="352"/>
      <c r="F117" s="353"/>
      <c r="G117" s="354"/>
      <c r="H117" s="355"/>
      <c r="I117" s="355"/>
      <c r="J117" s="355"/>
      <c r="K117" s="355"/>
      <c r="L117" s="355"/>
      <c r="M117" s="355"/>
      <c r="N117" s="355"/>
      <c r="O117" s="355"/>
      <c r="P117" s="355"/>
      <c r="Q117" s="355"/>
      <c r="R117" s="355"/>
      <c r="S117" s="356"/>
      <c r="T117" s="63"/>
    </row>
    <row r="118" spans="1:20" ht="15" customHeight="1">
      <c r="A118" s="689" t="s">
        <v>271</v>
      </c>
      <c r="B118" s="726" t="s">
        <v>437</v>
      </c>
      <c r="C118" s="727"/>
      <c r="D118" s="728"/>
      <c r="E118" s="678" t="s">
        <v>433</v>
      </c>
      <c r="F118" s="732" t="s">
        <v>377</v>
      </c>
      <c r="G118" s="387" t="s">
        <v>374</v>
      </c>
      <c r="H118" s="460">
        <v>12.7</v>
      </c>
      <c r="I118" s="525">
        <v>11.6</v>
      </c>
      <c r="J118" s="458">
        <v>11.6</v>
      </c>
      <c r="K118" s="563">
        <v>11.6</v>
      </c>
      <c r="L118" s="459">
        <v>9.5</v>
      </c>
      <c r="M118" s="460"/>
      <c r="N118" s="460"/>
      <c r="O118" s="460"/>
      <c r="P118" s="460"/>
      <c r="Q118" s="460"/>
      <c r="R118" s="460"/>
      <c r="S118" s="127"/>
      <c r="T118" s="63"/>
    </row>
    <row r="119" spans="1:20" ht="13.5" customHeight="1">
      <c r="A119" s="689"/>
      <c r="B119" s="729"/>
      <c r="C119" s="730"/>
      <c r="D119" s="731"/>
      <c r="E119" s="797"/>
      <c r="F119" s="733"/>
      <c r="G119" s="387" t="s">
        <v>375</v>
      </c>
      <c r="H119" s="460">
        <v>14.4</v>
      </c>
      <c r="I119" s="460">
        <v>11.14</v>
      </c>
      <c r="J119" s="458">
        <v>11.22</v>
      </c>
      <c r="K119" s="458">
        <v>11.22</v>
      </c>
      <c r="L119" s="459">
        <v>12.5</v>
      </c>
      <c r="M119" s="460"/>
      <c r="N119" s="460"/>
      <c r="O119" s="460"/>
      <c r="P119" s="460"/>
      <c r="Q119" s="460"/>
      <c r="R119" s="460"/>
      <c r="S119" s="127"/>
      <c r="T119" s="63"/>
    </row>
    <row r="120" spans="1:20" ht="20.25" customHeight="1">
      <c r="A120" s="689"/>
      <c r="B120" s="734" t="s">
        <v>461</v>
      </c>
      <c r="C120" s="735"/>
      <c r="D120" s="736"/>
      <c r="E120" s="800" t="s">
        <v>462</v>
      </c>
      <c r="F120" s="798" t="s">
        <v>377</v>
      </c>
      <c r="G120" s="454" t="s">
        <v>374</v>
      </c>
      <c r="H120" s="464">
        <v>55.4</v>
      </c>
      <c r="I120" s="526">
        <v>60</v>
      </c>
      <c r="J120" s="462">
        <v>60</v>
      </c>
      <c r="K120" s="463">
        <v>60</v>
      </c>
      <c r="L120" s="463">
        <v>70</v>
      </c>
      <c r="M120" s="463"/>
      <c r="N120" s="463"/>
      <c r="O120" s="463"/>
      <c r="P120" s="463"/>
      <c r="Q120" s="464"/>
      <c r="R120" s="464"/>
      <c r="S120" s="269"/>
      <c r="T120" s="63"/>
    </row>
    <row r="121" spans="1:20" ht="20.25" customHeight="1">
      <c r="A121" s="689"/>
      <c r="B121" s="737"/>
      <c r="C121" s="738"/>
      <c r="D121" s="739"/>
      <c r="E121" s="801"/>
      <c r="F121" s="799"/>
      <c r="G121" s="454" t="s">
        <v>375</v>
      </c>
      <c r="H121" s="464">
        <v>51.53</v>
      </c>
      <c r="I121" s="463">
        <v>49.3</v>
      </c>
      <c r="J121" s="461">
        <v>49.3</v>
      </c>
      <c r="K121" s="463">
        <v>54.27</v>
      </c>
      <c r="L121" s="463">
        <v>59</v>
      </c>
      <c r="M121" s="463"/>
      <c r="N121" s="463"/>
      <c r="O121" s="463"/>
      <c r="P121" s="463"/>
      <c r="Q121" s="464"/>
      <c r="R121" s="464"/>
      <c r="S121" s="269"/>
      <c r="T121" s="63"/>
    </row>
    <row r="122" spans="1:20" ht="15" customHeight="1">
      <c r="A122" s="689"/>
      <c r="B122" s="680" t="s">
        <v>435</v>
      </c>
      <c r="C122" s="681"/>
      <c r="D122" s="682"/>
      <c r="E122" s="678" t="s">
        <v>460</v>
      </c>
      <c r="F122" s="732" t="s">
        <v>377</v>
      </c>
      <c r="G122" s="387" t="s">
        <v>374</v>
      </c>
      <c r="H122" s="465">
        <v>24</v>
      </c>
      <c r="I122" s="527">
        <v>22</v>
      </c>
      <c r="J122" s="466">
        <v>22</v>
      </c>
      <c r="K122" s="467">
        <v>22</v>
      </c>
      <c r="L122" s="467">
        <v>21</v>
      </c>
      <c r="M122" s="465"/>
      <c r="N122" s="465"/>
      <c r="O122" s="465"/>
      <c r="P122" s="465"/>
      <c r="Q122" s="465"/>
      <c r="R122" s="465"/>
      <c r="S122" s="127"/>
      <c r="T122" s="63"/>
    </row>
    <row r="123" spans="1:20" ht="13.5" customHeight="1">
      <c r="A123" s="689"/>
      <c r="B123" s="683"/>
      <c r="C123" s="684"/>
      <c r="D123" s="685"/>
      <c r="E123" s="679"/>
      <c r="F123" s="733"/>
      <c r="G123" s="387" t="s">
        <v>375</v>
      </c>
      <c r="H123" s="465">
        <v>23.7</v>
      </c>
      <c r="I123" s="465">
        <v>24.8</v>
      </c>
      <c r="J123" s="466">
        <v>25.53</v>
      </c>
      <c r="K123" s="468">
        <v>25.53</v>
      </c>
      <c r="L123" s="469">
        <v>27.65</v>
      </c>
      <c r="M123" s="466"/>
      <c r="N123" s="466"/>
      <c r="O123" s="466"/>
      <c r="P123" s="465"/>
      <c r="Q123" s="465"/>
      <c r="R123" s="465"/>
      <c r="S123" s="127"/>
      <c r="T123" s="63"/>
    </row>
    <row r="124" spans="1:20" ht="15" customHeight="1">
      <c r="A124" s="3"/>
      <c r="B124" s="673" t="s">
        <v>464</v>
      </c>
      <c r="C124" s="674"/>
      <c r="D124" s="675"/>
      <c r="E124" s="740" t="s">
        <v>463</v>
      </c>
      <c r="F124" s="724" t="s">
        <v>377</v>
      </c>
      <c r="G124" s="388" t="s">
        <v>374</v>
      </c>
      <c r="H124" s="480">
        <v>61</v>
      </c>
      <c r="I124" s="528">
        <v>57</v>
      </c>
      <c r="J124" s="471">
        <v>57</v>
      </c>
      <c r="K124" s="479">
        <v>57</v>
      </c>
      <c r="L124" s="479">
        <v>52</v>
      </c>
      <c r="M124" s="480"/>
      <c r="N124" s="480"/>
      <c r="O124" s="480"/>
      <c r="P124" s="480"/>
      <c r="Q124" s="480"/>
      <c r="R124" s="480"/>
      <c r="S124" s="269"/>
      <c r="T124" s="63"/>
    </row>
    <row r="125" spans="1:20">
      <c r="A125" s="3"/>
      <c r="B125" s="676"/>
      <c r="C125" s="674"/>
      <c r="D125" s="675"/>
      <c r="E125" s="677"/>
      <c r="F125" s="725"/>
      <c r="G125" s="388" t="s">
        <v>375</v>
      </c>
      <c r="H125" s="480">
        <v>62.76</v>
      </c>
      <c r="I125" s="475">
        <v>61.82</v>
      </c>
      <c r="J125" s="471">
        <v>62.38</v>
      </c>
      <c r="K125" s="479">
        <v>62.38</v>
      </c>
      <c r="L125" s="479">
        <v>65.3</v>
      </c>
      <c r="M125" s="480"/>
      <c r="N125" s="480"/>
      <c r="O125" s="480"/>
      <c r="P125" s="480"/>
      <c r="Q125" s="480"/>
      <c r="R125" s="480"/>
      <c r="S125" s="269"/>
      <c r="T125" s="63"/>
    </row>
    <row r="126" spans="1:20" ht="15" customHeight="1">
      <c r="A126" s="3"/>
      <c r="B126" s="772" t="s">
        <v>465</v>
      </c>
      <c r="C126" s="773"/>
      <c r="D126" s="774"/>
      <c r="E126" s="777">
        <v>1.1000000000000001</v>
      </c>
      <c r="F126" s="686" t="s">
        <v>373</v>
      </c>
      <c r="G126" s="481" t="s">
        <v>374</v>
      </c>
      <c r="H126" s="447">
        <v>335</v>
      </c>
      <c r="I126" s="529">
        <v>670</v>
      </c>
      <c r="J126" s="486">
        <v>330</v>
      </c>
      <c r="K126" s="487">
        <v>660</v>
      </c>
      <c r="L126" s="570">
        <f>180+151+65</f>
        <v>396</v>
      </c>
      <c r="M126" s="487"/>
      <c r="N126" s="487"/>
      <c r="O126" s="487"/>
      <c r="P126" s="487"/>
      <c r="Q126" s="447"/>
      <c r="R126" s="447"/>
      <c r="S126" s="482"/>
      <c r="T126" s="63"/>
    </row>
    <row r="127" spans="1:20">
      <c r="A127" s="3"/>
      <c r="B127" s="775"/>
      <c r="C127" s="773"/>
      <c r="D127" s="774"/>
      <c r="E127" s="777"/>
      <c r="F127" s="686"/>
      <c r="G127" s="481" t="s">
        <v>375</v>
      </c>
      <c r="H127" s="447">
        <v>437</v>
      </c>
      <c r="I127" s="487">
        <v>898</v>
      </c>
      <c r="J127" s="486">
        <v>464</v>
      </c>
      <c r="K127" s="487">
        <v>938</v>
      </c>
      <c r="L127" s="487">
        <v>542</v>
      </c>
      <c r="M127" s="487"/>
      <c r="N127" s="487"/>
      <c r="O127" s="487"/>
      <c r="P127" s="487"/>
      <c r="Q127" s="447"/>
      <c r="R127" s="447"/>
      <c r="S127" s="482"/>
      <c r="T127" s="63"/>
    </row>
    <row r="128" spans="1:20" ht="15" customHeight="1">
      <c r="A128" s="3"/>
      <c r="B128" s="673" t="s">
        <v>466</v>
      </c>
      <c r="C128" s="674"/>
      <c r="D128" s="776"/>
      <c r="E128" s="677">
        <v>1.2</v>
      </c>
      <c r="F128" s="724" t="s">
        <v>377</v>
      </c>
      <c r="G128" s="388" t="s">
        <v>374</v>
      </c>
      <c r="H128" s="480">
        <v>67.5</v>
      </c>
      <c r="I128" s="528">
        <v>67.5</v>
      </c>
      <c r="J128" s="471">
        <v>68.099999999999994</v>
      </c>
      <c r="K128" s="479">
        <v>68.7</v>
      </c>
      <c r="L128" s="479">
        <v>70</v>
      </c>
      <c r="M128" s="480"/>
      <c r="N128" s="480"/>
      <c r="O128" s="480"/>
      <c r="P128" s="480"/>
      <c r="Q128" s="480"/>
      <c r="R128" s="480"/>
      <c r="S128" s="269"/>
      <c r="T128" s="63"/>
    </row>
    <row r="129" spans="1:21">
      <c r="A129" s="3"/>
      <c r="B129" s="676"/>
      <c r="C129" s="674"/>
      <c r="D129" s="776"/>
      <c r="E129" s="677"/>
      <c r="F129" s="725"/>
      <c r="G129" s="388" t="s">
        <v>375</v>
      </c>
      <c r="H129" s="480">
        <v>64.84</v>
      </c>
      <c r="I129" s="530">
        <v>68.959999999999994</v>
      </c>
      <c r="J129" s="471">
        <v>77.7</v>
      </c>
      <c r="K129" s="479">
        <v>71.599999999999994</v>
      </c>
      <c r="L129" s="479">
        <v>65.03</v>
      </c>
      <c r="M129" s="480"/>
      <c r="N129" s="480"/>
      <c r="O129" s="480"/>
      <c r="P129" s="480"/>
      <c r="Q129" s="480"/>
      <c r="R129" s="480"/>
      <c r="S129" s="269"/>
      <c r="T129" s="63"/>
    </row>
    <row r="130" spans="1:21">
      <c r="A130" s="3"/>
      <c r="B130" s="690" t="s">
        <v>467</v>
      </c>
      <c r="C130" s="691"/>
      <c r="D130" s="692"/>
      <c r="E130" s="696">
        <v>1.3</v>
      </c>
      <c r="F130" s="687" t="s">
        <v>377</v>
      </c>
      <c r="G130" s="457" t="s">
        <v>374</v>
      </c>
      <c r="H130" s="473">
        <v>8.3000000000000007</v>
      </c>
      <c r="I130" s="531">
        <v>8.1</v>
      </c>
      <c r="J130" s="474">
        <v>7.5</v>
      </c>
      <c r="K130" s="472">
        <v>7.5</v>
      </c>
      <c r="L130" s="472">
        <v>7</v>
      </c>
      <c r="M130" s="473"/>
      <c r="N130" s="473"/>
      <c r="O130" s="473"/>
      <c r="P130" s="473"/>
      <c r="Q130" s="473"/>
      <c r="R130" s="473"/>
      <c r="S130" s="364"/>
      <c r="T130" s="63"/>
    </row>
    <row r="131" spans="1:21">
      <c r="A131" s="3"/>
      <c r="B131" s="693"/>
      <c r="C131" s="694"/>
      <c r="D131" s="695"/>
      <c r="E131" s="697"/>
      <c r="F131" s="688"/>
      <c r="G131" s="457" t="s">
        <v>375</v>
      </c>
      <c r="H131" s="473">
        <v>4.6900000000000004</v>
      </c>
      <c r="I131" s="532">
        <v>7.5</v>
      </c>
      <c r="J131" s="474">
        <v>6.8490000000000002</v>
      </c>
      <c r="K131" s="472">
        <v>8.3000000000000007</v>
      </c>
      <c r="L131" s="472">
        <v>8.9600000000000009</v>
      </c>
      <c r="M131" s="473"/>
      <c r="N131" s="473"/>
      <c r="O131" s="473"/>
      <c r="P131" s="473"/>
      <c r="Q131" s="473"/>
      <c r="R131" s="473"/>
      <c r="S131" s="364"/>
      <c r="T131" s="63"/>
    </row>
    <row r="132" spans="1:21" ht="14.25" customHeight="1">
      <c r="A132" s="3"/>
      <c r="B132" s="673" t="s">
        <v>470</v>
      </c>
      <c r="C132" s="674"/>
      <c r="D132" s="675"/>
      <c r="E132" s="677">
        <v>2.1</v>
      </c>
      <c r="F132" s="671" t="s">
        <v>373</v>
      </c>
      <c r="G132" s="388" t="s">
        <v>374</v>
      </c>
      <c r="H132" s="475">
        <v>95</v>
      </c>
      <c r="I132" s="528">
        <v>95</v>
      </c>
      <c r="J132" s="470">
        <v>95</v>
      </c>
      <c r="K132" s="475">
        <v>95</v>
      </c>
      <c r="L132" s="475">
        <v>95</v>
      </c>
      <c r="M132" s="475"/>
      <c r="N132" s="475"/>
      <c r="O132" s="475"/>
      <c r="P132" s="475"/>
      <c r="Q132" s="475"/>
      <c r="R132" s="475"/>
      <c r="S132" s="365"/>
      <c r="T132" s="63"/>
    </row>
    <row r="133" spans="1:21">
      <c r="A133" s="3"/>
      <c r="B133" s="676"/>
      <c r="C133" s="674"/>
      <c r="D133" s="675"/>
      <c r="E133" s="677"/>
      <c r="F133" s="671"/>
      <c r="G133" s="388" t="s">
        <v>375</v>
      </c>
      <c r="H133" s="475">
        <v>99.7</v>
      </c>
      <c r="I133" s="475">
        <v>98.7</v>
      </c>
      <c r="J133" s="470">
        <v>99.08</v>
      </c>
      <c r="K133" s="475">
        <v>99.1</v>
      </c>
      <c r="L133" s="475">
        <v>99.73</v>
      </c>
      <c r="M133" s="475"/>
      <c r="N133" s="475"/>
      <c r="O133" s="475"/>
      <c r="P133" s="475"/>
      <c r="Q133" s="475"/>
      <c r="R133" s="475"/>
      <c r="S133" s="365"/>
      <c r="T133" s="63"/>
    </row>
    <row r="134" spans="1:21" ht="14.25" customHeight="1">
      <c r="A134" s="3"/>
      <c r="B134" s="775"/>
      <c r="C134" s="778"/>
      <c r="D134" s="779"/>
      <c r="E134" s="786"/>
      <c r="F134" s="686"/>
      <c r="G134" s="362" t="s">
        <v>52</v>
      </c>
      <c r="H134" s="363"/>
      <c r="I134" s="363"/>
      <c r="J134" s="384"/>
      <c r="K134" s="363"/>
      <c r="L134" s="363"/>
      <c r="M134" s="363"/>
      <c r="N134" s="363"/>
      <c r="O134" s="363"/>
      <c r="P134" s="363"/>
      <c r="Q134" s="363"/>
      <c r="R134" s="363"/>
      <c r="S134" s="364"/>
      <c r="T134" s="63"/>
    </row>
    <row r="135" spans="1:21" ht="17.25" customHeight="1">
      <c r="A135" s="3"/>
      <c r="B135" s="772"/>
      <c r="C135" s="778"/>
      <c r="D135" s="779"/>
      <c r="E135" s="786"/>
      <c r="F135" s="686"/>
      <c r="G135" s="362" t="s">
        <v>53</v>
      </c>
      <c r="H135" s="363"/>
      <c r="I135" s="363"/>
      <c r="J135" s="384"/>
      <c r="K135" s="363"/>
      <c r="L135" s="363"/>
      <c r="M135" s="363"/>
      <c r="N135" s="363"/>
      <c r="O135" s="363"/>
      <c r="P135" s="363"/>
      <c r="Q135" s="363"/>
      <c r="R135" s="363"/>
      <c r="S135" s="364"/>
      <c r="T135" s="63"/>
    </row>
    <row r="136" spans="1:21" ht="15" customHeight="1">
      <c r="A136" s="3"/>
      <c r="B136" s="676"/>
      <c r="C136" s="787"/>
      <c r="D136" s="788"/>
      <c r="E136" s="792"/>
      <c r="F136" s="671"/>
      <c r="G136" s="361" t="s">
        <v>52</v>
      </c>
      <c r="H136" s="270"/>
      <c r="I136" s="270"/>
      <c r="J136" s="382"/>
      <c r="K136" s="270"/>
      <c r="L136" s="270"/>
      <c r="M136" s="270"/>
      <c r="N136" s="270"/>
      <c r="O136" s="270"/>
      <c r="P136" s="270"/>
      <c r="Q136" s="270"/>
      <c r="R136" s="270"/>
      <c r="S136" s="365"/>
      <c r="T136" s="63"/>
    </row>
    <row r="137" spans="1:21" ht="18.75" customHeight="1" thickBot="1">
      <c r="A137" s="3"/>
      <c r="B137" s="789"/>
      <c r="C137" s="790"/>
      <c r="D137" s="791"/>
      <c r="E137" s="793"/>
      <c r="F137" s="672"/>
      <c r="G137" s="366" t="s">
        <v>53</v>
      </c>
      <c r="H137" s="367"/>
      <c r="I137" s="367"/>
      <c r="J137" s="383"/>
      <c r="K137" s="367"/>
      <c r="L137" s="367"/>
      <c r="M137" s="367"/>
      <c r="N137" s="367"/>
      <c r="O137" s="367"/>
      <c r="P137" s="367"/>
      <c r="Q137" s="367"/>
      <c r="R137" s="367"/>
      <c r="S137" s="368"/>
      <c r="T137" s="63"/>
    </row>
    <row r="138" spans="1:21">
      <c r="A138" s="3"/>
      <c r="B138" s="3"/>
      <c r="C138" s="3"/>
      <c r="D138" s="3"/>
      <c r="E138" s="3"/>
      <c r="F138" s="3"/>
      <c r="G138" s="2"/>
      <c r="H138" s="3"/>
      <c r="I138" s="3"/>
      <c r="J138" s="3"/>
      <c r="K138" s="398"/>
      <c r="L138" s="3"/>
      <c r="M138" s="3"/>
      <c r="N138" s="3"/>
      <c r="O138" s="3"/>
      <c r="R138" s="35"/>
      <c r="S138" s="35"/>
    </row>
    <row r="139" spans="1:21">
      <c r="A139" s="3"/>
      <c r="B139" s="3"/>
      <c r="C139" s="3"/>
      <c r="D139" s="3"/>
      <c r="E139" s="3"/>
      <c r="F139" s="3"/>
      <c r="G139" s="2"/>
      <c r="H139" s="3"/>
      <c r="I139" s="3"/>
      <c r="J139" s="3"/>
      <c r="K139" s="398"/>
      <c r="L139" s="3"/>
      <c r="M139" s="3"/>
      <c r="N139" s="3"/>
      <c r="O139" s="3"/>
      <c r="R139" s="35"/>
      <c r="S139" s="35"/>
    </row>
    <row r="140" spans="1:21">
      <c r="A140" s="3"/>
      <c r="B140" s="3"/>
      <c r="C140" s="3"/>
      <c r="D140" s="3"/>
      <c r="E140" s="3"/>
      <c r="F140" s="3"/>
      <c r="G140" s="2"/>
      <c r="H140" s="3"/>
      <c r="I140" s="3"/>
      <c r="J140" s="3"/>
      <c r="K140" s="3"/>
      <c r="L140" s="3"/>
      <c r="M140" s="3"/>
      <c r="N140" s="3"/>
      <c r="O140" s="3"/>
      <c r="R140" s="35"/>
      <c r="S140" s="35"/>
    </row>
    <row r="141" spans="1:21" ht="16.5" thickBot="1">
      <c r="A141" s="3"/>
      <c r="B141" s="272"/>
      <c r="C141" s="3"/>
      <c r="D141" s="3"/>
      <c r="E141" s="3"/>
      <c r="F141" s="3"/>
      <c r="G141" s="2"/>
      <c r="H141" s="3"/>
      <c r="I141" s="3"/>
      <c r="J141" s="3"/>
      <c r="K141" s="3"/>
      <c r="L141" s="3"/>
      <c r="M141" s="3"/>
      <c r="N141" s="3"/>
      <c r="O141" s="3"/>
      <c r="R141" s="35"/>
      <c r="S141" s="35"/>
    </row>
    <row r="142" spans="1:21" ht="26.25" thickBot="1">
      <c r="A142" s="3"/>
      <c r="B142" s="3" t="s">
        <v>432</v>
      </c>
      <c r="C142" s="3"/>
      <c r="D142" s="3"/>
      <c r="E142" s="271" t="s">
        <v>379</v>
      </c>
      <c r="F142" s="393" t="s">
        <v>380</v>
      </c>
      <c r="G142" s="210"/>
      <c r="H142" s="317" t="str">
        <f t="shared" ref="H142:S142" si="6">C30</f>
        <v>P1</v>
      </c>
      <c r="I142" s="317" t="str">
        <f t="shared" si="6"/>
        <v>P2</v>
      </c>
      <c r="J142" s="317" t="str">
        <f t="shared" si="6"/>
        <v>P3</v>
      </c>
      <c r="K142" s="317" t="str">
        <f t="shared" si="6"/>
        <v>P4</v>
      </c>
      <c r="L142" s="317" t="str">
        <f t="shared" si="6"/>
        <v>P5</v>
      </c>
      <c r="M142" s="317" t="str">
        <f t="shared" si="6"/>
        <v>P6</v>
      </c>
      <c r="N142" s="317" t="str">
        <f t="shared" si="6"/>
        <v>P7</v>
      </c>
      <c r="O142" s="317" t="str">
        <f t="shared" si="6"/>
        <v>P8</v>
      </c>
      <c r="P142" s="317" t="str">
        <f t="shared" si="6"/>
        <v>P9</v>
      </c>
      <c r="Q142" s="317" t="str">
        <f t="shared" si="6"/>
        <v>P10</v>
      </c>
      <c r="R142" s="317" t="str">
        <f t="shared" si="6"/>
        <v>P11</v>
      </c>
      <c r="S142" s="318" t="str">
        <f t="shared" si="6"/>
        <v>P12</v>
      </c>
      <c r="T142" s="35"/>
      <c r="U142" s="35"/>
    </row>
    <row r="143" spans="1:21" ht="18.75" customHeight="1">
      <c r="A143" s="3"/>
      <c r="B143" s="780" t="str">
        <f>IF(ISBLANK(B118),"",(B118))</f>
        <v>Rata mortalităţii  - Numărul de decese cauzate de TB (toate formele) pe an, la 100,000 persoane</v>
      </c>
      <c r="C143" s="781"/>
      <c r="D143" s="782"/>
      <c r="E143" s="758" t="str">
        <f>IF(ISBLANK(E118),"",(E118))</f>
        <v>Impact 1</v>
      </c>
      <c r="F143" s="760" t="str">
        <f>IF(ISBLANK(F118),"",(F118))</f>
        <v>Nu</v>
      </c>
      <c r="G143" s="387" t="s">
        <v>374</v>
      </c>
      <c r="H143" s="476">
        <f t="shared" ref="H143:S143" si="7">H118</f>
        <v>12.7</v>
      </c>
      <c r="I143" s="476">
        <f t="shared" si="7"/>
        <v>11.6</v>
      </c>
      <c r="J143" s="476">
        <f t="shared" si="7"/>
        <v>11.6</v>
      </c>
      <c r="K143" s="476">
        <f>K118</f>
        <v>11.6</v>
      </c>
      <c r="L143" s="476">
        <f t="shared" si="7"/>
        <v>9.5</v>
      </c>
      <c r="M143" s="476">
        <f t="shared" si="7"/>
        <v>0</v>
      </c>
      <c r="N143" s="476">
        <f t="shared" si="7"/>
        <v>0</v>
      </c>
      <c r="O143" s="476">
        <f t="shared" si="7"/>
        <v>0</v>
      </c>
      <c r="P143" s="476">
        <f t="shared" si="7"/>
        <v>0</v>
      </c>
      <c r="Q143" s="476">
        <f t="shared" si="7"/>
        <v>0</v>
      </c>
      <c r="R143" s="476">
        <f t="shared" si="7"/>
        <v>0</v>
      </c>
      <c r="S143" s="378">
        <f t="shared" si="7"/>
        <v>0</v>
      </c>
      <c r="T143" s="35"/>
      <c r="U143" s="35"/>
    </row>
    <row r="144" spans="1:21" ht="17.25" customHeight="1">
      <c r="A144" s="3"/>
      <c r="B144" s="783"/>
      <c r="C144" s="784"/>
      <c r="D144" s="785"/>
      <c r="E144" s="758"/>
      <c r="F144" s="760"/>
      <c r="G144" s="387" t="s">
        <v>375</v>
      </c>
      <c r="H144" s="476">
        <f>H119</f>
        <v>14.4</v>
      </c>
      <c r="I144" s="476">
        <f>I119</f>
        <v>11.14</v>
      </c>
      <c r="J144" s="476">
        <f>J119</f>
        <v>11.22</v>
      </c>
      <c r="K144" s="476">
        <f>K119</f>
        <v>11.22</v>
      </c>
      <c r="L144" s="476">
        <f t="shared" ref="L144:S144" si="8">L119</f>
        <v>12.5</v>
      </c>
      <c r="M144" s="476">
        <f t="shared" si="8"/>
        <v>0</v>
      </c>
      <c r="N144" s="476">
        <f t="shared" si="8"/>
        <v>0</v>
      </c>
      <c r="O144" s="476">
        <f t="shared" si="8"/>
        <v>0</v>
      </c>
      <c r="P144" s="476">
        <f t="shared" si="8"/>
        <v>0</v>
      </c>
      <c r="Q144" s="476">
        <f t="shared" si="8"/>
        <v>0</v>
      </c>
      <c r="R144" s="476">
        <f t="shared" si="8"/>
        <v>0</v>
      </c>
      <c r="S144" s="378">
        <f t="shared" si="8"/>
        <v>0</v>
      </c>
      <c r="T144" s="35"/>
      <c r="U144" s="35"/>
    </row>
    <row r="145" spans="1:21" ht="15.75" customHeight="1">
      <c r="A145" s="3"/>
      <c r="B145" s="769" t="str">
        <f>IF(ISBLANK(B120),"",(B120))</f>
        <v xml:space="preserve">Numărul și procentul pacienţilor cu tuberculoză multirezistentă (confirmată în baza testului de laborator) tratați cu succes (care au urmat și terminat tratamentul), incluşi în tratamentul DOTS-Plus     </v>
      </c>
      <c r="C145" s="770"/>
      <c r="D145" s="771"/>
      <c r="E145" s="768" t="str">
        <f>IF(ISBLANK(E120),"",(E120))</f>
        <v>Rezultat 1</v>
      </c>
      <c r="F145" s="757" t="str">
        <f>IF(ISBLANK(F120),"",(F120))</f>
        <v>Nu</v>
      </c>
      <c r="G145" s="388" t="s">
        <v>374</v>
      </c>
      <c r="H145" s="477">
        <f>H120</f>
        <v>55.4</v>
      </c>
      <c r="I145" s="477">
        <f t="shared" ref="I145:P145" si="9">I120</f>
        <v>60</v>
      </c>
      <c r="J145" s="477">
        <f t="shared" si="9"/>
        <v>60</v>
      </c>
      <c r="K145" s="477">
        <f t="shared" si="9"/>
        <v>60</v>
      </c>
      <c r="L145" s="477">
        <f t="shared" si="9"/>
        <v>70</v>
      </c>
      <c r="M145" s="477">
        <f t="shared" si="9"/>
        <v>0</v>
      </c>
      <c r="N145" s="477">
        <f t="shared" si="9"/>
        <v>0</v>
      </c>
      <c r="O145" s="477">
        <f t="shared" si="9"/>
        <v>0</v>
      </c>
      <c r="P145" s="477">
        <f t="shared" si="9"/>
        <v>0</v>
      </c>
      <c r="Q145" s="477">
        <f t="shared" ref="Q145:S146" si="10">Q120</f>
        <v>0</v>
      </c>
      <c r="R145" s="477">
        <f t="shared" si="10"/>
        <v>0</v>
      </c>
      <c r="S145" s="379">
        <f t="shared" si="10"/>
        <v>0</v>
      </c>
      <c r="T145" s="35"/>
      <c r="U145" s="35"/>
    </row>
    <row r="146" spans="1:21" ht="15.75" customHeight="1">
      <c r="A146" s="3"/>
      <c r="B146" s="769"/>
      <c r="C146" s="770"/>
      <c r="D146" s="771"/>
      <c r="E146" s="768"/>
      <c r="F146" s="757"/>
      <c r="G146" s="388" t="s">
        <v>375</v>
      </c>
      <c r="H146" s="477">
        <f>H121</f>
        <v>51.53</v>
      </c>
      <c r="I146" s="477">
        <f t="shared" ref="I146:P146" si="11">I121</f>
        <v>49.3</v>
      </c>
      <c r="J146" s="477">
        <f t="shared" si="11"/>
        <v>49.3</v>
      </c>
      <c r="K146" s="477">
        <f t="shared" si="11"/>
        <v>54.27</v>
      </c>
      <c r="L146" s="477">
        <f t="shared" si="11"/>
        <v>59</v>
      </c>
      <c r="M146" s="477">
        <f t="shared" si="11"/>
        <v>0</v>
      </c>
      <c r="N146" s="477">
        <f t="shared" si="11"/>
        <v>0</v>
      </c>
      <c r="O146" s="477">
        <f t="shared" si="11"/>
        <v>0</v>
      </c>
      <c r="P146" s="477">
        <f t="shared" si="11"/>
        <v>0</v>
      </c>
      <c r="Q146" s="477">
        <f t="shared" si="10"/>
        <v>0</v>
      </c>
      <c r="R146" s="477">
        <f t="shared" si="10"/>
        <v>0</v>
      </c>
      <c r="S146" s="379">
        <f t="shared" si="10"/>
        <v>0</v>
      </c>
      <c r="T146" s="35"/>
      <c r="U146" s="35"/>
    </row>
    <row r="147" spans="1:21" ht="21" customHeight="1">
      <c r="A147" s="3"/>
      <c r="B147" s="762" t="str">
        <f>IF(ISBLANK(B122),"",(B122))</f>
        <v>Prevalența TB MDR printre cazurile noi TB, %</v>
      </c>
      <c r="C147" s="763"/>
      <c r="D147" s="764"/>
      <c r="E147" s="758" t="str">
        <f>IF(ISBLANK(E122),"",(E122))</f>
        <v>Rezultat 2</v>
      </c>
      <c r="F147" s="760" t="str">
        <f>IF(ISBLANK(F122),"",(F122))</f>
        <v>Nu</v>
      </c>
      <c r="G147" s="387" t="s">
        <v>374</v>
      </c>
      <c r="H147" s="476">
        <f t="shared" ref="H147:K148" si="12">H122</f>
        <v>24</v>
      </c>
      <c r="I147" s="476">
        <f t="shared" si="12"/>
        <v>22</v>
      </c>
      <c r="J147" s="476">
        <f t="shared" si="12"/>
        <v>22</v>
      </c>
      <c r="K147" s="476">
        <f t="shared" si="12"/>
        <v>22</v>
      </c>
      <c r="L147" s="476">
        <f t="shared" ref="L147:S147" si="13">L122</f>
        <v>21</v>
      </c>
      <c r="M147" s="476">
        <f t="shared" si="13"/>
        <v>0</v>
      </c>
      <c r="N147" s="476">
        <f t="shared" si="13"/>
        <v>0</v>
      </c>
      <c r="O147" s="476">
        <f t="shared" si="13"/>
        <v>0</v>
      </c>
      <c r="P147" s="476">
        <f t="shared" si="13"/>
        <v>0</v>
      </c>
      <c r="Q147" s="476">
        <f t="shared" si="13"/>
        <v>0</v>
      </c>
      <c r="R147" s="476">
        <f t="shared" si="13"/>
        <v>0</v>
      </c>
      <c r="S147" s="378">
        <f t="shared" si="13"/>
        <v>0</v>
      </c>
      <c r="T147" s="35"/>
      <c r="U147" s="35"/>
    </row>
    <row r="148" spans="1:21" ht="23.25" customHeight="1" thickBot="1">
      <c r="A148" s="3"/>
      <c r="B148" s="765"/>
      <c r="C148" s="766"/>
      <c r="D148" s="767"/>
      <c r="E148" s="759"/>
      <c r="F148" s="761"/>
      <c r="G148" s="394" t="s">
        <v>375</v>
      </c>
      <c r="H148" s="478">
        <f t="shared" si="12"/>
        <v>23.7</v>
      </c>
      <c r="I148" s="478">
        <f t="shared" si="12"/>
        <v>24.8</v>
      </c>
      <c r="J148" s="478">
        <f t="shared" si="12"/>
        <v>25.53</v>
      </c>
      <c r="K148" s="478">
        <f t="shared" si="12"/>
        <v>25.53</v>
      </c>
      <c r="L148" s="478">
        <f t="shared" ref="L148:S148" si="14">L123</f>
        <v>27.65</v>
      </c>
      <c r="M148" s="478">
        <f t="shared" si="14"/>
        <v>0</v>
      </c>
      <c r="N148" s="478">
        <f t="shared" si="14"/>
        <v>0</v>
      </c>
      <c r="O148" s="478">
        <f t="shared" si="14"/>
        <v>0</v>
      </c>
      <c r="P148" s="478">
        <f t="shared" si="14"/>
        <v>0</v>
      </c>
      <c r="Q148" s="478">
        <f t="shared" si="14"/>
        <v>0</v>
      </c>
      <c r="R148" s="478">
        <f t="shared" si="14"/>
        <v>0</v>
      </c>
      <c r="S148" s="380">
        <f t="shared" si="14"/>
        <v>0</v>
      </c>
      <c r="T148" s="35"/>
      <c r="U148" s="35"/>
    </row>
    <row r="149" spans="1:21">
      <c r="A149" s="3"/>
      <c r="B149" s="3"/>
      <c r="C149" s="3"/>
      <c r="D149" s="3"/>
      <c r="E149" s="3"/>
      <c r="F149" s="3"/>
      <c r="G149" s="3"/>
      <c r="H149" s="3"/>
      <c r="I149" s="3"/>
      <c r="J149" s="3"/>
      <c r="K149" s="3"/>
      <c r="L149" s="3"/>
      <c r="M149" s="3"/>
      <c r="N149"/>
      <c r="O149"/>
      <c r="P149" s="35"/>
      <c r="Q149" s="35"/>
      <c r="S149" s="369"/>
    </row>
    <row r="150" spans="1:21">
      <c r="N150"/>
      <c r="O150"/>
      <c r="P150" s="35"/>
      <c r="Q150" s="35"/>
    </row>
    <row r="151" spans="1:21">
      <c r="N151"/>
      <c r="O151"/>
      <c r="P151" s="35"/>
      <c r="Q151" s="35"/>
    </row>
    <row r="152" spans="1:21">
      <c r="N152"/>
      <c r="O152"/>
      <c r="P152" s="35"/>
      <c r="Q152" s="35"/>
    </row>
  </sheetData>
  <dataConsolidate/>
  <mergeCells count="73">
    <mergeCell ref="O31:O34"/>
    <mergeCell ref="E118:E119"/>
    <mergeCell ref="F118:F119"/>
    <mergeCell ref="F120:F121"/>
    <mergeCell ref="E120:E121"/>
    <mergeCell ref="F47:I47"/>
    <mergeCell ref="B147:D148"/>
    <mergeCell ref="E145:E146"/>
    <mergeCell ref="B145:D146"/>
    <mergeCell ref="B126:D127"/>
    <mergeCell ref="B128:D129"/>
    <mergeCell ref="B132:D133"/>
    <mergeCell ref="E126:E127"/>
    <mergeCell ref="E128:E129"/>
    <mergeCell ref="B134:D135"/>
    <mergeCell ref="B143:D144"/>
    <mergeCell ref="E134:E135"/>
    <mergeCell ref="B136:D137"/>
    <mergeCell ref="E136:E137"/>
    <mergeCell ref="F145:F146"/>
    <mergeCell ref="E147:E148"/>
    <mergeCell ref="F147:F148"/>
    <mergeCell ref="E143:E144"/>
    <mergeCell ref="F143:F144"/>
    <mergeCell ref="B73:C73"/>
    <mergeCell ref="C6:D6"/>
    <mergeCell ref="E6:F6"/>
    <mergeCell ref="B71:C71"/>
    <mergeCell ref="B26:C26"/>
    <mergeCell ref="D24:E24"/>
    <mergeCell ref="B29:N29"/>
    <mergeCell ref="B60:D60"/>
    <mergeCell ref="G24:H24"/>
    <mergeCell ref="I24:J24"/>
    <mergeCell ref="C8:D8"/>
    <mergeCell ref="B14:J14"/>
    <mergeCell ref="C12:D12"/>
    <mergeCell ref="D18:F18"/>
    <mergeCell ref="B21:J21"/>
    <mergeCell ref="E10:F10"/>
    <mergeCell ref="B116:D116"/>
    <mergeCell ref="B108:B111"/>
    <mergeCell ref="F128:F129"/>
    <mergeCell ref="B118:D119"/>
    <mergeCell ref="F122:F123"/>
    <mergeCell ref="B120:D121"/>
    <mergeCell ref="E124:E125"/>
    <mergeCell ref="F124:F125"/>
    <mergeCell ref="F126:F127"/>
    <mergeCell ref="A118:A123"/>
    <mergeCell ref="B130:D131"/>
    <mergeCell ref="E130:E131"/>
    <mergeCell ref="B2:J2"/>
    <mergeCell ref="C4:D4"/>
    <mergeCell ref="E4:F4"/>
    <mergeCell ref="G4:J4"/>
    <mergeCell ref="H16:I16"/>
    <mergeCell ref="C10:D10"/>
    <mergeCell ref="E12:F12"/>
    <mergeCell ref="I8:J8"/>
    <mergeCell ref="I6:J6"/>
    <mergeCell ref="G12:J12"/>
    <mergeCell ref="G10:J10"/>
    <mergeCell ref="B18:C18"/>
    <mergeCell ref="B72:C72"/>
    <mergeCell ref="F136:F137"/>
    <mergeCell ref="B124:D125"/>
    <mergeCell ref="E132:E133"/>
    <mergeCell ref="E122:E123"/>
    <mergeCell ref="B122:D123"/>
    <mergeCell ref="F134:F135"/>
    <mergeCell ref="F132:F133"/>
    <mergeCell ref="F130:F131"/>
  </mergeCells>
  <phoneticPr fontId="23" type="noConversion"/>
  <conditionalFormatting sqref="B34 B32 E33:N33 E32:H32">
    <cfRule type="expression" dxfId="44" priority="5" stopIfTrue="1">
      <formula>+AND(B31&gt;=#REF!,B31&lt;=#REF!)</formula>
    </cfRule>
  </conditionalFormatting>
  <conditionalFormatting sqref="E34:N34">
    <cfRule type="expression" dxfId="43" priority="6" stopIfTrue="1">
      <formula>+AND(E32&gt;=#REF!,E32&lt;=#REF!)</formula>
    </cfRule>
  </conditionalFormatting>
  <conditionalFormatting sqref="C30:N30 C94:N94">
    <cfRule type="cellIs" dxfId="42" priority="9" stopIfTrue="1" operator="equal">
      <formula>$C$16</formula>
    </cfRule>
  </conditionalFormatting>
  <conditionalFormatting sqref="C12:D12">
    <cfRule type="cellIs" dxfId="41" priority="11" stopIfTrue="1" operator="equal">
      <formula>"C"</formula>
    </cfRule>
    <cfRule type="cellIs" dxfId="40" priority="12" stopIfTrue="1" operator="equal">
      <formula>"B2"</formula>
    </cfRule>
    <cfRule type="cellIs" dxfId="39" priority="13" stopIfTrue="1" operator="equal">
      <formula>"B1"</formula>
    </cfRule>
  </conditionalFormatting>
  <conditionalFormatting sqref="H142:S142 H116:S117">
    <cfRule type="cellIs" dxfId="38" priority="20" stopIfTrue="1" operator="equal">
      <formula>$C$16</formula>
    </cfRule>
  </conditionalFormatting>
  <conditionalFormatting sqref="F47:I47">
    <cfRule type="expression" dxfId="37" priority="21" stopIfTrue="1">
      <formula>LEFT($F$47,2)="OK"</formula>
    </cfRule>
  </conditionalFormatting>
  <conditionalFormatting sqref="C33">
    <cfRule type="expression" dxfId="36" priority="4" stopIfTrue="1">
      <formula>+AND(C31&gt;=#REF!,C31&lt;=#REF!)</formula>
    </cfRule>
  </conditionalFormatting>
  <conditionalFormatting sqref="C34">
    <cfRule type="expression" dxfId="35" priority="3" stopIfTrue="1">
      <formula>+AND(C32&gt;=#REF!,C32&lt;=#REF!)</formula>
    </cfRule>
  </conditionalFormatting>
  <conditionalFormatting sqref="D33">
    <cfRule type="expression" dxfId="34" priority="2" stopIfTrue="1">
      <formula>+AND(D31&gt;=#REF!,D31&lt;=#REF!)</formula>
    </cfRule>
  </conditionalFormatting>
  <conditionalFormatting sqref="D34">
    <cfRule type="expression" dxfId="33" priority="1" stopIfTrue="1">
      <formula>+AND(D32&gt;=#REF!,D32&lt;=#REF!)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8" scale="75" orientation="landscape" r:id="rId1"/>
  <headerFooter>
    <oddFooter>&amp;L&amp;F&amp;C&amp;A&amp;RV1.0          &amp;D</oddFooter>
  </headerFooter>
  <rowBreaks count="2" manualBreakCount="2">
    <brk id="48" max="16383" man="1"/>
    <brk id="104" max="14"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G13" sqref="G13:J1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29"/>
      <c r="H1" s="2"/>
      <c r="I1" s="2"/>
      <c r="J1" s="2"/>
    </row>
    <row r="2" spans="1:24" ht="25.5" customHeight="1"/>
    <row r="3" spans="1:24" ht="36">
      <c r="B3" s="805" t="str">
        <f>+"Tabel Programatic de Evaluare: "&amp;" "&amp;+IF('Introducerea datelor'!C4="Please Select","",'Introducerea datelor'!C4&amp;" - ")&amp;+IF('Introducerea datelor'!G6="Please Select","",'Introducerea datelor'!G6)</f>
        <v>Tabel Programatic de Evaluare:  Moldova - TB</v>
      </c>
      <c r="C3" s="805"/>
      <c r="D3" s="805"/>
      <c r="E3" s="805"/>
      <c r="F3" s="805"/>
      <c r="G3" s="805"/>
      <c r="H3" s="805"/>
      <c r="I3" s="805"/>
      <c r="J3" s="80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25" t="s">
        <v>284</v>
      </c>
      <c r="B6" s="807" t="str">
        <f>+IF('Introducerea datelor'!C4="Please Select","",'Introducerea datelor'!C4)</f>
        <v>Moldova</v>
      </c>
      <c r="C6" s="807"/>
      <c r="D6" s="811" t="s">
        <v>288</v>
      </c>
      <c r="E6" s="811"/>
      <c r="F6" s="812" t="str">
        <f>+'Introducerea datelor'!G4</f>
        <v>Consolidarea controlului Tuberculozei în Republica Moldova</v>
      </c>
      <c r="G6" s="812"/>
      <c r="H6" s="812"/>
      <c r="I6" s="812"/>
      <c r="J6" s="812"/>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11" t="s">
        <v>289</v>
      </c>
      <c r="B9" s="287" t="str">
        <f>+IF('Introducerea datelor'!G6="Please Select","",'Introducerea datelor'!G6)</f>
        <v>TB</v>
      </c>
      <c r="C9" s="191" t="s">
        <v>248</v>
      </c>
      <c r="D9" s="288" t="str">
        <f>+'Introducerea datelor'!C6</f>
        <v xml:space="preserve">MDA-T-PCIMU </v>
      </c>
      <c r="E9" s="809" t="s">
        <v>382</v>
      </c>
      <c r="F9" s="809"/>
      <c r="G9" s="410">
        <f>+IF(ISBLANK('Introducerea datelor'!C10),"",'Introducerea datelor'!C10)</f>
        <v>40452</v>
      </c>
      <c r="H9" s="311" t="s">
        <v>290</v>
      </c>
      <c r="I9" s="808">
        <f>+IF(ISBLANK('Introducerea datelor'!I6),"",'Introducerea datelor'!I6)</f>
        <v>12371649.98</v>
      </c>
      <c r="J9" s="808"/>
      <c r="K9" s="49"/>
      <c r="L9" s="49"/>
      <c r="M9" s="49"/>
      <c r="N9" s="49"/>
      <c r="O9" s="51"/>
      <c r="P9" s="50"/>
      <c r="Q9" s="51"/>
      <c r="R9" s="52"/>
      <c r="S9" s="17"/>
      <c r="T9" s="11"/>
      <c r="U9" s="11"/>
      <c r="V9" s="10"/>
      <c r="W9" s="10"/>
      <c r="X9" s="10"/>
    </row>
    <row r="10" spans="1:24" ht="25.5" customHeight="1">
      <c r="A10" s="311" t="s">
        <v>291</v>
      </c>
      <c r="B10" s="289" t="str">
        <f>+IF('Introducerea datelor'!G8="Please Select","",'Introducerea datelor'!G8)</f>
        <v/>
      </c>
      <c r="C10" s="191" t="s">
        <v>292</v>
      </c>
      <c r="D10" s="290" t="str">
        <f>+IF('Introducerea datelor'!I8="Please Select","",'Introducerea datelor'!I8)</f>
        <v>Phase 2</v>
      </c>
      <c r="E10" s="810" t="s">
        <v>383</v>
      </c>
      <c r="F10" s="810"/>
      <c r="G10" s="806" t="str">
        <f>+'Introducerea datelor'!C8</f>
        <v>IP UCIMP DS</v>
      </c>
      <c r="H10" s="806"/>
      <c r="I10" s="806"/>
      <c r="J10" s="806"/>
      <c r="K10" s="53"/>
      <c r="L10" s="53"/>
      <c r="M10" s="49"/>
      <c r="N10" s="53"/>
      <c r="O10" s="51"/>
      <c r="P10" s="50"/>
      <c r="Q10" s="11"/>
      <c r="R10" s="52"/>
      <c r="S10" s="17"/>
      <c r="T10" s="11"/>
      <c r="U10" s="11"/>
    </row>
    <row r="11" spans="1:24" ht="25.5" customHeight="1">
      <c r="A11" s="311" t="s">
        <v>295</v>
      </c>
      <c r="B11" s="291" t="str">
        <f>+'Introducerea datelor'!C16</f>
        <v>P5</v>
      </c>
      <c r="C11" s="275" t="s">
        <v>296</v>
      </c>
      <c r="D11" s="411">
        <f>+IF(ISBLANK('Introducerea datelor'!E16),"",'Introducerea datelor'!E16)</f>
        <v>42005</v>
      </c>
      <c r="E11" s="809" t="s">
        <v>297</v>
      </c>
      <c r="F11" s="809"/>
      <c r="G11" s="411">
        <f>+IF(ISBLANK('Introducerea datelor'!G16),"",'Introducerea datelor'!G16)</f>
        <v>42185</v>
      </c>
      <c r="H11" s="311" t="s">
        <v>287</v>
      </c>
      <c r="I11" s="813" t="str">
        <f>+IF('Introducerea datelor'!C12="Please Select","",'Introducerea datelor'!C12)</f>
        <v>A1</v>
      </c>
      <c r="J11" s="813"/>
      <c r="K11" s="228"/>
      <c r="L11" s="53"/>
      <c r="M11" s="49"/>
      <c r="N11" s="53"/>
      <c r="O11" s="53"/>
      <c r="P11" s="50"/>
      <c r="Q11" s="11"/>
      <c r="R11" s="52"/>
      <c r="S11" s="17"/>
      <c r="T11" s="12"/>
      <c r="U11" s="11"/>
    </row>
    <row r="12" spans="1:24" ht="25.5" customHeight="1">
      <c r="A12" s="311" t="s">
        <v>293</v>
      </c>
      <c r="B12" s="806" t="str">
        <f>+IF('Introducerea datelor'!G10="Please Select","",'Introducerea datelor'!G10)</f>
        <v>PwC (PricewaterhouseCoopers)</v>
      </c>
      <c r="C12" s="806"/>
      <c r="D12" s="806"/>
      <c r="E12" s="810" t="s">
        <v>233</v>
      </c>
      <c r="F12" s="810"/>
      <c r="G12" s="806" t="str">
        <f>+'Introducerea datelor'!G12</f>
        <v>Tsovinar Sakanyan</v>
      </c>
      <c r="H12" s="806"/>
      <c r="I12" s="806"/>
      <c r="J12" s="806"/>
      <c r="K12" s="53"/>
      <c r="L12" s="53"/>
      <c r="M12" s="49"/>
      <c r="N12" s="53"/>
      <c r="O12" s="17"/>
      <c r="P12" s="50"/>
      <c r="Q12" s="11"/>
      <c r="R12" s="52"/>
      <c r="S12" s="17"/>
      <c r="T12" s="11"/>
      <c r="U12" s="54"/>
      <c r="V12" s="11"/>
      <c r="W12" s="12"/>
      <c r="X12" s="11"/>
    </row>
    <row r="13" spans="1:24" ht="30.75" customHeight="1">
      <c r="A13" s="311" t="s">
        <v>384</v>
      </c>
      <c r="B13" s="806" t="str">
        <f>+'Introducerea datelor'!D18</f>
        <v>IP UCIMP DS</v>
      </c>
      <c r="C13" s="806"/>
      <c r="D13" s="806"/>
      <c r="E13" s="814" t="s">
        <v>385</v>
      </c>
      <c r="F13" s="814"/>
      <c r="G13" s="815">
        <f>+IF(ISBLANK('Introducerea datelor'!J16),"",'Introducerea datelor'!J16)</f>
        <v>42231</v>
      </c>
      <c r="H13" s="816"/>
      <c r="I13" s="816"/>
      <c r="J13" s="816"/>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0"/>
      <c r="D16" s="16"/>
      <c r="E16" s="312"/>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view="pageBreakPreview" topLeftCell="A13" zoomScaleNormal="100" zoomScaleSheetLayoutView="100" workbookViewId="0">
      <selection activeCell="R29" sqref="R29"/>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7"/>
      <c r="E1" s="198"/>
    </row>
    <row r="2" spans="1:16" ht="27.75" customHeight="1">
      <c r="B2" s="827" t="str">
        <f>+"Tabel Programatic de Evaluare:  "&amp;"  "&amp;IF(+'Introducerea datelor'!C4="Please Select","",'Introducerea datelor'!C4&amp;" - ")&amp;IF('Introducerea datelor'!G6="Please Select","",'Introducerea datelor'!G6)</f>
        <v>Tabel Programatic de Evaluare:    Moldova - TB</v>
      </c>
      <c r="C2" s="827"/>
      <c r="D2" s="827"/>
      <c r="E2" s="827"/>
      <c r="F2" s="827"/>
      <c r="G2" s="827"/>
      <c r="H2" s="827"/>
      <c r="I2" s="827"/>
      <c r="J2" s="827"/>
      <c r="K2" s="827"/>
      <c r="L2" s="827"/>
      <c r="M2" s="25"/>
      <c r="N2" s="25"/>
      <c r="O2" s="25"/>
      <c r="P2" s="25"/>
    </row>
    <row r="3" spans="1:16">
      <c r="B3" s="23" t="str">
        <f>+IF('Introducerea datelor'!G8="Please Select","",'Introducerea datelor'!G8)</f>
        <v/>
      </c>
      <c r="C3" s="831" t="str">
        <f>+IF('Introducerea datelor'!I8="Please Select","",'Introducerea datelor'!I8)</f>
        <v>Phase 2</v>
      </c>
      <c r="D3" s="831"/>
      <c r="E3" s="825"/>
      <c r="F3" s="825"/>
      <c r="G3" s="825"/>
      <c r="H3" s="825"/>
      <c r="I3" s="825"/>
      <c r="J3" s="830" t="str">
        <f>+'Introducerea datelor'!B16</f>
        <v>Perioada de Raportare:</v>
      </c>
      <c r="K3" s="830"/>
      <c r="L3" s="166" t="str">
        <f>+'Introducerea datelor'!C16</f>
        <v>P5</v>
      </c>
    </row>
    <row r="4" spans="1:16">
      <c r="B4" s="23" t="str">
        <f>+'Introducerea datelor'!B12</f>
        <v>Ultimul Rating:</v>
      </c>
      <c r="C4" s="828" t="str">
        <f>+IF('Introducerea datelor'!C12="Please Select","",'Introducerea datelor'!C12)</f>
        <v>A1</v>
      </c>
      <c r="D4" s="828"/>
      <c r="E4" s="825" t="str">
        <f>+'Introducerea datelor'!C8</f>
        <v>IP UCIMP DS</v>
      </c>
      <c r="F4" s="825"/>
      <c r="G4" s="825"/>
      <c r="H4" s="825"/>
      <c r="I4" s="825"/>
      <c r="J4" s="830" t="str">
        <f>+'Introducerea datelor'!D16</f>
        <v>De la:</v>
      </c>
      <c r="K4" s="832"/>
      <c r="L4" s="445">
        <f>+IF(ISBLANK('Introducerea datelor'!E16),"",'Introducerea datelor'!E16)</f>
        <v>42005</v>
      </c>
    </row>
    <row r="5" spans="1:16" ht="18.75" customHeight="1">
      <c r="B5" s="23"/>
      <c r="C5" s="23"/>
      <c r="D5" s="825" t="str">
        <f>+'Introducerea datelor'!G4</f>
        <v>Consolidarea controlului Tuberculozei în Republica Moldova</v>
      </c>
      <c r="E5" s="825"/>
      <c r="F5" s="825"/>
      <c r="G5" s="825"/>
      <c r="H5" s="825"/>
      <c r="I5" s="825"/>
      <c r="J5" s="825"/>
      <c r="K5" s="23" t="str">
        <f>+'Introducerea datelor'!F16</f>
        <v>Pînă la:</v>
      </c>
      <c r="L5" s="445">
        <f>+IF(ISBLANK('Introducerea datelor'!G16),"",'Introducerea datelor'!G16)</f>
        <v>42185</v>
      </c>
    </row>
    <row r="6" spans="1:16" ht="18.75">
      <c r="B6" s="22"/>
      <c r="C6" s="23"/>
      <c r="D6" s="24"/>
      <c r="E6" s="829" t="s">
        <v>390</v>
      </c>
      <c r="F6" s="829"/>
      <c r="G6" s="829"/>
      <c r="H6" s="829"/>
      <c r="I6" s="829"/>
    </row>
    <row r="7" spans="1:16" ht="26.25" customHeight="1">
      <c r="B7" s="819" t="str">
        <f>+'Introducerea datelor'!B69&amp;"                "&amp;+J3&amp;" "&amp;+L3</f>
        <v>M1: Statutul Condițiilor Precedente și a Acțiunilor Prestabilite în Timp                 Perioada de Raportare: P5</v>
      </c>
      <c r="C7" s="820"/>
      <c r="D7" s="820"/>
      <c r="E7" s="820"/>
      <c r="F7" s="820"/>
      <c r="H7" s="819" t="str">
        <f>+'Introducerea datelor'!B76&amp;"                                                                             "&amp;+J3&amp;"  "&amp;+L3</f>
        <v>M2: Statutul pozițiilor cheie a RP                                                                              Perioada de Raportare:  P5</v>
      </c>
      <c r="I7" s="820"/>
      <c r="J7" s="820"/>
      <c r="K7" s="820"/>
      <c r="L7" s="820"/>
    </row>
    <row r="8" spans="1:16" ht="49.5" customHeight="1">
      <c r="B8" s="294" t="s">
        <v>389</v>
      </c>
      <c r="C8" s="1024" t="s">
        <v>474</v>
      </c>
      <c r="D8" s="1025"/>
      <c r="E8" s="1025"/>
      <c r="F8" s="1026"/>
      <c r="G8" s="533"/>
      <c r="H8" s="294" t="s">
        <v>389</v>
      </c>
      <c r="I8" s="1024" t="s">
        <v>471</v>
      </c>
      <c r="J8" s="1027"/>
      <c r="K8" s="1027"/>
      <c r="L8" s="1028"/>
    </row>
    <row r="9" spans="1:16" ht="22.5" customHeight="1">
      <c r="B9" s="19"/>
      <c r="C9" s="19"/>
      <c r="D9" s="19"/>
      <c r="E9" s="19"/>
      <c r="F9" s="19"/>
      <c r="G9" s="19"/>
      <c r="H9" s="19"/>
    </row>
    <row r="10" spans="1:16" ht="21" customHeight="1">
      <c r="A10" s="46"/>
      <c r="B10" s="19"/>
      <c r="C10" s="19"/>
      <c r="D10" s="826"/>
      <c r="E10" s="654"/>
      <c r="F10" s="654"/>
      <c r="G10" s="174"/>
      <c r="H10" s="19"/>
      <c r="N10" s="48"/>
      <c r="O10" s="48"/>
      <c r="P10" s="47"/>
    </row>
    <row r="11" spans="1:16">
      <c r="B11" s="19"/>
      <c r="C11" s="27"/>
      <c r="D11" s="826"/>
      <c r="E11" s="27"/>
      <c r="F11" s="27"/>
      <c r="G11" s="27"/>
      <c r="H11" s="27"/>
      <c r="N11" s="19"/>
      <c r="O11" s="19"/>
    </row>
    <row r="12" spans="1:16">
      <c r="B12" s="27"/>
      <c r="C12" s="78"/>
      <c r="D12" s="79"/>
      <c r="E12" s="79"/>
      <c r="F12" s="79"/>
      <c r="G12" s="79"/>
      <c r="H12" s="80"/>
      <c r="N12" s="572"/>
    </row>
    <row r="13" spans="1:16">
      <c r="B13" s="27"/>
      <c r="C13" s="78"/>
      <c r="D13" s="79"/>
      <c r="E13" s="79"/>
      <c r="F13" s="79"/>
      <c r="G13" s="79"/>
      <c r="H13" s="80"/>
    </row>
    <row r="14" spans="1:16" ht="27" customHeight="1"/>
    <row r="15" spans="1:16" ht="35.25" customHeight="1">
      <c r="B15" s="819" t="str">
        <f>+'Introducerea datelor'!B81&amp;"                                                                                                 "&amp;+J3&amp;" "&amp;+L3</f>
        <v>M3: Aranjamente contractuale (SR)                                                                                                  Perioada de Raportare: P5</v>
      </c>
      <c r="C15" s="820"/>
      <c r="D15" s="820"/>
      <c r="E15" s="820"/>
      <c r="F15" s="820"/>
      <c r="G15" s="820"/>
      <c r="H15" s="819" t="str">
        <f>+'Introducerea datelor'!B86&amp;"                        "&amp;+J3&amp;" "&amp;+L3</f>
        <v>M4: Numărul rapoartelor complete recepționate la timp                        Perioada de Raportare: P5</v>
      </c>
      <c r="I15" s="820"/>
      <c r="J15" s="820"/>
      <c r="K15" s="820"/>
      <c r="L15" s="820"/>
    </row>
    <row r="16" spans="1:16" ht="51.75" customHeight="1">
      <c r="B16" s="294" t="s">
        <v>389</v>
      </c>
      <c r="C16" s="1024" t="s">
        <v>472</v>
      </c>
      <c r="D16" s="1027"/>
      <c r="E16" s="1027"/>
      <c r="F16" s="1028"/>
      <c r="G16" s="533"/>
      <c r="H16" s="294" t="s">
        <v>389</v>
      </c>
      <c r="I16" s="1024" t="s">
        <v>442</v>
      </c>
      <c r="J16" s="1025"/>
      <c r="K16" s="1025"/>
      <c r="L16" s="1026"/>
    </row>
    <row r="17" spans="2:13">
      <c r="B17" s="28"/>
      <c r="H17" s="29"/>
    </row>
    <row r="18" spans="2:13">
      <c r="M18" s="82"/>
    </row>
    <row r="26" spans="2:13" ht="40.5" customHeight="1">
      <c r="B26" s="817" t="str">
        <f>+'Introducerea datelor'!B92</f>
        <v xml:space="preserve">M5: Bugetul și Procurarea produselor medicale, echipamentului medical, medicamentelor și produselor farmaceutice </v>
      </c>
      <c r="C26" s="818"/>
      <c r="D26" s="818"/>
      <c r="E26" s="818"/>
      <c r="F26" s="818"/>
      <c r="H26" s="819" t="str">
        <f>+'Introducerea datelor'!B105&amp;"                                                                "&amp;+J3&amp;"  "&amp;+L3</f>
        <v>M6: Diferență între stocul curent și stocul de siguranță                                                                Perioada de Raportare:  P5</v>
      </c>
      <c r="I26" s="820"/>
      <c r="J26" s="820"/>
      <c r="K26" s="820"/>
      <c r="L26" s="820"/>
    </row>
    <row r="27" spans="2:13" ht="51" customHeight="1">
      <c r="B27" s="294" t="s">
        <v>389</v>
      </c>
      <c r="C27" s="1024" t="s">
        <v>480</v>
      </c>
      <c r="D27" s="1027"/>
      <c r="E27" s="1027"/>
      <c r="F27" s="1028"/>
      <c r="G27" s="533"/>
      <c r="H27" s="294" t="s">
        <v>1</v>
      </c>
      <c r="I27" s="1024" t="s">
        <v>481</v>
      </c>
      <c r="J27" s="1025"/>
      <c r="K27" s="1025"/>
      <c r="L27" s="1026"/>
    </row>
    <row r="28" spans="2:13" ht="15.75" thickBot="1"/>
    <row r="29" spans="2:13" ht="59.25" customHeight="1">
      <c r="F29" s="279"/>
      <c r="G29" s="279"/>
      <c r="H29" s="397" t="s">
        <v>363</v>
      </c>
      <c r="I29" s="396" t="s">
        <v>391</v>
      </c>
      <c r="J29" s="293" t="s">
        <v>393</v>
      </c>
      <c r="K29" s="185" t="s">
        <v>394</v>
      </c>
      <c r="L29" s="276" t="s">
        <v>395</v>
      </c>
    </row>
    <row r="30" spans="2:13" ht="15" customHeight="1">
      <c r="F30" s="279"/>
      <c r="G30" s="279"/>
      <c r="H30" s="822" t="str">
        <f>+'Introducerea datelor'!B108</f>
        <v>Please Select</v>
      </c>
      <c r="I30" s="277" t="str">
        <f>+'Introducerea datelor'!C108</f>
        <v>Please Select</v>
      </c>
      <c r="J30" s="357" t="str">
        <f>+'Introducerea datelor'!I108</f>
        <v/>
      </c>
      <c r="K30" s="358">
        <f>+'Introducerea datelor'!J108</f>
        <v>0</v>
      </c>
      <c r="L30" s="345" t="str">
        <f>+'Introducerea datelor'!K108</f>
        <v/>
      </c>
    </row>
    <row r="31" spans="2:13">
      <c r="F31" s="279"/>
      <c r="G31" s="279"/>
      <c r="H31" s="823"/>
      <c r="I31" s="277" t="str">
        <f>+'Introducerea datelor'!C109</f>
        <v>Please Select</v>
      </c>
      <c r="J31" s="357" t="str">
        <f>+'Introducerea datelor'!I109</f>
        <v/>
      </c>
      <c r="K31" s="358">
        <f>+'Introducerea datelor'!J109</f>
        <v>0</v>
      </c>
      <c r="L31" s="346" t="str">
        <f>+'Introducerea datelor'!K109</f>
        <v/>
      </c>
    </row>
    <row r="32" spans="2:13">
      <c r="F32" s="279"/>
      <c r="G32" s="279"/>
      <c r="H32" s="823"/>
      <c r="I32" s="277" t="str">
        <f>+'Introducerea datelor'!C110</f>
        <v>Please Select</v>
      </c>
      <c r="J32" s="357" t="str">
        <f>+'Introducerea datelor'!I110</f>
        <v/>
      </c>
      <c r="K32" s="358">
        <f>+'Introducerea datelor'!J110</f>
        <v>0</v>
      </c>
      <c r="L32" s="345" t="str">
        <f>+'Introducerea datelor'!K110</f>
        <v/>
      </c>
    </row>
    <row r="33" spans="2:12" ht="15.75" thickBot="1">
      <c r="F33" s="279"/>
      <c r="G33" s="279"/>
      <c r="H33" s="824"/>
      <c r="I33" s="278" t="str">
        <f>+'Introducerea datelor'!C111</f>
        <v>Please Select</v>
      </c>
      <c r="J33" s="359" t="str">
        <f>+'Introducerea datelor'!I111</f>
        <v/>
      </c>
      <c r="K33" s="360">
        <f>+'Introducerea datelor'!J111</f>
        <v>0</v>
      </c>
      <c r="L33" s="345" t="str">
        <f>+'Introducerea datelor'!K111</f>
        <v/>
      </c>
    </row>
    <row r="34" spans="2:12" ht="22.5" customHeight="1">
      <c r="B34" s="821" t="str">
        <f>+'Introducerea datelor'!B102</f>
        <v>* Include numai EFR categoriile 4 și 5  (Produse medicale și Echipamente medicale &amp; Medicamente și Produse farmaceutice)</v>
      </c>
      <c r="C34" s="821"/>
      <c r="D34" s="821"/>
      <c r="E34" s="821"/>
      <c r="F34" s="19"/>
      <c r="G34" s="19"/>
      <c r="H34" s="182"/>
      <c r="I34" s="183"/>
      <c r="J34" s="184"/>
      <c r="K34" s="174"/>
      <c r="L34" s="20"/>
    </row>
    <row r="35" spans="2:12">
      <c r="F35" s="19"/>
      <c r="G35" s="19"/>
      <c r="H35" s="19"/>
      <c r="I35" s="19"/>
      <c r="J35" s="19"/>
      <c r="K35" s="19"/>
      <c r="L35" s="19"/>
    </row>
  </sheetData>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8" scale="95"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view="pageBreakPreview" topLeftCell="A10" zoomScale="115" zoomScaleNormal="100" zoomScaleSheetLayoutView="115" workbookViewId="0">
      <selection activeCell="M23" sqref="M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845" t="str">
        <f>+"Tabel Programatic de Evaluare:  "&amp;"  "&amp;IF(+'Introducerea datelor'!C4="Please Select","",'Introducerea datelor'!C4&amp;" - ")&amp;IF('Introducerea datelor'!G6="Please Select","",'Introducerea datelor'!G6)</f>
        <v>Tabel Programatic de Evaluare:    Moldova - TB</v>
      </c>
      <c r="C2" s="845"/>
      <c r="D2" s="845"/>
      <c r="E2" s="845"/>
      <c r="F2" s="845"/>
      <c r="G2" s="845"/>
      <c r="H2" s="845"/>
      <c r="I2" s="845"/>
      <c r="J2" s="845"/>
      <c r="K2" s="845"/>
      <c r="L2" s="1"/>
      <c r="M2" s="1"/>
      <c r="N2" s="1"/>
      <c r="O2" s="1"/>
    </row>
    <row r="3" spans="2:15">
      <c r="B3" s="128" t="str">
        <f>+IF('Introducerea datelor'!G8="Please Select","",'Introducerea datelor'!G8)</f>
        <v/>
      </c>
      <c r="C3" s="850" t="str">
        <f>+IF('Introducerea datelor'!I8="Please Select","",'Introducerea datelor'!I8)</f>
        <v>Phase 2</v>
      </c>
      <c r="D3" s="850"/>
      <c r="E3" s="849"/>
      <c r="F3" s="849"/>
      <c r="G3" s="849"/>
      <c r="H3" s="849"/>
      <c r="I3" s="847" t="str">
        <f>+'Introducerea datelor'!B16</f>
        <v>Perioada de Raportare:</v>
      </c>
      <c r="J3" s="847"/>
      <c r="K3" s="166" t="str">
        <f>+'Introducerea datelor'!C16</f>
        <v>P5</v>
      </c>
      <c r="L3" s="82"/>
    </row>
    <row r="4" spans="2:15">
      <c r="B4" s="128" t="str">
        <f>+'Introducerea datelor'!B12</f>
        <v>Ultimul Rating:</v>
      </c>
      <c r="C4" s="828" t="str">
        <f>+IF('Introducerea datelor'!C12="Please Select","",'Introducerea datelor'!C12)</f>
        <v>A1</v>
      </c>
      <c r="D4" s="828"/>
      <c r="E4" s="849" t="str">
        <f>+'Introducerea datelor'!C8</f>
        <v>IP UCIMP DS</v>
      </c>
      <c r="F4" s="849"/>
      <c r="G4" s="849"/>
      <c r="H4" s="849"/>
      <c r="I4" s="847" t="str">
        <f>+'Introducerea datelor'!D16</f>
        <v>De la:</v>
      </c>
      <c r="J4" s="848"/>
      <c r="K4" s="445">
        <f>+IF(ISBLANK('Introducerea datelor'!E16),"",'Introducerea datelor'!E16)</f>
        <v>42005</v>
      </c>
    </row>
    <row r="5" spans="2:15" ht="18.75" customHeight="1">
      <c r="B5" s="128"/>
      <c r="C5" s="128"/>
      <c r="D5" s="846" t="str">
        <f>+'Introducerea datelor'!G4</f>
        <v>Consolidarea controlului Tuberculozei în Republica Moldova</v>
      </c>
      <c r="E5" s="846"/>
      <c r="F5" s="846"/>
      <c r="G5" s="846"/>
      <c r="H5" s="846"/>
      <c r="I5" s="846"/>
      <c r="J5" s="128" t="str">
        <f>+'Introducerea datelor'!F16</f>
        <v>Pînă la:</v>
      </c>
      <c r="K5" s="445">
        <f>+IF(ISBLANK('Introducerea datelor'!G16),"",'Introducerea datelor'!G16)</f>
        <v>42185</v>
      </c>
    </row>
    <row r="6" spans="2:15" ht="18.75">
      <c r="B6" s="132"/>
      <c r="C6" s="128"/>
      <c r="D6" s="129"/>
      <c r="E6" s="838" t="s">
        <v>388</v>
      </c>
      <c r="F6" s="838"/>
      <c r="G6" s="838"/>
      <c r="H6" s="838"/>
      <c r="I6" s="3"/>
      <c r="J6" s="3"/>
      <c r="K6" s="3"/>
    </row>
    <row r="7" spans="2:15" ht="10.5" customHeight="1">
      <c r="B7" s="133"/>
      <c r="C7" s="134"/>
      <c r="D7" s="135"/>
      <c r="E7" s="136"/>
      <c r="F7" s="136"/>
      <c r="G7" s="137"/>
      <c r="H7" s="137"/>
      <c r="I7" s="131"/>
      <c r="J7" s="131"/>
      <c r="K7" s="130"/>
      <c r="O7" t="s">
        <v>387</v>
      </c>
    </row>
    <row r="8" spans="2:15" ht="26.25" customHeight="1">
      <c r="B8" s="841" t="str">
        <f>+'Introducerea datelor'!B27&amp; " - in ("&amp;'Introducerea datelor'!D26&amp;")  "&amp;+I3&amp;" "&amp;+K3</f>
        <v>F1: Bugetul și debursările de către Fondul Global - in (€)  Perioada de Raportare: P5</v>
      </c>
      <c r="C8" s="820"/>
      <c r="D8" s="820"/>
      <c r="E8" s="820"/>
      <c r="F8" s="820"/>
      <c r="H8" s="171" t="str">
        <f>+'Introducerea datelor'!B49&amp; " - in ("&amp;'Introducerea datelor'!D26&amp;")         "&amp;+I3&amp;" "&amp;+K3</f>
        <v>F3: Debursări și cheltuieli - in (€)         Perioada de Raportare: P5</v>
      </c>
      <c r="I8" s="3"/>
      <c r="J8" s="3"/>
      <c r="K8" s="3"/>
    </row>
    <row r="9" spans="2:15" ht="69" customHeight="1">
      <c r="B9" s="294" t="s">
        <v>389</v>
      </c>
      <c r="C9" s="1024" t="s">
        <v>473</v>
      </c>
      <c r="D9" s="1029"/>
      <c r="E9" s="1029"/>
      <c r="F9" s="1030"/>
      <c r="G9" s="534"/>
      <c r="H9" s="294" t="s">
        <v>389</v>
      </c>
      <c r="I9" s="1024" t="s">
        <v>482</v>
      </c>
      <c r="J9" s="1029"/>
      <c r="K9" s="103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3">
      <c r="B17" s="2"/>
      <c r="C17" s="2"/>
      <c r="D17" s="2"/>
      <c r="E17" s="2"/>
      <c r="F17" s="2"/>
      <c r="G17" s="3"/>
      <c r="H17" s="3"/>
      <c r="I17" s="3"/>
      <c r="J17" s="3"/>
      <c r="K17" s="3"/>
    </row>
    <row r="18" spans="1:13">
      <c r="B18" s="2"/>
      <c r="C18" s="2"/>
      <c r="D18" s="2"/>
      <c r="E18" s="2"/>
      <c r="F18" s="2"/>
      <c r="G18" s="3"/>
      <c r="H18" s="3"/>
      <c r="I18" s="3"/>
      <c r="J18" s="3"/>
      <c r="K18" s="3"/>
    </row>
    <row r="19" spans="1:13">
      <c r="B19" s="2"/>
      <c r="C19" s="2"/>
      <c r="D19" s="2"/>
      <c r="E19" s="2"/>
      <c r="F19" s="2"/>
      <c r="G19" s="3"/>
      <c r="H19" s="3"/>
      <c r="I19" s="3"/>
      <c r="J19" s="3"/>
      <c r="K19" s="3"/>
    </row>
    <row r="20" spans="1:13">
      <c r="B20" s="2"/>
      <c r="C20" s="2"/>
      <c r="D20" s="2"/>
      <c r="E20" s="2"/>
      <c r="F20" s="2"/>
      <c r="G20" s="3"/>
      <c r="H20" s="3"/>
      <c r="I20" s="3"/>
      <c r="J20" s="3"/>
      <c r="K20" s="3"/>
    </row>
    <row r="21" spans="1:13">
      <c r="A21" s="19"/>
      <c r="B21" s="19"/>
      <c r="C21" s="19"/>
      <c r="D21" s="19"/>
      <c r="E21" s="19"/>
      <c r="F21" s="19"/>
      <c r="G21" s="19"/>
      <c r="H21" s="19"/>
      <c r="I21" s="19"/>
      <c r="J21" s="19"/>
      <c r="K21" s="19"/>
      <c r="M21" s="562"/>
    </row>
    <row r="22" spans="1:13" ht="24" customHeight="1">
      <c r="B22" s="837" t="str">
        <f>+'Introducerea datelor'!B36&amp; " - in ("&amp;'Introducerea datelor'!D26&amp;")  "&amp;+I3&amp;" "&amp;+K3</f>
        <v>F2: Bugetul și cheltuielile actuale după Obiectivele Grantului - in (€)  Perioada de Raportare: P5</v>
      </c>
      <c r="C22" s="575"/>
      <c r="D22" s="575"/>
      <c r="E22" s="575"/>
      <c r="F22" s="575"/>
      <c r="G22" s="391"/>
      <c r="H22" s="837" t="str">
        <f>+'Introducerea datelor'!B58&amp;"      "&amp;+I3&amp;" "&amp;+K3</f>
        <v>F4: Ultima perioadă de raportare și debursare a RP       Perioada de Raportare: P5</v>
      </c>
      <c r="I22" s="820"/>
      <c r="J22" s="820"/>
      <c r="K22" s="820"/>
    </row>
    <row r="23" spans="1:13" ht="171" customHeight="1">
      <c r="B23" s="294" t="s">
        <v>389</v>
      </c>
      <c r="C23" s="1031" t="s">
        <v>484</v>
      </c>
      <c r="D23" s="1032"/>
      <c r="E23" s="1032"/>
      <c r="F23" s="1033"/>
      <c r="G23" s="535"/>
      <c r="H23" s="294" t="s">
        <v>389</v>
      </c>
      <c r="I23" s="1024" t="s">
        <v>483</v>
      </c>
      <c r="J23" s="1025"/>
      <c r="K23" s="1026"/>
    </row>
    <row r="24" spans="1:13" ht="15.75" thickBot="1">
      <c r="B24" s="180"/>
      <c r="C24" s="180"/>
      <c r="D24" s="180"/>
      <c r="E24" s="180"/>
      <c r="F24" s="180"/>
      <c r="G24" s="180"/>
      <c r="H24" s="181"/>
      <c r="I24" s="181"/>
      <c r="J24" s="180"/>
      <c r="K24" s="180"/>
    </row>
    <row r="25" spans="1:13" ht="29.25" customHeight="1" thickBot="1">
      <c r="B25" s="3"/>
      <c r="C25" s="3"/>
      <c r="D25" s="3"/>
      <c r="E25" s="3"/>
      <c r="F25" s="3"/>
      <c r="G25" s="273"/>
      <c r="H25" s="842" t="s">
        <v>436</v>
      </c>
      <c r="I25" s="843"/>
      <c r="J25" s="843"/>
      <c r="K25" s="844"/>
    </row>
    <row r="26" spans="1:13" ht="24.75">
      <c r="B26" s="3"/>
      <c r="C26" s="3"/>
      <c r="D26" s="3"/>
      <c r="E26" s="3"/>
      <c r="F26" s="3"/>
      <c r="G26" s="242"/>
      <c r="H26" s="833"/>
      <c r="I26" s="834"/>
      <c r="J26" s="256" t="s">
        <v>325</v>
      </c>
      <c r="K26" s="257" t="s">
        <v>326</v>
      </c>
    </row>
    <row r="27" spans="1:13" ht="23.25" customHeight="1">
      <c r="B27" s="3"/>
      <c r="C27" s="3"/>
      <c r="D27" s="3"/>
      <c r="E27" s="3"/>
      <c r="F27" s="3"/>
      <c r="G27" s="274"/>
      <c r="H27" s="839" t="str">
        <f>'Introducerea datelor'!B62</f>
        <v>Zile necesare pentru remiterea PU/DR final către ALF</v>
      </c>
      <c r="I27" s="840"/>
      <c r="J27" s="408">
        <f>+'Introducerea datelor'!C62</f>
        <v>45</v>
      </c>
      <c r="K27" s="441">
        <f>+'Introducerea datelor'!D62</f>
        <v>45</v>
      </c>
    </row>
    <row r="28" spans="1:13" ht="25.5" customHeight="1">
      <c r="B28" s="3"/>
      <c r="C28" s="3"/>
      <c r="D28" s="3"/>
      <c r="E28" s="3"/>
      <c r="F28" s="3"/>
      <c r="G28" s="274"/>
      <c r="H28" s="839" t="str">
        <f>'Introducerea datelor'!B63</f>
        <v>Zile necesare pentru debursare către RP</v>
      </c>
      <c r="I28" s="840"/>
      <c r="J28" s="408">
        <f>+'Introducerea datelor'!C63</f>
        <v>0</v>
      </c>
      <c r="K28" s="441">
        <f>+'Introducerea datelor'!D63</f>
        <v>0</v>
      </c>
    </row>
    <row r="29" spans="1:13" ht="24.75" customHeight="1" thickBot="1">
      <c r="B29" s="3"/>
      <c r="C29" s="3"/>
      <c r="D29" s="3"/>
      <c r="E29" s="3"/>
      <c r="F29" s="3"/>
      <c r="G29" s="274"/>
      <c r="H29" s="835" t="str">
        <f>'Introducerea datelor'!B64</f>
        <v>Zile necesare pentru debursare către SR</v>
      </c>
      <c r="I29" s="836"/>
      <c r="J29" s="409">
        <f>+'Introducerea datelor'!C64</f>
        <v>0</v>
      </c>
      <c r="K29" s="442">
        <f>+'Introducerea datelor'!D64</f>
        <v>0</v>
      </c>
    </row>
    <row r="30" spans="1:13">
      <c r="B30" s="3"/>
      <c r="C30" s="3"/>
      <c r="D30" s="3"/>
      <c r="E30" s="3"/>
      <c r="F30" s="3"/>
      <c r="G30" s="3"/>
      <c r="H30" s="3"/>
      <c r="I30" s="3"/>
      <c r="J30" s="3"/>
      <c r="K30" s="3"/>
    </row>
    <row r="31" spans="1:13">
      <c r="B31" s="3"/>
      <c r="C31" s="15"/>
      <c r="D31" s="201"/>
      <c r="E31" s="3"/>
      <c r="F31" s="3"/>
      <c r="G31" s="3"/>
      <c r="H31" s="3"/>
      <c r="I31" s="3"/>
      <c r="J31" s="3"/>
      <c r="K31" s="3"/>
    </row>
    <row r="32" spans="1:13">
      <c r="B32" s="3"/>
      <c r="C32" s="15"/>
      <c r="D32" s="201"/>
      <c r="E32" s="3"/>
      <c r="F32" s="3"/>
      <c r="G32" s="3"/>
      <c r="H32" s="3"/>
      <c r="I32" s="3"/>
      <c r="J32" s="3"/>
      <c r="K32" s="3"/>
    </row>
    <row r="34" spans="5:5">
      <c r="E34" s="19"/>
    </row>
  </sheetData>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17" priority="4" stopIfTrue="1" operator="greaterThan">
      <formula>J27</formula>
    </cfRule>
    <cfRule type="cellIs" dxfId="16" priority="5" stopIfTrue="1" operator="between">
      <formula>J27</formula>
      <formula>1</formula>
    </cfRule>
    <cfRule type="cellIs" dxfId="15" priority="6" stopIfTrue="1" operator="equal">
      <formula>0</formula>
    </cfRule>
  </conditionalFormatting>
  <conditionalFormatting sqref="C4:D4">
    <cfRule type="cellIs" dxfId="14" priority="1" stopIfTrue="1" operator="equal">
      <formula>"C"</formula>
    </cfRule>
    <cfRule type="cellIs" dxfId="13" priority="2" stopIfTrue="1" operator="equal">
      <formula>"B2"</formula>
    </cfRule>
    <cfRule type="cellIs" dxfId="12" priority="3" stopIfTrue="1" operator="equal">
      <formula>"B1"</formula>
    </cfRule>
  </conditionalFormatting>
  <pageMargins left="0.70866141732283472" right="0.70866141732283472" top="0.74803149606299213" bottom="0.74803149606299213" header="0.31496062992125984" footer="0.31496062992125984"/>
  <pageSetup paperSize="8" scale="105"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view="pageBreakPreview" topLeftCell="A24" zoomScaleNormal="100" zoomScaleSheetLayoutView="100" workbookViewId="0">
      <selection activeCell="L20" sqref="L20:Q28"/>
    </sheetView>
  </sheetViews>
  <sheetFormatPr defaultColWidth="11" defaultRowHeight="15"/>
  <cols>
    <col min="1" max="1" width="9.42578125" style="404" customWidth="1"/>
    <col min="2" max="2" width="11.28515625" customWidth="1"/>
    <col min="3" max="3" width="14.140625" customWidth="1"/>
    <col min="4" max="4" width="14.85546875" customWidth="1"/>
    <col min="5" max="5" width="6.7109375" style="405" customWidth="1"/>
    <col min="6" max="6" width="11.5703125" style="405" customWidth="1"/>
    <col min="7" max="7" width="5.7109375" customWidth="1"/>
    <col min="8" max="8" width="6.28515625" customWidth="1"/>
    <col min="9" max="9" width="7.5703125" customWidth="1"/>
    <col min="10" max="10" width="6.8554687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403"/>
      <c r="B1" s="3"/>
      <c r="C1" s="3"/>
      <c r="D1" s="3"/>
      <c r="E1" s="406"/>
      <c r="F1" s="406"/>
      <c r="G1" s="3"/>
      <c r="H1" s="3"/>
      <c r="I1" s="3"/>
      <c r="J1" s="3"/>
      <c r="K1" s="3"/>
      <c r="L1" s="3"/>
      <c r="M1" s="3"/>
      <c r="N1" s="3"/>
      <c r="O1" s="3"/>
      <c r="P1" s="3"/>
    </row>
    <row r="2" spans="1:35" ht="21.75" customHeight="1">
      <c r="A2" s="403"/>
      <c r="B2" s="884" t="str">
        <f>+"Tabel Programatic de Evaluare:  "&amp;"  "&amp;IF(+'Introducerea datelor'!C4="Please Select","",'Introducerea datelor'!C4&amp;" - ")&amp;IF('Introducerea datelor'!G6="Please Select","",'Introducerea datelor'!G6)</f>
        <v>Tabel Programatic de Evaluare:    Moldova - TB</v>
      </c>
      <c r="C2" s="884"/>
      <c r="D2" s="884"/>
      <c r="E2" s="884"/>
      <c r="F2" s="884"/>
      <c r="G2" s="884"/>
      <c r="H2" s="884"/>
      <c r="I2" s="884"/>
      <c r="J2" s="884"/>
      <c r="K2" s="884"/>
      <c r="L2" s="884"/>
      <c r="M2" s="884"/>
      <c r="N2" s="884"/>
      <c r="O2" s="884"/>
      <c r="P2" s="884"/>
      <c r="Q2" s="884"/>
    </row>
    <row r="3" spans="1:35" ht="18.75" customHeight="1">
      <c r="A3" s="403"/>
      <c r="B3" s="128" t="str">
        <f>+IF('Introducerea datelor'!G8="Please Select","",'Introducerea datelor'!G8)</f>
        <v/>
      </c>
      <c r="C3" s="850" t="str">
        <f>+IF('Introducerea datelor'!I8="Please Select","",'Introducerea datelor'!I8)</f>
        <v>Phase 2</v>
      </c>
      <c r="D3" s="850"/>
      <c r="E3" s="849"/>
      <c r="F3" s="849"/>
      <c r="G3" s="849"/>
      <c r="H3" s="849"/>
      <c r="I3" s="887"/>
      <c r="J3" s="887"/>
      <c r="K3" s="887"/>
      <c r="L3" s="3"/>
      <c r="M3" s="3"/>
      <c r="N3" s="852" t="str">
        <f>+'Introducerea datelor'!B16</f>
        <v>Perioada de Raportare:</v>
      </c>
      <c r="O3" s="820"/>
      <c r="P3" s="820"/>
      <c r="Q3" s="167" t="str">
        <f>+'Introducerea datelor'!C16</f>
        <v>P5</v>
      </c>
    </row>
    <row r="4" spans="1:35" ht="12" customHeight="1">
      <c r="A4" s="403"/>
      <c r="B4" s="128" t="str">
        <f>+'Introducerea datelor'!B12</f>
        <v>Ultimul Rating:</v>
      </c>
      <c r="C4" s="888" t="str">
        <f>+IF('Introducerea datelor'!C12="Please Select","",'Introducerea datelor'!C12)</f>
        <v>A1</v>
      </c>
      <c r="D4" s="888"/>
      <c r="E4" s="849" t="str">
        <f>+'Introducerea datelor'!C8</f>
        <v>IP UCIMP DS</v>
      </c>
      <c r="F4" s="849"/>
      <c r="G4" s="849"/>
      <c r="H4" s="849"/>
      <c r="I4" s="849"/>
      <c r="J4" s="849"/>
      <c r="K4" s="849"/>
      <c r="L4" s="849"/>
      <c r="M4" s="3"/>
      <c r="O4" s="281"/>
      <c r="P4" s="128" t="str">
        <f>+'Introducerea datelor'!D16</f>
        <v>De la:</v>
      </c>
      <c r="Q4" s="446">
        <f>+IF(ISBLANK('Introducerea datelor'!E16),"",'Introducerea datelor'!E16)</f>
        <v>42005</v>
      </c>
      <c r="Y4" s="70"/>
      <c r="Z4" s="70"/>
      <c r="AA4" s="70"/>
      <c r="AB4" s="70"/>
      <c r="AC4" s="70"/>
    </row>
    <row r="5" spans="1:35" ht="15.75" customHeight="1">
      <c r="A5" s="403"/>
      <c r="B5" s="128"/>
      <c r="C5" s="128"/>
      <c r="D5" s="849" t="str">
        <f>+'Introducerea datelor'!G4</f>
        <v>Consolidarea controlului Tuberculozei în Republica Moldova</v>
      </c>
      <c r="E5" s="849"/>
      <c r="F5" s="849"/>
      <c r="G5" s="849"/>
      <c r="H5" s="849"/>
      <c r="I5" s="849"/>
      <c r="J5" s="849"/>
      <c r="K5" s="849"/>
      <c r="L5" s="849"/>
      <c r="M5" s="849"/>
      <c r="N5" s="849"/>
      <c r="P5" s="128" t="str">
        <f>+'Introducerea datelor'!F16</f>
        <v>Pînă la:</v>
      </c>
      <c r="Q5" s="446">
        <f>+IF(ISBLANK('Introducerea datelor'!G16),"",'Introducerea datelor'!G16)</f>
        <v>42185</v>
      </c>
      <c r="S5" s="192"/>
      <c r="T5" s="192"/>
      <c r="U5" s="192"/>
      <c r="V5" s="192"/>
      <c r="W5" s="192"/>
      <c r="X5" s="192"/>
      <c r="Y5" s="70"/>
      <c r="Z5" s="70"/>
      <c r="AA5" s="70" t="s">
        <v>23</v>
      </c>
      <c r="AB5" s="70"/>
      <c r="AC5" s="70" t="s">
        <v>214</v>
      </c>
      <c r="AD5" s="192"/>
      <c r="AE5" s="192"/>
      <c r="AF5" s="192"/>
      <c r="AG5" s="192"/>
      <c r="AH5" s="192"/>
      <c r="AI5" s="192"/>
    </row>
    <row r="6" spans="1:35" ht="15.75" customHeight="1">
      <c r="A6" s="403"/>
      <c r="B6" s="128"/>
      <c r="C6" s="128"/>
      <c r="D6" s="190"/>
      <c r="E6" s="190"/>
      <c r="F6" s="886" t="s">
        <v>402</v>
      </c>
      <c r="G6" s="886"/>
      <c r="H6" s="886"/>
      <c r="I6" s="886"/>
      <c r="J6" s="886"/>
      <c r="K6" s="886"/>
      <c r="L6" s="190"/>
      <c r="M6" s="3"/>
      <c r="N6" s="3"/>
      <c r="O6" s="169"/>
      <c r="P6" s="218"/>
      <c r="S6" s="192"/>
      <c r="T6" s="192"/>
      <c r="U6" s="192"/>
      <c r="V6" s="192"/>
      <c r="W6" s="192"/>
      <c r="X6" s="192"/>
      <c r="Y6" s="70"/>
      <c r="Z6" s="70"/>
      <c r="AA6" s="70"/>
      <c r="AB6" s="70"/>
      <c r="AC6" s="70"/>
      <c r="AD6" s="192"/>
      <c r="AE6" s="192"/>
      <c r="AF6" s="192"/>
      <c r="AG6" s="192"/>
      <c r="AH6" s="192"/>
      <c r="AI6" s="192"/>
    </row>
    <row r="7" spans="1:35" ht="3" customHeight="1">
      <c r="A7" s="403"/>
      <c r="B7" s="128"/>
      <c r="C7" s="128"/>
      <c r="D7" s="190"/>
      <c r="E7" s="190"/>
      <c r="F7" s="190"/>
      <c r="G7" s="190"/>
      <c r="H7" s="190"/>
      <c r="I7" s="190"/>
      <c r="J7" s="190"/>
      <c r="K7" s="190"/>
      <c r="L7" s="190"/>
      <c r="M7" s="3"/>
      <c r="N7" s="3"/>
      <c r="O7" s="169"/>
      <c r="P7" s="168"/>
      <c r="Q7" s="168"/>
      <c r="S7" s="192"/>
      <c r="T7" s="192"/>
      <c r="U7" s="192"/>
      <c r="V7" s="192"/>
      <c r="W7" s="192"/>
      <c r="X7" s="192"/>
      <c r="Y7" s="70"/>
      <c r="Z7" s="70"/>
      <c r="AA7" s="70"/>
      <c r="AB7" s="70"/>
      <c r="AC7" s="70"/>
      <c r="AD7" s="192"/>
      <c r="AE7" s="192"/>
      <c r="AF7" s="192"/>
      <c r="AG7" s="192"/>
      <c r="AH7" s="192"/>
      <c r="AI7" s="192"/>
    </row>
    <row r="8" spans="1:35" ht="42.75" customHeight="1">
      <c r="A8" s="403"/>
      <c r="B8" s="851" t="str">
        <f>+'Introducerea datelor'!B118</f>
        <v>Rata mortalităţii  - Numărul de decese cauzate de TB (toate formele) pe an, la 100,000 persoane</v>
      </c>
      <c r="C8" s="851"/>
      <c r="D8" s="851"/>
      <c r="E8" s="851"/>
      <c r="F8" s="851" t="str">
        <f>+'Introducerea datelor'!B120</f>
        <v xml:space="preserve">Numărul și procentul pacienţilor cu tuberculoză multirezistentă (confirmată în baza testului de laborator) tratați cu succes (care au urmat și terminat tratamentul), incluşi în tratamentul DOTS-Plus     </v>
      </c>
      <c r="G8" s="851"/>
      <c r="H8" s="851"/>
      <c r="I8" s="851"/>
      <c r="J8" s="851"/>
      <c r="K8" s="851"/>
      <c r="L8" s="885" t="str">
        <f>+'Introducerea datelor'!B122</f>
        <v>Prevalența TB MDR printre cazurile noi TB, %</v>
      </c>
      <c r="M8" s="885"/>
      <c r="N8" s="885"/>
      <c r="O8" s="885"/>
      <c r="P8" s="885"/>
      <c r="Q8" s="885"/>
      <c r="S8" s="192"/>
      <c r="T8" s="192"/>
      <c r="U8" s="192"/>
      <c r="V8" s="192"/>
      <c r="W8" s="192"/>
      <c r="X8" s="192"/>
      <c r="Y8" s="70"/>
      <c r="Z8" s="70"/>
      <c r="AA8" s="70"/>
      <c r="AB8" s="70"/>
      <c r="AC8" s="70"/>
      <c r="AD8" s="192"/>
      <c r="AE8" s="192"/>
      <c r="AF8" s="192"/>
      <c r="AG8" s="192"/>
      <c r="AH8" s="192"/>
      <c r="AI8" s="192"/>
    </row>
    <row r="9" spans="1:35" ht="142.5" customHeight="1">
      <c r="A9" s="403"/>
      <c r="B9" s="381" t="s">
        <v>397</v>
      </c>
      <c r="C9" s="1012" t="s">
        <v>485</v>
      </c>
      <c r="D9" s="1013"/>
      <c r="E9" s="1014"/>
      <c r="F9" s="1015" t="s">
        <v>398</v>
      </c>
      <c r="G9" s="1012" t="s">
        <v>486</v>
      </c>
      <c r="H9" s="1013"/>
      <c r="I9" s="1013"/>
      <c r="J9" s="1013"/>
      <c r="K9" s="1014"/>
      <c r="L9" s="1016" t="s">
        <v>399</v>
      </c>
      <c r="M9" s="1012" t="s">
        <v>487</v>
      </c>
      <c r="N9" s="1017"/>
      <c r="O9" s="1017"/>
      <c r="P9" s="1017"/>
      <c r="Q9" s="1018"/>
      <c r="S9" s="499"/>
      <c r="T9" s="192"/>
      <c r="U9" s="192"/>
      <c r="V9" s="192"/>
      <c r="W9" s="192"/>
      <c r="X9" s="192"/>
      <c r="Y9" s="192"/>
      <c r="Z9" s="192"/>
      <c r="AA9" s="192"/>
      <c r="AB9" s="192"/>
      <c r="AC9" s="192"/>
      <c r="AD9" s="192"/>
      <c r="AE9" s="192"/>
      <c r="AF9" s="192"/>
      <c r="AG9" s="192"/>
      <c r="AH9" s="192"/>
      <c r="AI9" s="192"/>
    </row>
    <row r="10" spans="1:35" ht="18.75" customHeight="1">
      <c r="A10" s="403"/>
      <c r="B10" s="128"/>
      <c r="C10" s="128"/>
      <c r="D10" s="190"/>
      <c r="E10" s="190"/>
      <c r="F10" s="190"/>
      <c r="G10" s="190"/>
      <c r="H10" s="190"/>
      <c r="I10" s="190"/>
      <c r="J10" s="190"/>
      <c r="K10" s="190"/>
      <c r="L10" s="190"/>
      <c r="M10" s="3"/>
      <c r="N10" s="3"/>
      <c r="O10" s="169"/>
      <c r="P10" s="168"/>
      <c r="S10" s="192"/>
      <c r="T10" s="192"/>
      <c r="U10" s="192"/>
      <c r="V10" s="192"/>
      <c r="W10" s="192"/>
      <c r="X10" s="192"/>
      <c r="Y10" s="192"/>
      <c r="Z10" s="192"/>
      <c r="AA10" s="192"/>
      <c r="AB10" s="192"/>
      <c r="AC10" s="192"/>
      <c r="AD10" s="192"/>
      <c r="AE10" s="192"/>
      <c r="AF10" s="192"/>
      <c r="AG10" s="192"/>
      <c r="AH10" s="192"/>
      <c r="AI10" s="192"/>
    </row>
    <row r="11" spans="1:35" ht="18.75" customHeight="1">
      <c r="A11" s="403"/>
      <c r="B11" s="128"/>
      <c r="C11" s="128"/>
      <c r="D11" s="190"/>
      <c r="E11" s="190"/>
      <c r="F11" s="190"/>
      <c r="G11" s="190"/>
      <c r="H11" s="190"/>
      <c r="I11" s="190"/>
      <c r="J11" s="190"/>
      <c r="K11" s="190"/>
      <c r="L11" s="190"/>
      <c r="M11" s="3"/>
      <c r="N11" s="3"/>
      <c r="O11" s="169"/>
      <c r="P11" s="168"/>
      <c r="S11" s="192"/>
      <c r="T11" s="192"/>
      <c r="U11" s="192"/>
      <c r="V11" s="192"/>
      <c r="W11" s="192"/>
      <c r="X11" s="192"/>
      <c r="Y11" s="192"/>
      <c r="Z11" s="192"/>
      <c r="AA11" s="192"/>
      <c r="AB11" s="192"/>
      <c r="AC11" s="192"/>
      <c r="AD11" s="192"/>
      <c r="AE11" s="192"/>
      <c r="AF11" s="192"/>
      <c r="AG11" s="192"/>
      <c r="AH11" s="192"/>
      <c r="AI11" s="192"/>
    </row>
    <row r="12" spans="1:35" ht="18.75" customHeight="1">
      <c r="A12" s="403"/>
      <c r="B12" s="128"/>
      <c r="C12" s="128"/>
      <c r="D12" s="190"/>
      <c r="E12" s="190"/>
      <c r="F12" s="190"/>
      <c r="G12" s="190"/>
      <c r="H12" s="190"/>
      <c r="I12" s="190"/>
      <c r="J12" s="190"/>
      <c r="K12" s="190"/>
      <c r="L12" s="190"/>
      <c r="M12" s="3"/>
      <c r="N12" s="3"/>
      <c r="O12" s="169"/>
      <c r="P12" s="168"/>
      <c r="S12" s="192"/>
      <c r="T12" s="192"/>
      <c r="U12" s="192"/>
      <c r="V12" s="192"/>
      <c r="W12" s="192"/>
      <c r="X12" s="192"/>
      <c r="Y12" s="192"/>
      <c r="Z12" s="192"/>
      <c r="AA12" s="192"/>
      <c r="AB12" s="192"/>
      <c r="AC12" s="192"/>
      <c r="AD12" s="192"/>
      <c r="AE12" s="192"/>
      <c r="AF12" s="192"/>
      <c r="AG12" s="192"/>
      <c r="AH12" s="192"/>
      <c r="AI12" s="192"/>
    </row>
    <row r="13" spans="1:35" ht="18.75" customHeight="1">
      <c r="A13" s="403"/>
      <c r="B13" s="128"/>
      <c r="C13" s="128"/>
      <c r="D13" s="190"/>
      <c r="E13" s="190"/>
      <c r="F13" s="190"/>
      <c r="G13" s="190"/>
      <c r="H13" s="190"/>
      <c r="I13" s="190"/>
      <c r="J13" s="190"/>
      <c r="K13" s="190"/>
      <c r="L13" s="190"/>
      <c r="M13" s="3"/>
      <c r="N13" s="3"/>
      <c r="O13" s="169"/>
      <c r="P13" s="168"/>
      <c r="S13" s="192"/>
      <c r="T13" s="192"/>
      <c r="U13" s="192"/>
      <c r="V13" s="192"/>
      <c r="W13" s="192"/>
      <c r="X13" s="192"/>
      <c r="Y13" s="192"/>
      <c r="Z13" s="192"/>
      <c r="AA13" s="192"/>
      <c r="AB13" s="192"/>
      <c r="AC13" s="192"/>
      <c r="AD13" s="192"/>
      <c r="AE13" s="192"/>
      <c r="AF13" s="192"/>
      <c r="AG13" s="192"/>
      <c r="AH13" s="192"/>
      <c r="AI13" s="192"/>
    </row>
    <row r="14" spans="1:35" ht="18.75" customHeight="1">
      <c r="A14" s="403"/>
      <c r="B14" s="128"/>
      <c r="C14" s="128"/>
      <c r="D14" s="190"/>
      <c r="E14" s="190"/>
      <c r="F14" s="190"/>
      <c r="G14" s="190"/>
      <c r="H14" s="190"/>
      <c r="I14" s="190"/>
      <c r="J14" s="190"/>
      <c r="K14" s="190"/>
      <c r="L14" s="190"/>
      <c r="M14" s="3"/>
      <c r="N14" s="3"/>
      <c r="O14" s="169"/>
      <c r="P14" s="168"/>
      <c r="S14" s="192"/>
      <c r="T14" s="192"/>
      <c r="U14" s="192"/>
      <c r="V14" s="192"/>
      <c r="W14" s="192"/>
      <c r="X14" s="192"/>
      <c r="Y14" s="192"/>
      <c r="Z14" s="192"/>
      <c r="AA14" s="192"/>
      <c r="AB14" s="192"/>
      <c r="AC14" s="192"/>
      <c r="AD14" s="192"/>
      <c r="AE14" s="192"/>
      <c r="AF14" s="192"/>
      <c r="AG14" s="192"/>
      <c r="AH14" s="192"/>
      <c r="AI14" s="192"/>
    </row>
    <row r="15" spans="1:35" ht="18.75" customHeight="1">
      <c r="A15" s="403"/>
      <c r="B15" s="128"/>
      <c r="C15" s="128"/>
      <c r="D15" s="190"/>
      <c r="E15" s="190"/>
      <c r="F15" s="190"/>
      <c r="G15" s="190"/>
      <c r="H15" s="190"/>
      <c r="I15" s="190"/>
      <c r="J15" s="190"/>
      <c r="K15" s="190"/>
      <c r="L15" s="190"/>
      <c r="M15" s="3"/>
      <c r="N15" s="3"/>
      <c r="O15" s="169"/>
      <c r="P15" s="168"/>
      <c r="S15" s="192"/>
      <c r="T15" s="192"/>
      <c r="U15" s="192"/>
      <c r="V15" s="192"/>
      <c r="W15" s="192"/>
      <c r="X15" s="192"/>
      <c r="Y15" s="192"/>
      <c r="Z15" s="192"/>
      <c r="AA15" s="192"/>
      <c r="AB15" s="192"/>
      <c r="AC15" s="192"/>
      <c r="AD15" s="192"/>
      <c r="AE15" s="192"/>
      <c r="AF15" s="192"/>
      <c r="AG15" s="192"/>
      <c r="AH15" s="192"/>
      <c r="AI15" s="192"/>
    </row>
    <row r="16" spans="1:35" ht="18.75" customHeight="1">
      <c r="A16" s="403"/>
      <c r="B16" s="128"/>
      <c r="C16" s="128"/>
      <c r="D16" s="190"/>
      <c r="E16" s="190"/>
      <c r="F16" s="190"/>
      <c r="G16" s="190"/>
      <c r="H16" s="190"/>
      <c r="I16" s="190"/>
      <c r="J16" s="190"/>
      <c r="K16" s="190"/>
      <c r="L16" s="190"/>
      <c r="M16" s="3"/>
      <c r="N16" s="3"/>
      <c r="O16" s="169"/>
      <c r="P16" s="168"/>
      <c r="S16" s="192"/>
      <c r="T16" s="192"/>
      <c r="U16" s="192"/>
      <c r="V16" s="192"/>
      <c r="W16" s="192"/>
      <c r="X16" s="192"/>
      <c r="Y16" s="192"/>
      <c r="Z16" s="192"/>
      <c r="AA16" s="192"/>
      <c r="AB16" s="192"/>
      <c r="AC16" s="192"/>
      <c r="AD16" s="192"/>
      <c r="AE16" s="192"/>
      <c r="AF16" s="192"/>
      <c r="AG16" s="192"/>
      <c r="AH16" s="192"/>
      <c r="AI16" s="192"/>
    </row>
    <row r="17" spans="1:35" ht="17.25" customHeight="1">
      <c r="A17" s="403"/>
      <c r="B17" s="128"/>
      <c r="C17" s="128"/>
      <c r="D17" s="190"/>
      <c r="E17" s="190"/>
      <c r="F17" s="190"/>
      <c r="G17" s="190"/>
      <c r="H17" s="190"/>
      <c r="I17" s="190"/>
      <c r="J17" s="190"/>
      <c r="K17" s="190"/>
      <c r="L17" s="190"/>
      <c r="M17" s="3"/>
      <c r="N17" s="3"/>
      <c r="O17" s="169"/>
      <c r="P17" s="168"/>
      <c r="S17" s="192"/>
      <c r="T17" s="192"/>
      <c r="U17" s="192"/>
      <c r="V17" s="192"/>
      <c r="W17" s="192"/>
      <c r="X17" s="192"/>
      <c r="Y17" s="192"/>
      <c r="Z17" s="192"/>
      <c r="AA17" s="192"/>
      <c r="AB17" s="192"/>
      <c r="AC17" s="192"/>
      <c r="AD17" s="192"/>
      <c r="AE17" s="192"/>
      <c r="AF17" s="192"/>
      <c r="AG17" s="192"/>
      <c r="AH17" s="192"/>
      <c r="AI17" s="192"/>
    </row>
    <row r="18" spans="1:35" ht="6" customHeight="1">
      <c r="A18" s="403"/>
      <c r="B18" s="132"/>
      <c r="C18" s="128"/>
      <c r="D18" s="129"/>
      <c r="E18" s="869"/>
      <c r="F18" s="869"/>
      <c r="G18" s="869"/>
      <c r="H18" s="869"/>
      <c r="I18" s="869"/>
      <c r="J18" s="869"/>
      <c r="K18" s="869"/>
      <c r="L18" s="3"/>
      <c r="M18" s="3"/>
      <c r="N18" s="3"/>
      <c r="O18" s="3"/>
      <c r="P18" s="3"/>
      <c r="S18" s="192"/>
      <c r="T18" s="192"/>
      <c r="U18" s="192"/>
      <c r="V18" s="192"/>
      <c r="W18" s="192"/>
      <c r="X18" s="192"/>
      <c r="Y18" s="192"/>
      <c r="Z18" s="192"/>
      <c r="AA18" s="192"/>
      <c r="AB18" s="192"/>
      <c r="AC18" s="192"/>
      <c r="AD18" s="192"/>
      <c r="AE18" s="192"/>
      <c r="AF18" s="192"/>
      <c r="AG18" s="192"/>
      <c r="AH18" s="192"/>
      <c r="AI18" s="192"/>
    </row>
    <row r="19" spans="1:35" ht="24" customHeight="1">
      <c r="A19" s="403"/>
      <c r="B19" s="870" t="s">
        <v>400</v>
      </c>
      <c r="C19" s="870"/>
      <c r="D19" s="870"/>
      <c r="E19" s="138" t="s">
        <v>374</v>
      </c>
      <c r="F19" s="138" t="s">
        <v>375</v>
      </c>
      <c r="G19" s="880" t="s">
        <v>249</v>
      </c>
      <c r="H19" s="881"/>
      <c r="I19" s="882" t="s">
        <v>250</v>
      </c>
      <c r="J19" s="883"/>
      <c r="K19" s="280" t="s">
        <v>251</v>
      </c>
      <c r="L19" s="877" t="s">
        <v>401</v>
      </c>
      <c r="M19" s="878"/>
      <c r="N19" s="878"/>
      <c r="O19" s="878"/>
      <c r="P19" s="878"/>
      <c r="Q19" s="879"/>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104.25" customHeight="1">
      <c r="A20" s="443" t="s">
        <v>433</v>
      </c>
      <c r="B20" s="862" t="str">
        <f>+'Introducerea datelor'!B118</f>
        <v>Rata mortalităţii  - Numărul de decese cauzate de TB (toate formele) pe an, la 100,000 persoane</v>
      </c>
      <c r="C20" s="862"/>
      <c r="D20" s="862"/>
      <c r="E20" s="455">
        <f ca="1">OFFSET('Introducerea datelor'!$G$117,1,RIGHT('Introducerea datelor'!$C$16,LEN('Introducerea datelor'!$C$16)-1),1,1)</f>
        <v>9.5</v>
      </c>
      <c r="F20" s="455">
        <f ca="1">OFFSET('Introducerea datelor'!$G$117,2,RIGHT('Introducerea datelor'!$C$16,LEN('Introducerea datelor'!$C$16)-1),1,1)</f>
        <v>12.5</v>
      </c>
      <c r="G20" s="859">
        <f ca="1">+IF(ISERROR(E20/F20),0,E20/F20)</f>
        <v>0.76</v>
      </c>
      <c r="H20" s="860"/>
      <c r="I20" s="860"/>
      <c r="J20" s="860"/>
      <c r="K20" s="861"/>
      <c r="L20" s="1019" t="str">
        <f>C9</f>
        <v xml:space="preserve">Date finale pentru anul 2014: 508 persoane au decedat în anul 2014 (12.5 decese cauzate de TB (toate formele) la 100,000 persoane).                                                                                                                                         
Notă: Rezultatul actual este mai mare decît ţinta prestabilită în acordul de Grant pentru perioada raportată (9,5 la 100 mii), fiind constatată o creștere cu 11,4% în comparație cu anul 2013 (11,22 la 100 K/ abs. 456). Totuși, rata mortalității cauzate de TB în 2014 ne indică o tendință de descreștere - cu 13,6%,  în comparație cu anul 2012 (14,4 la 100 K/ abs. 588), și cu 22,7%, în comparație cu anul 2011 (16,10 la 100 K/ abs. 657).       </v>
      </c>
      <c r="M20" s="1020"/>
      <c r="N20" s="1020"/>
      <c r="O20" s="1020"/>
      <c r="P20" s="1020"/>
      <c r="Q20" s="1021"/>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108.75" customHeight="1">
      <c r="A21" s="443" t="s">
        <v>462</v>
      </c>
      <c r="B21" s="862" t="str">
        <f>+'Introducerea datelor'!B120</f>
        <v xml:space="preserve">Numărul și procentul pacienţilor cu tuberculoză multirezistentă (confirmată în baza testului de laborator) tratați cu succes (care au urmat și terminat tratamentul), incluşi în tratamentul DOTS-Plus     </v>
      </c>
      <c r="C21" s="862"/>
      <c r="D21" s="862"/>
      <c r="E21" s="455">
        <f ca="1">OFFSET('Introducerea datelor'!$G$117,3,RIGHT('Introducerea datelor'!$C$16,LEN('Introducerea datelor'!$C$16)-1),1,1)</f>
        <v>70</v>
      </c>
      <c r="F21" s="455">
        <f ca="1">OFFSET('Introducerea datelor'!$G$117,4,RIGHT('Introducerea datelor'!$C$16,LEN('Introducerea datelor'!$C$16)-1),1,1)</f>
        <v>59</v>
      </c>
      <c r="G21" s="859">
        <f ca="1">+IF(ISERROR(F21/E21),0,F21/E21)</f>
        <v>0.84285714285714286</v>
      </c>
      <c r="H21" s="860"/>
      <c r="I21" s="860"/>
      <c r="J21" s="860"/>
      <c r="K21" s="861"/>
      <c r="L21" s="1019" t="str">
        <f>G9</f>
        <v xml:space="preserve">Date finale pentru cohorta MDR-TB 2012: 505 cazuri confirmate de TB MDR (vindecate și cu tratamente încheiate), din 856 incluse în tratment DOTS Plus în 2012, au fost tratate cu succes.                                                                                  
Notă: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v>
      </c>
      <c r="M21" s="1020"/>
      <c r="N21" s="1020"/>
      <c r="O21" s="1020"/>
      <c r="P21" s="1020"/>
      <c r="Q21" s="1021"/>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126.75" customHeight="1">
      <c r="A22" s="448" t="s">
        <v>460</v>
      </c>
      <c r="B22" s="862" t="str">
        <f>+'Introducerea datelor'!B122</f>
        <v>Prevalența TB MDR printre cazurile noi TB, %</v>
      </c>
      <c r="C22" s="862"/>
      <c r="D22" s="862"/>
      <c r="E22" s="455">
        <f ca="1">OFFSET('Introducerea datelor'!$G$117,5,RIGHT('Introducerea datelor'!$C$16,LEN('Introducerea datelor'!$C$16)-1),1,1)</f>
        <v>21</v>
      </c>
      <c r="F22" s="455">
        <f ca="1">OFFSET('Introducerea datelor'!$G$117,6,RIGHT('Introducerea datelor'!$C$16,LEN('Introducerea datelor'!$C$16)-1),1,1)</f>
        <v>27.65</v>
      </c>
      <c r="G22" s="859">
        <f ca="1">+IF(ISERROR(E22/F22),0,E22/F22)</f>
        <v>0.759493670886076</v>
      </c>
      <c r="H22" s="860"/>
      <c r="I22" s="860"/>
      <c r="J22" s="860"/>
      <c r="K22" s="861"/>
      <c r="L22" s="1019" t="str">
        <f>M9</f>
        <v xml:space="preserve">Date finale pentru anul 2014: 417 cazuri noi TB cu cultura pozitivă, testate la DST pentru preparatele de linia I, din 1,508 investigate în 2014, au fost diagnosticate cu MDR.                                                                                                                         
Notă 1: Nu se constată schimbări esențiale în evoluția prevalenței MDR-TB printre cazurile noi TB. Datele indicatorului continuă să fie înalte: 23,7% în 2012, 25,53% în 2013 și 27,7% în 2014.
Notă 2: Nivelul înalt al rezistenţei diagnosticate poate fi explicat prin răspîndirea rezistenţei la medicamentele antituberculoase în populaţie pe parcursul ultimilor 10 ani şi ameliorarea diagnosticării acesteia prin introducerea metodelor moderne rapide de diagnostic. </v>
      </c>
      <c r="M22" s="1020"/>
      <c r="N22" s="1020"/>
      <c r="O22" s="1020"/>
      <c r="P22" s="1020"/>
      <c r="Q22" s="1021"/>
      <c r="S22" s="68"/>
      <c r="T22" s="66" t="e">
        <f t="shared" ref="T22:W33" si="0">IF($K20&gt;T$19,IF($K20&lt;=T$20,$K20,NA()),NA())</f>
        <v>#N/A</v>
      </c>
      <c r="U22" s="66" t="e">
        <f t="shared" si="0"/>
        <v>#N/A</v>
      </c>
      <c r="V22" s="66" t="e">
        <f t="shared" si="0"/>
        <v>#N/A</v>
      </c>
      <c r="W22" s="66" t="e">
        <f t="shared" si="0"/>
        <v>#N/A</v>
      </c>
      <c r="X22" s="66" t="e">
        <f>IF($K20&gt;X$19,IF($K20&lt;=X$20,1,NA()),NA())</f>
        <v>#N/A</v>
      </c>
      <c r="Y22" s="70"/>
      <c r="Z22" s="165" t="e">
        <f>+'Detail despre Grant'!#REF!</f>
        <v>#REF!</v>
      </c>
      <c r="AA22" s="66" t="e">
        <f>+IF(Z22="A1",1,IF(Z22="A2",0.8,IF(Z22="B1",0.6,IF(Z22="B2",0.4,0.2))))</f>
        <v>#REF!</v>
      </c>
      <c r="AB22" s="66" t="e">
        <f>IF($AA22&gt;AB$19,IF($AA22&lt;=AB$20,$AA22,NA()),NA())</f>
        <v>#REF!</v>
      </c>
      <c r="AC22" s="66" t="e">
        <f t="shared" ref="AC22:AF24" si="1">IF($AA22&gt;AC$19,IF($AA22&lt;=AC$20,$AA22,NA()),NA())</f>
        <v>#REF!</v>
      </c>
      <c r="AD22" s="66" t="e">
        <f t="shared" si="1"/>
        <v>#REF!</v>
      </c>
      <c r="AE22" s="66" t="e">
        <f t="shared" si="1"/>
        <v>#REF!</v>
      </c>
      <c r="AF22" s="66" t="e">
        <f t="shared" si="1"/>
        <v>#REF!</v>
      </c>
      <c r="AG22" s="70"/>
      <c r="AH22" s="70"/>
      <c r="AI22" s="70"/>
    </row>
    <row r="23" spans="1:35" ht="122.25" customHeight="1">
      <c r="A23" s="448" t="s">
        <v>463</v>
      </c>
      <c r="B23" s="862" t="str">
        <f>+'Introducerea datelor'!B124</f>
        <v xml:space="preserve">Prevalența TB-MDR printre cazurile TB anterior tratate, % </v>
      </c>
      <c r="C23" s="862"/>
      <c r="D23" s="862"/>
      <c r="E23" s="455">
        <f ca="1">OFFSET('Introducerea datelor'!$G$117,7,RIGHT('Introducerea datelor'!$C$16,LEN('Introducerea datelor'!$C$16)-1),1,1)</f>
        <v>52</v>
      </c>
      <c r="F23" s="455">
        <f ca="1">OFFSET('Introducerea datelor'!$G$117,8,RIGHT('Introducerea datelor'!$C$16,LEN('Introducerea datelor'!$C$16)-1),1,1)</f>
        <v>65.3</v>
      </c>
      <c r="G23" s="859">
        <f ca="1">+IF(ISERROR(E23/F23),0,E23/F23)</f>
        <v>0.79632465543644715</v>
      </c>
      <c r="H23" s="860"/>
      <c r="I23" s="860"/>
      <c r="J23" s="860"/>
      <c r="K23" s="861"/>
      <c r="L23" s="1022" t="s">
        <v>488</v>
      </c>
      <c r="M23" s="1020"/>
      <c r="N23" s="1020"/>
      <c r="O23" s="1020"/>
      <c r="P23" s="1020"/>
      <c r="Q23" s="1021"/>
      <c r="S23" s="68"/>
      <c r="T23" s="66" t="e">
        <f t="shared" si="0"/>
        <v>#N/A</v>
      </c>
      <c r="U23" s="66" t="e">
        <f t="shared" si="0"/>
        <v>#N/A</v>
      </c>
      <c r="V23" s="66" t="e">
        <f t="shared" si="0"/>
        <v>#N/A</v>
      </c>
      <c r="W23" s="66" t="e">
        <f t="shared" si="0"/>
        <v>#N/A</v>
      </c>
      <c r="X23" s="66" t="e">
        <f>IF($K21&gt;X$19,IF($K21&lt;=X$20,1,1),NA())</f>
        <v>#N/A</v>
      </c>
      <c r="Y23" s="70"/>
      <c r="Z23" s="165" t="e">
        <f>+'Detail despre Grant'!#REF!</f>
        <v>#REF!</v>
      </c>
      <c r="AA23" s="66" t="e">
        <f>+IF(Z23="A1",1,IF(Z23="A2",0.8,IF(Z23="B1",0.6,IF(Z23="B2",0.4,0.2))))</f>
        <v>#REF!</v>
      </c>
      <c r="AB23" s="66" t="e">
        <f>IF($AA23&gt;AB$19,IF($AA23&lt;=AB$20,$AA23,NA()),NA())</f>
        <v>#REF!</v>
      </c>
      <c r="AC23" s="66" t="e">
        <f t="shared" si="1"/>
        <v>#REF!</v>
      </c>
      <c r="AD23" s="66" t="e">
        <f t="shared" si="1"/>
        <v>#REF!</v>
      </c>
      <c r="AE23" s="66" t="e">
        <f t="shared" si="1"/>
        <v>#REF!</v>
      </c>
      <c r="AF23" s="66" t="e">
        <f t="shared" si="1"/>
        <v>#REF!</v>
      </c>
      <c r="AG23" s="70"/>
      <c r="AH23" s="70"/>
      <c r="AI23" s="70"/>
    </row>
    <row r="24" spans="1:35" ht="229.5" customHeight="1">
      <c r="A24" s="444">
        <v>1.1000000000000001</v>
      </c>
      <c r="B24" s="862" t="str">
        <f>+'Introducerea datelor'!B126</f>
        <v xml:space="preserve">Numărul pacienţilor cu tuberculoză multirezistentă (confirmată în baza testului de laborator) care beneficiază de tratamentul DOTS Plus             </v>
      </c>
      <c r="C24" s="862"/>
      <c r="D24" s="862"/>
      <c r="E24" s="571">
        <f ca="1">OFFSET('Introducerea datelor'!$G$117,9,RIGHT('Introducerea datelor'!$C$16,LEN('Introducerea datelor'!$C$16)-1),1,1)</f>
        <v>396</v>
      </c>
      <c r="F24" s="425">
        <f ca="1">OFFSET('Introducerea datelor'!$G$117,10,RIGHT('Introducerea datelor'!$C$16,LEN('Introducerea datelor'!$C$16)-1),1,1)</f>
        <v>542</v>
      </c>
      <c r="G24" s="859">
        <f ca="1">+IF(ISERROR(F24/E24),0,F24/E24)</f>
        <v>1.3686868686868687</v>
      </c>
      <c r="H24" s="860"/>
      <c r="I24" s="860"/>
      <c r="J24" s="860"/>
      <c r="K24" s="861"/>
      <c r="L24" s="1022" t="s">
        <v>489</v>
      </c>
      <c r="M24" s="1020"/>
      <c r="N24" s="1020"/>
      <c r="O24" s="1020"/>
      <c r="P24" s="1020"/>
      <c r="Q24" s="1021"/>
      <c r="S24" s="68"/>
      <c r="T24" s="66" t="e">
        <f t="shared" si="0"/>
        <v>#N/A</v>
      </c>
      <c r="U24" s="66" t="e">
        <f t="shared" si="0"/>
        <v>#N/A</v>
      </c>
      <c r="V24" s="66" t="e">
        <f t="shared" si="0"/>
        <v>#N/A</v>
      </c>
      <c r="W24" s="66" t="e">
        <f t="shared" si="0"/>
        <v>#N/A</v>
      </c>
      <c r="X24" s="66" t="e">
        <f t="shared" ref="X24:X33" si="2">IF($K22&gt;X$19,IF($K22&lt;=X$20,1,NA()),NA())</f>
        <v>#N/A</v>
      </c>
      <c r="Y24" s="70"/>
      <c r="Z24" s="165" t="e">
        <f>+'Detail despre Grant'!#REF!</f>
        <v>#REF!</v>
      </c>
      <c r="AA24" s="66" t="e">
        <f>+IF(Z24="A1",1,IF(Z24="A2",0.8,IF(Z24="B1",0.6,IF(Z24="B2",0.4,0.2))))</f>
        <v>#REF!</v>
      </c>
      <c r="AB24" s="66" t="e">
        <f>IF($AA24&gt;AB$19,IF($AA24&lt;=AB$20,$AA24,NA()),NA())</f>
        <v>#REF!</v>
      </c>
      <c r="AC24" s="66" t="e">
        <f t="shared" si="1"/>
        <v>#REF!</v>
      </c>
      <c r="AD24" s="66" t="e">
        <f t="shared" si="1"/>
        <v>#REF!</v>
      </c>
      <c r="AE24" s="66" t="e">
        <f t="shared" si="1"/>
        <v>#REF!</v>
      </c>
      <c r="AF24" s="66" t="e">
        <f t="shared" si="1"/>
        <v>#REF!</v>
      </c>
      <c r="AG24" s="70"/>
      <c r="AH24" s="70"/>
      <c r="AI24" s="70"/>
    </row>
    <row r="25" spans="1:35" ht="47.25" hidden="1" customHeight="1">
      <c r="A25" s="444">
        <v>1.4</v>
      </c>
      <c r="B25" s="862" t="str">
        <f>+'Introducerea datelor'!B126</f>
        <v xml:space="preserve">Numărul pacienţilor cu tuberculoză multirezistentă (confirmată în baza testului de laborator) care beneficiază de tratamentul DOTS Plus             </v>
      </c>
      <c r="C25" s="862"/>
      <c r="D25" s="862"/>
      <c r="E25" s="455">
        <f ca="1">OFFSET('Introducerea datelor'!$G$117,11,RIGHT('Introducerea datelor'!$C$16,LEN('Introducerea datelor'!$C$16)-1),1,1)</f>
        <v>70</v>
      </c>
      <c r="F25" s="455">
        <f ca="1">OFFSET('Introducerea datelor'!$G$117,12,RIGHT('Introducerea datelor'!$C$16,LEN('Introducerea datelor'!$C$16)-1),1,1)</f>
        <v>65.03</v>
      </c>
      <c r="G25" s="859">
        <f ca="1">+IF(ISERROR(F25/E25),0,F25/E25)</f>
        <v>0.92900000000000005</v>
      </c>
      <c r="H25" s="860"/>
      <c r="I25" s="860"/>
      <c r="J25" s="860"/>
      <c r="K25" s="861"/>
      <c r="L25" s="1023" t="s">
        <v>443</v>
      </c>
      <c r="M25" s="1023"/>
      <c r="N25" s="1023"/>
      <c r="O25" s="1023"/>
      <c r="P25" s="1023"/>
      <c r="Q25" s="1023"/>
      <c r="S25" s="68"/>
      <c r="T25" s="66" t="e">
        <f t="shared" si="0"/>
        <v>#N/A</v>
      </c>
      <c r="U25" s="66" t="e">
        <f t="shared" si="0"/>
        <v>#N/A</v>
      </c>
      <c r="V25" s="66" t="e">
        <f t="shared" si="0"/>
        <v>#N/A</v>
      </c>
      <c r="W25" s="66" t="e">
        <f t="shared" si="0"/>
        <v>#N/A</v>
      </c>
      <c r="X25" s="66" t="e">
        <f t="shared" si="2"/>
        <v>#N/A</v>
      </c>
      <c r="Y25" s="70"/>
      <c r="Z25" s="70"/>
      <c r="AA25" s="70"/>
      <c r="AB25" s="70"/>
      <c r="AC25" s="70"/>
      <c r="AD25" s="70"/>
      <c r="AE25" s="70"/>
      <c r="AF25" s="70"/>
      <c r="AG25" s="70"/>
      <c r="AH25" s="70"/>
      <c r="AI25" s="70"/>
    </row>
    <row r="26" spans="1:35" ht="96.75" customHeight="1">
      <c r="A26" s="444">
        <v>1.2</v>
      </c>
      <c r="B26" s="855" t="str">
        <f>+'Introducerea datelor'!B128</f>
        <v xml:space="preserve">Rezultatul interimar al tratamentului cazurilor MDR-TB, rata interimară a succesului  </v>
      </c>
      <c r="C26" s="856"/>
      <c r="D26" s="857"/>
      <c r="E26" s="455">
        <f ca="1">OFFSET('Introducerea datelor'!$G$117,11,RIGHT('Introducerea datelor'!$C$16,LEN('Introducerea datelor'!$C$16)-1),1,1)</f>
        <v>70</v>
      </c>
      <c r="F26" s="455">
        <f ca="1">OFFSET('Introducerea datelor'!$G$117,12,RIGHT('Introducerea datelor'!$C$16,LEN('Introducerea datelor'!$C$16)-1),1,1)</f>
        <v>65.03</v>
      </c>
      <c r="G26" s="859">
        <f ca="1">+IF(ISERROR(F25/E25),0,F25/E25)</f>
        <v>0.92900000000000005</v>
      </c>
      <c r="H26" s="860"/>
      <c r="I26" s="860"/>
      <c r="J26" s="860"/>
      <c r="K26" s="861"/>
      <c r="L26" s="1022" t="s">
        <v>490</v>
      </c>
      <c r="M26" s="1020"/>
      <c r="N26" s="1020"/>
      <c r="O26" s="1020"/>
      <c r="P26" s="1020"/>
      <c r="Q26" s="1021"/>
      <c r="S26" s="68"/>
      <c r="T26" s="66"/>
      <c r="U26" s="66"/>
      <c r="V26" s="66"/>
      <c r="W26" s="66"/>
      <c r="X26" s="66"/>
      <c r="Y26" s="70"/>
      <c r="Z26" s="70"/>
      <c r="AA26" s="70"/>
      <c r="AB26" s="70"/>
      <c r="AC26" s="70"/>
      <c r="AD26" s="70"/>
      <c r="AE26" s="70"/>
      <c r="AF26" s="70"/>
      <c r="AG26" s="70"/>
      <c r="AH26" s="70"/>
      <c r="AI26" s="70"/>
    </row>
    <row r="27" spans="1:35" ht="96.75" customHeight="1">
      <c r="A27" s="444">
        <v>1.3</v>
      </c>
      <c r="B27" s="862" t="str">
        <f>+'Introducerea datelor'!B130</f>
        <v>Rezultatul interimar de abandon al tratamentului cazurilor MDR-TB</v>
      </c>
      <c r="C27" s="862"/>
      <c r="D27" s="862"/>
      <c r="E27" s="455">
        <f ca="1">OFFSET('Introducerea datelor'!$G$117,13,RIGHT('Introducerea datelor'!$C$16,LEN('Introducerea datelor'!$C$16)-1),1,1)</f>
        <v>7</v>
      </c>
      <c r="F27" s="456">
        <f ca="1">OFFSET('Introducerea datelor'!$G$117,14,RIGHT('Introducerea datelor'!$C$16,LEN('Introducerea datelor'!$C$16)-1),1,1)</f>
        <v>8.9600000000000009</v>
      </c>
      <c r="G27" s="859">
        <f ca="1">+IF(ISERROR(E27/F27),0,E27/F27)</f>
        <v>0.78124999999999989</v>
      </c>
      <c r="H27" s="860"/>
      <c r="I27" s="860"/>
      <c r="J27" s="860"/>
      <c r="K27" s="861"/>
      <c r="L27" s="1023" t="s">
        <v>491</v>
      </c>
      <c r="M27" s="1023"/>
      <c r="N27" s="1023"/>
      <c r="O27" s="1023"/>
      <c r="P27" s="1023"/>
      <c r="Q27" s="1023"/>
      <c r="S27" s="68"/>
      <c r="T27" s="66" t="e">
        <f t="shared" ref="T27:W28" si="3">IF($K24&gt;T$19,IF($K24&lt;=T$20,$K24,NA()),NA())</f>
        <v>#N/A</v>
      </c>
      <c r="U27" s="66" t="e">
        <f t="shared" si="3"/>
        <v>#N/A</v>
      </c>
      <c r="V27" s="66" t="e">
        <f t="shared" si="3"/>
        <v>#N/A</v>
      </c>
      <c r="W27" s="66" t="e">
        <f t="shared" si="3"/>
        <v>#N/A</v>
      </c>
      <c r="X27" s="66" t="e">
        <f>IF($K24&gt;X$19,IF($K24&lt;=X$20,1,NA()),NA())</f>
        <v>#N/A</v>
      </c>
      <c r="Y27" s="70"/>
      <c r="Z27" s="70"/>
      <c r="AA27" s="70"/>
      <c r="AB27" s="70"/>
      <c r="AC27" s="70"/>
      <c r="AD27" s="70"/>
      <c r="AE27" s="70"/>
      <c r="AF27" s="70"/>
      <c r="AG27" s="70"/>
      <c r="AH27" s="70"/>
      <c r="AI27" s="70"/>
    </row>
    <row r="28" spans="1:35" ht="46.5" customHeight="1">
      <c r="A28" s="444">
        <v>2.1</v>
      </c>
      <c r="B28" s="855" t="str">
        <f>+'Introducerea datelor'!B132</f>
        <v>Procentul deținuților testați pentru TB, la echipamentul radiologic digital mobil MRP</v>
      </c>
      <c r="C28" s="856"/>
      <c r="D28" s="857"/>
      <c r="E28" s="455">
        <f ca="1">OFFSET('Introducerea datelor'!$G$117,15,RIGHT('Introducerea datelor'!$C$16,LEN('Introducerea datelor'!$C$16)-1),1,1)</f>
        <v>95</v>
      </c>
      <c r="F28" s="455">
        <f ca="1">OFFSET('Introducerea datelor'!$G$117,16,RIGHT('Introducerea datelor'!$C$16,LEN('Introducerea datelor'!$C$16)-1),1,1)</f>
        <v>99.73</v>
      </c>
      <c r="G28" s="859">
        <f ca="1">+IF(ISERROR(F28/E28),0,F28/E28)</f>
        <v>1.0497894736842106</v>
      </c>
      <c r="H28" s="860"/>
      <c r="I28" s="860"/>
      <c r="J28" s="860"/>
      <c r="K28" s="861"/>
      <c r="L28" s="1023" t="s">
        <v>479</v>
      </c>
      <c r="M28" s="1023"/>
      <c r="N28" s="1023"/>
      <c r="O28" s="1023"/>
      <c r="P28" s="1023"/>
      <c r="Q28" s="1023"/>
      <c r="S28" s="68"/>
      <c r="T28" s="66" t="e">
        <f t="shared" si="3"/>
        <v>#N/A</v>
      </c>
      <c r="U28" s="66" t="e">
        <f t="shared" si="3"/>
        <v>#N/A</v>
      </c>
      <c r="V28" s="66" t="e">
        <f t="shared" si="3"/>
        <v>#N/A</v>
      </c>
      <c r="W28" s="66" t="e">
        <f t="shared" si="3"/>
        <v>#N/A</v>
      </c>
      <c r="X28" s="66" t="e">
        <f>IF($K25&gt;X$19,IF($K25&lt;=X$20,1,NA()),NA())</f>
        <v>#N/A</v>
      </c>
      <c r="Y28" s="70"/>
      <c r="Z28" s="70"/>
      <c r="AA28" s="70"/>
      <c r="AB28" s="70"/>
      <c r="AC28" s="70"/>
      <c r="AD28" s="70"/>
      <c r="AE28" s="70"/>
      <c r="AF28" s="70"/>
      <c r="AG28" s="70"/>
      <c r="AH28" s="70"/>
      <c r="AI28" s="70"/>
    </row>
    <row r="29" spans="1:35" ht="40.5" hidden="1" customHeight="1">
      <c r="A29" s="444"/>
      <c r="B29" s="858"/>
      <c r="C29" s="858"/>
      <c r="D29" s="858"/>
      <c r="E29" s="455">
        <f ca="1">OFFSET('Introducerea datelor'!$G$117,17,RIGHT('Introducerea datelor'!$C$16,LEN('Introducerea datelor'!$C$16)-1),1,1)</f>
        <v>0</v>
      </c>
      <c r="F29" s="455">
        <f ca="1">OFFSET('Introducerea datelor'!$G$117,18,RIGHT('Introducerea datelor'!$C$16,LEN('Introducerea datelor'!$C$16)-1),1,1)</f>
        <v>0</v>
      </c>
      <c r="G29" s="874">
        <f ca="1">+IF(ISERROR(F29/E29),0,F29/E29)</f>
        <v>0</v>
      </c>
      <c r="H29" s="875"/>
      <c r="I29" s="875"/>
      <c r="J29" s="875"/>
      <c r="K29" s="876"/>
      <c r="L29" s="865"/>
      <c r="M29" s="866"/>
      <c r="N29" s="866"/>
      <c r="O29" s="866"/>
      <c r="P29" s="866"/>
      <c r="Q29" s="867"/>
      <c r="S29" s="68"/>
      <c r="T29" s="66" t="e">
        <f t="shared" si="0"/>
        <v>#N/A</v>
      </c>
      <c r="U29" s="66" t="e">
        <f t="shared" si="0"/>
        <v>#N/A</v>
      </c>
      <c r="V29" s="66" t="e">
        <f t="shared" si="0"/>
        <v>#N/A</v>
      </c>
      <c r="W29" s="66" t="e">
        <f t="shared" si="0"/>
        <v>#N/A</v>
      </c>
      <c r="X29" s="66" t="e">
        <f t="shared" si="2"/>
        <v>#N/A</v>
      </c>
      <c r="Y29" s="70"/>
      <c r="Z29" s="70"/>
      <c r="AA29" s="70"/>
      <c r="AB29" s="70"/>
      <c r="AC29" s="70"/>
      <c r="AD29" s="70"/>
      <c r="AE29" s="70"/>
      <c r="AF29" s="70"/>
      <c r="AG29" s="70"/>
      <c r="AH29" s="70"/>
      <c r="AI29" s="70"/>
    </row>
    <row r="30" spans="1:35" ht="22.5" customHeight="1">
      <c r="A30" s="403"/>
      <c r="B30" s="854"/>
      <c r="C30" s="854"/>
      <c r="D30" s="854"/>
      <c r="E30" s="854"/>
      <c r="F30" s="853"/>
      <c r="G30" s="853"/>
      <c r="H30" s="853"/>
      <c r="I30" s="853"/>
      <c r="J30" s="853"/>
      <c r="K30" s="853"/>
      <c r="L30" s="868"/>
      <c r="M30" s="868"/>
      <c r="N30" s="868"/>
      <c r="O30" s="868"/>
      <c r="P30" s="868"/>
      <c r="Q30" s="534"/>
      <c r="S30" s="68"/>
      <c r="T30" s="66" t="e">
        <f>IF($K29&gt;T$19,IF($K29&lt;=T$20,$K29,NA()),NA())</f>
        <v>#N/A</v>
      </c>
      <c r="U30" s="66" t="e">
        <f>IF($K29&gt;U$19,IF($K29&lt;=U$20,$K29,NA()),NA())</f>
        <v>#N/A</v>
      </c>
      <c r="V30" s="66" t="e">
        <f>IF($K29&gt;V$19,IF($K29&lt;=V$20,$K29,NA()),NA())</f>
        <v>#N/A</v>
      </c>
      <c r="W30" s="66" t="e">
        <f>IF($K29&gt;W$19,IF($K29&lt;=W$20,$K29,NA()),NA())</f>
        <v>#N/A</v>
      </c>
      <c r="X30" s="66" t="e">
        <f>IF($K29&gt;X$19,IF($K29&lt;=X$20,1,NA()),NA())</f>
        <v>#N/A</v>
      </c>
      <c r="Y30" s="70"/>
      <c r="Z30" s="70"/>
      <c r="AA30" s="70"/>
      <c r="AB30" s="70"/>
      <c r="AC30" s="70"/>
      <c r="AD30" s="70"/>
      <c r="AE30" s="70"/>
      <c r="AF30" s="70"/>
      <c r="AG30" s="70"/>
      <c r="AH30" s="70"/>
      <c r="AI30" s="70"/>
    </row>
    <row r="31" spans="1:35" ht="22.5" customHeight="1">
      <c r="A31" s="403"/>
      <c r="B31" s="872"/>
      <c r="C31" s="872"/>
      <c r="D31" s="872"/>
      <c r="E31" s="873"/>
      <c r="F31" s="863"/>
      <c r="G31" s="864"/>
      <c r="H31" s="864"/>
      <c r="I31" s="864"/>
      <c r="J31" s="864"/>
      <c r="K31" s="873"/>
      <c r="L31" s="863"/>
      <c r="M31" s="864"/>
      <c r="N31" s="864"/>
      <c r="O31" s="864"/>
      <c r="P31" s="864"/>
      <c r="S31" s="68"/>
      <c r="T31" s="66" t="e">
        <f>IF(#REF!&gt;T$19,IF(#REF!&lt;=T$20,#REF!,NA()),NA())</f>
        <v>#REF!</v>
      </c>
      <c r="U31" s="66" t="e">
        <f>IF(#REF!&gt;U$19,IF(#REF!&lt;=U$20,#REF!,NA()),NA())</f>
        <v>#REF!</v>
      </c>
      <c r="V31" s="66" t="e">
        <f>IF(#REF!&gt;V$19,IF(#REF!&lt;=V$20,#REF!,NA()),NA())</f>
        <v>#REF!</v>
      </c>
      <c r="W31" s="66" t="e">
        <f>IF(#REF!&gt;W$19,IF(#REF!&lt;=W$20,#REF!,NA()),NA())</f>
        <v>#REF!</v>
      </c>
      <c r="X31" s="66" t="e">
        <f>IF(#REF!&gt;X$19,IF(#REF!&lt;=X$20,1,NA()),NA())</f>
        <v>#REF!</v>
      </c>
      <c r="Y31" s="70"/>
      <c r="Z31" s="70"/>
      <c r="AA31" s="70"/>
      <c r="AB31" s="70"/>
      <c r="AC31" s="70"/>
      <c r="AD31" s="70"/>
      <c r="AE31" s="70"/>
      <c r="AF31" s="70"/>
      <c r="AG31" s="70"/>
      <c r="AH31" s="70"/>
      <c r="AI31" s="70"/>
    </row>
    <row r="32" spans="1:35">
      <c r="A32" s="403"/>
      <c r="B32" s="193"/>
      <c r="C32" s="193"/>
      <c r="D32" s="193"/>
      <c r="E32" s="407"/>
      <c r="F32" s="407"/>
      <c r="G32" s="193"/>
      <c r="H32" s="194"/>
      <c r="I32" s="193"/>
      <c r="J32" s="193"/>
      <c r="K32" s="193"/>
      <c r="L32" s="193"/>
      <c r="M32" s="193"/>
      <c r="N32" s="193"/>
      <c r="O32" s="193"/>
      <c r="P32" s="193"/>
      <c r="S32" s="68"/>
      <c r="T32" s="66" t="e">
        <f t="shared" si="0"/>
        <v>#N/A</v>
      </c>
      <c r="U32" s="66" t="e">
        <f t="shared" si="0"/>
        <v>#N/A</v>
      </c>
      <c r="V32" s="66" t="e">
        <f t="shared" si="0"/>
        <v>#N/A</v>
      </c>
      <c r="W32" s="66" t="e">
        <f t="shared" si="0"/>
        <v>#N/A</v>
      </c>
      <c r="X32" s="66" t="e">
        <f t="shared" si="2"/>
        <v>#N/A</v>
      </c>
      <c r="Y32" s="70"/>
      <c r="Z32" s="70"/>
      <c r="AA32" s="70"/>
      <c r="AB32" s="70"/>
      <c r="AC32" s="70"/>
      <c r="AD32" s="70"/>
      <c r="AE32" s="70"/>
      <c r="AF32" s="70"/>
      <c r="AG32" s="70"/>
      <c r="AH32" s="70"/>
      <c r="AI32" s="70"/>
    </row>
    <row r="33" spans="1:35">
      <c r="A33" s="403"/>
      <c r="B33" s="871"/>
      <c r="C33" s="871"/>
      <c r="D33" s="871"/>
      <c r="E33" s="871"/>
      <c r="F33" s="871"/>
      <c r="G33" s="871"/>
      <c r="H33" s="871"/>
      <c r="I33" s="871"/>
      <c r="J33" s="871"/>
      <c r="K33" s="871"/>
      <c r="L33" s="193"/>
      <c r="M33" s="193"/>
      <c r="N33" s="193"/>
      <c r="O33" s="193"/>
      <c r="P33" s="193"/>
      <c r="S33" s="68"/>
      <c r="T33" s="66" t="e">
        <f t="shared" si="0"/>
        <v>#N/A</v>
      </c>
      <c r="U33" s="66" t="e">
        <f t="shared" si="0"/>
        <v>#N/A</v>
      </c>
      <c r="V33" s="66" t="e">
        <f t="shared" si="0"/>
        <v>#N/A</v>
      </c>
      <c r="W33" s="66" t="e">
        <f t="shared" si="0"/>
        <v>#N/A</v>
      </c>
      <c r="X33" s="66" t="e">
        <f t="shared" si="2"/>
        <v>#N/A</v>
      </c>
      <c r="Y33" s="70"/>
      <c r="Z33" s="70"/>
      <c r="AA33" s="70"/>
      <c r="AB33" s="70"/>
      <c r="AC33" s="70"/>
      <c r="AD33" s="70"/>
      <c r="AE33" s="70"/>
      <c r="AF33" s="70"/>
      <c r="AG33" s="70"/>
      <c r="AH33" s="70"/>
      <c r="AI33" s="70"/>
    </row>
    <row r="34" spans="1:35">
      <c r="A34" s="403"/>
      <c r="B34" s="871"/>
      <c r="C34" s="871"/>
      <c r="D34" s="871"/>
      <c r="E34" s="871"/>
      <c r="F34" s="871"/>
      <c r="G34" s="871"/>
      <c r="H34" s="871"/>
      <c r="I34" s="871"/>
      <c r="J34" s="871"/>
      <c r="K34" s="871"/>
      <c r="L34" s="193"/>
      <c r="M34" s="193"/>
      <c r="N34" s="193"/>
      <c r="O34" s="193"/>
      <c r="P34" s="193"/>
      <c r="S34" s="70"/>
      <c r="T34" s="70"/>
      <c r="U34" s="70"/>
      <c r="V34" s="70"/>
      <c r="W34" s="70"/>
      <c r="X34" s="70"/>
      <c r="Y34" s="70"/>
      <c r="Z34" s="70"/>
      <c r="AA34" s="70"/>
      <c r="AB34" s="70"/>
      <c r="AC34" s="70"/>
      <c r="AD34" s="70"/>
      <c r="AE34" s="70"/>
      <c r="AF34" s="70"/>
      <c r="AG34" s="70"/>
      <c r="AH34" s="70"/>
      <c r="AI34" s="70"/>
    </row>
    <row r="35" spans="1:35">
      <c r="A35" s="403"/>
      <c r="B35" s="3"/>
      <c r="C35" s="3"/>
      <c r="D35" s="3"/>
      <c r="E35" s="406"/>
      <c r="F35" s="406"/>
      <c r="G35" s="3"/>
      <c r="H35" s="3"/>
      <c r="I35" s="98"/>
      <c r="J35" s="98"/>
      <c r="K35" s="98"/>
      <c r="L35" s="3"/>
      <c r="M35" s="3"/>
      <c r="N35" s="3"/>
      <c r="O35" s="3"/>
      <c r="P35" s="3"/>
      <c r="S35" s="70"/>
      <c r="T35" s="70"/>
      <c r="U35" s="70"/>
      <c r="V35" s="70"/>
      <c r="W35" s="70"/>
      <c r="X35" s="70"/>
      <c r="Y35" s="70"/>
      <c r="Z35" s="70"/>
      <c r="AA35" s="70"/>
      <c r="AB35" s="70"/>
      <c r="AC35" s="70"/>
      <c r="AD35" s="70"/>
      <c r="AE35" s="70"/>
      <c r="AF35" s="70"/>
      <c r="AG35" s="70"/>
      <c r="AH35" s="70"/>
      <c r="AI35" s="70"/>
    </row>
    <row r="36" spans="1:35">
      <c r="A36" s="403"/>
      <c r="B36" s="3"/>
      <c r="C36" s="3"/>
      <c r="D36" s="3"/>
      <c r="E36" s="406"/>
      <c r="F36" s="406"/>
      <c r="G36" s="3"/>
      <c r="H36" s="3"/>
      <c r="I36" s="139"/>
      <c r="J36" s="140"/>
      <c r="K36" s="140"/>
      <c r="L36" s="3"/>
      <c r="M36" s="3"/>
      <c r="N36" s="3"/>
      <c r="O36" s="3"/>
      <c r="P36" s="3"/>
      <c r="S36" s="70"/>
      <c r="T36" s="70"/>
      <c r="U36" s="70"/>
      <c r="V36" s="70"/>
      <c r="W36" s="70"/>
      <c r="X36" s="70"/>
      <c r="Y36" s="70"/>
      <c r="Z36" s="70"/>
      <c r="AA36" s="70"/>
      <c r="AB36" s="70"/>
      <c r="AC36" s="70"/>
      <c r="AD36" s="70"/>
      <c r="AE36" s="70"/>
      <c r="AF36" s="70"/>
      <c r="AG36" s="70"/>
      <c r="AH36" s="70"/>
      <c r="AI36" s="70"/>
    </row>
    <row r="37" spans="1:35">
      <c r="A37" s="403"/>
      <c r="B37" s="3"/>
      <c r="C37" s="3"/>
      <c r="D37" s="3"/>
      <c r="E37" s="406"/>
      <c r="F37" s="406"/>
      <c r="G37" s="3"/>
      <c r="H37" s="3"/>
      <c r="I37" s="141"/>
      <c r="J37" s="142"/>
      <c r="K37" s="100"/>
      <c r="L37" s="3"/>
      <c r="M37" s="3"/>
      <c r="N37" s="3"/>
      <c r="O37" s="3"/>
      <c r="P37" s="3"/>
      <c r="S37" s="70"/>
      <c r="T37" s="70"/>
      <c r="U37" s="70"/>
      <c r="V37" s="70"/>
      <c r="W37" s="70"/>
      <c r="X37" s="70"/>
      <c r="Y37" s="70"/>
      <c r="Z37" s="70"/>
      <c r="AA37" s="70"/>
      <c r="AB37" s="70"/>
      <c r="AC37" s="70"/>
      <c r="AD37" s="70"/>
      <c r="AE37" s="70"/>
      <c r="AF37" s="70"/>
      <c r="AG37" s="70"/>
      <c r="AH37" s="70"/>
      <c r="AI37" s="70"/>
    </row>
    <row r="38" spans="1:35">
      <c r="A38" s="403"/>
      <c r="B38" s="3"/>
      <c r="C38" s="3"/>
      <c r="D38" s="3"/>
      <c r="E38" s="406"/>
      <c r="F38" s="406"/>
      <c r="G38" s="3"/>
      <c r="H38" s="3"/>
      <c r="I38" s="143"/>
      <c r="J38" s="142"/>
      <c r="K38" s="100"/>
      <c r="L38" s="3"/>
      <c r="M38" s="3"/>
      <c r="N38" s="3"/>
      <c r="O38" s="3"/>
      <c r="P38" s="3"/>
      <c r="S38" s="70"/>
      <c r="T38" s="70"/>
      <c r="U38" s="70"/>
      <c r="V38" s="70"/>
      <c r="W38" s="70"/>
      <c r="X38" s="70"/>
      <c r="Y38" s="70"/>
      <c r="Z38" s="70"/>
      <c r="AA38" s="70"/>
      <c r="AB38" s="70"/>
      <c r="AC38" s="70"/>
      <c r="AD38" s="70"/>
      <c r="AE38" s="70"/>
      <c r="AF38" s="70"/>
      <c r="AG38" s="70"/>
      <c r="AH38" s="70"/>
      <c r="AI38" s="70"/>
    </row>
    <row r="39" spans="1:35">
      <c r="A39" s="403"/>
      <c r="B39" s="3"/>
      <c r="C39" s="3"/>
      <c r="D39" s="3"/>
      <c r="E39" s="406"/>
      <c r="F39" s="406"/>
      <c r="G39" s="3"/>
      <c r="H39" s="3"/>
      <c r="I39" s="141"/>
      <c r="J39" s="142"/>
      <c r="K39" s="100"/>
      <c r="L39" s="3"/>
      <c r="M39" s="3"/>
      <c r="N39" s="3"/>
      <c r="O39" s="3"/>
      <c r="P39" s="3"/>
      <c r="S39" s="70"/>
      <c r="T39" s="70"/>
      <c r="U39" s="70"/>
      <c r="V39" s="70"/>
      <c r="W39" s="70"/>
      <c r="X39" s="70"/>
      <c r="Y39" s="70"/>
      <c r="Z39" s="70"/>
      <c r="AA39" s="70"/>
      <c r="AB39" s="70"/>
      <c r="AC39" s="70"/>
      <c r="AD39" s="70"/>
      <c r="AE39" s="70"/>
      <c r="AF39" s="70"/>
      <c r="AG39" s="70"/>
      <c r="AH39" s="70"/>
      <c r="AI39" s="70"/>
    </row>
    <row r="40" spans="1:35">
      <c r="A40" s="403"/>
      <c r="B40" s="3"/>
      <c r="C40" s="3"/>
      <c r="D40" s="3"/>
      <c r="E40" s="406"/>
      <c r="F40" s="406"/>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403"/>
      <c r="B41" s="3"/>
      <c r="C41" s="3"/>
      <c r="D41" s="3"/>
      <c r="E41" s="406"/>
      <c r="F41" s="406"/>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403"/>
      <c r="B42" s="3"/>
      <c r="C42" s="3"/>
      <c r="D42" s="3"/>
      <c r="E42" s="406"/>
      <c r="F42" s="406"/>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8">
    <mergeCell ref="B2:Q2"/>
    <mergeCell ref="D5:N5"/>
    <mergeCell ref="L8:Q8"/>
    <mergeCell ref="F6:K6"/>
    <mergeCell ref="E3:K3"/>
    <mergeCell ref="C4:D4"/>
    <mergeCell ref="G23:K23"/>
    <mergeCell ref="G24:K24"/>
    <mergeCell ref="G25:K25"/>
    <mergeCell ref="G27:K27"/>
    <mergeCell ref="L19:Q19"/>
    <mergeCell ref="L25:Q25"/>
    <mergeCell ref="L27:Q27"/>
    <mergeCell ref="G22:K22"/>
    <mergeCell ref="G19:H19"/>
    <mergeCell ref="I19:J19"/>
    <mergeCell ref="L26:Q26"/>
    <mergeCell ref="E18:K18"/>
    <mergeCell ref="B19:D19"/>
    <mergeCell ref="B20:D20"/>
    <mergeCell ref="G20:K20"/>
    <mergeCell ref="B33:D34"/>
    <mergeCell ref="E33:G34"/>
    <mergeCell ref="H33:K34"/>
    <mergeCell ref="B23:D23"/>
    <mergeCell ref="B24:D24"/>
    <mergeCell ref="B25:D25"/>
    <mergeCell ref="B22:D22"/>
    <mergeCell ref="G21:K21"/>
    <mergeCell ref="B31:E31"/>
    <mergeCell ref="F31:K31"/>
    <mergeCell ref="B21:D21"/>
    <mergeCell ref="G29:K29"/>
    <mergeCell ref="L31:P31"/>
    <mergeCell ref="L20:Q20"/>
    <mergeCell ref="L21:Q21"/>
    <mergeCell ref="L22:Q22"/>
    <mergeCell ref="L29:Q29"/>
    <mergeCell ref="L30:P30"/>
    <mergeCell ref="L23:Q23"/>
    <mergeCell ref="L24:Q24"/>
    <mergeCell ref="L28:Q28"/>
    <mergeCell ref="F30:K30"/>
    <mergeCell ref="B30:E30"/>
    <mergeCell ref="B28:D28"/>
    <mergeCell ref="B29:D29"/>
    <mergeCell ref="G26:K26"/>
    <mergeCell ref="B26:D26"/>
    <mergeCell ref="B27:D27"/>
    <mergeCell ref="G28:K28"/>
    <mergeCell ref="C9:E9"/>
    <mergeCell ref="G9:K9"/>
    <mergeCell ref="M9:Q9"/>
    <mergeCell ref="C3:D3"/>
    <mergeCell ref="E4:L4"/>
    <mergeCell ref="B8:E8"/>
    <mergeCell ref="F8:K8"/>
    <mergeCell ref="N3:P3"/>
  </mergeCells>
  <phoneticPr fontId="23"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29">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8" scale="68" orientation="portrait" r:id="rId1"/>
  <headerFooter alignWithMargins="0">
    <oddFooter>&amp;L&amp;F&amp;C&amp;A&amp;RV1.0          &amp;D</oddFooter>
  </headerFooter>
  <rowBreaks count="1" manualBreakCount="1">
    <brk id="28" max="16"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T42"/>
  <sheetViews>
    <sheetView showGridLines="0" view="pageBreakPreview" topLeftCell="A35" zoomScale="75" zoomScaleNormal="90" zoomScaleSheetLayoutView="75" workbookViewId="0">
      <selection activeCell="D30" sqref="D30:G30"/>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5"/>
      <c r="B1" s="145"/>
      <c r="C1" s="145"/>
      <c r="D1" s="145"/>
      <c r="E1" s="145"/>
      <c r="F1" s="145"/>
      <c r="G1" s="145"/>
      <c r="H1" s="145"/>
      <c r="I1" s="145"/>
      <c r="J1" s="145"/>
      <c r="K1" s="146"/>
      <c r="L1" s="145"/>
      <c r="M1" s="145"/>
      <c r="N1" s="145"/>
    </row>
    <row r="2" spans="1:15" customFormat="1" ht="27.75" customHeight="1">
      <c r="A2" s="3"/>
      <c r="B2" s="884" t="str">
        <f>+"Tabel Programatic de evaluare:  "&amp;"  "&amp;IF(+'Introducerea datelor'!C4="Please Select","",'Introducerea datelor'!C4&amp;" - ")&amp;IF('Introducerea datelor'!G6="Please Select","",'Introducerea datelor'!G6)</f>
        <v>Tabel Programatic de evaluare:    Moldova - TB</v>
      </c>
      <c r="C2" s="884"/>
      <c r="D2" s="884"/>
      <c r="E2" s="884"/>
      <c r="F2" s="884"/>
      <c r="G2" s="884"/>
      <c r="H2" s="884"/>
      <c r="I2" s="884"/>
      <c r="J2" s="884"/>
      <c r="K2" s="884"/>
      <c r="L2" s="884"/>
      <c r="M2" s="884"/>
      <c r="N2" s="884"/>
      <c r="O2" s="72"/>
    </row>
    <row r="3" spans="1:15" customFormat="1" ht="18.75">
      <c r="A3" s="3"/>
      <c r="B3" s="128" t="str">
        <f>+IF('Introducerea datelor'!G8="Please Select","",'Introducerea datelor'!G8)</f>
        <v/>
      </c>
      <c r="C3" s="850" t="str">
        <f>+IF('Introducerea datelor'!I8="Please Select","",'Introducerea datelor'!I8)</f>
        <v>Phase 2</v>
      </c>
      <c r="D3" s="850"/>
      <c r="E3" s="392"/>
      <c r="F3" s="392"/>
      <c r="G3" s="392"/>
      <c r="H3" s="392"/>
      <c r="I3" s="392"/>
      <c r="J3" s="392"/>
      <c r="K3" s="392"/>
      <c r="L3" s="128" t="str">
        <f>+'Introducerea datelor'!B16</f>
        <v>Perioada de Raportare:</v>
      </c>
      <c r="M3" s="167" t="str">
        <f>+'Introducerea datelor'!C16</f>
        <v>P5</v>
      </c>
      <c r="N3" s="167"/>
      <c r="O3" s="30"/>
    </row>
    <row r="4" spans="1:15" customFormat="1" ht="15">
      <c r="A4" s="3"/>
      <c r="B4" s="128" t="str">
        <f>+'Introducerea datelor'!B12</f>
        <v>Ultimul Rating:</v>
      </c>
      <c r="C4" s="888" t="str">
        <f>+IF('Introducerea datelor'!C12="Please Select","",'Introducerea datelor'!C12)</f>
        <v>A1</v>
      </c>
      <c r="D4" s="888"/>
      <c r="E4" s="849" t="str">
        <f>+'Introducerea datelor'!C8</f>
        <v>IP UCIMP DS</v>
      </c>
      <c r="F4" s="849"/>
      <c r="G4" s="849"/>
      <c r="H4" s="849"/>
      <c r="I4" s="849"/>
      <c r="J4" s="849"/>
      <c r="K4" s="849"/>
      <c r="L4" s="128" t="str">
        <f>+'Introducerea datelor'!D16</f>
        <v>De la:</v>
      </c>
      <c r="M4" s="168">
        <f>+IF(ISBLANK('Introducerea datelor'!E16),"",'Introducerea datelor'!E16)</f>
        <v>42005</v>
      </c>
      <c r="N4" s="168"/>
      <c r="O4" s="30"/>
    </row>
    <row r="5" spans="1:15" customFormat="1" ht="18.75" customHeight="1">
      <c r="A5" s="3"/>
      <c r="B5" s="128"/>
      <c r="C5" s="128"/>
      <c r="D5" s="129"/>
      <c r="E5" s="849" t="str">
        <f>+'Introducerea datelor'!G4</f>
        <v>Consolidarea controlului Tuberculozei în Republica Moldova</v>
      </c>
      <c r="F5" s="849"/>
      <c r="G5" s="849"/>
      <c r="H5" s="849"/>
      <c r="I5" s="849"/>
      <c r="J5" s="849"/>
      <c r="K5" s="849"/>
      <c r="L5" s="128" t="str">
        <f>+'Introducerea datelor'!F16</f>
        <v>Pînă la:</v>
      </c>
      <c r="M5" s="168">
        <f>+IF(ISBLANK('Introducerea datelor'!G16),"",'Introducerea datelor'!G16)</f>
        <v>42185</v>
      </c>
      <c r="N5" s="168"/>
    </row>
    <row r="6" spans="1:15" customFormat="1" ht="22.5" customHeight="1">
      <c r="A6" s="3"/>
      <c r="B6" s="133"/>
      <c r="C6" s="134"/>
      <c r="D6" s="135"/>
      <c r="E6" s="917" t="s">
        <v>403</v>
      </c>
      <c r="F6" s="917"/>
      <c r="G6" s="917"/>
      <c r="H6" s="917"/>
      <c r="I6" s="917"/>
      <c r="J6" s="917"/>
      <c r="K6" s="917"/>
      <c r="L6" s="2"/>
      <c r="M6" s="2"/>
      <c r="N6" s="2"/>
    </row>
    <row r="7" spans="1:15" s="32" customFormat="1" ht="4.5" customHeight="1">
      <c r="A7" s="147"/>
      <c r="B7" s="148"/>
      <c r="C7" s="148"/>
      <c r="D7" s="148"/>
      <c r="E7" s="148"/>
      <c r="F7" s="148"/>
      <c r="G7" s="148"/>
      <c r="H7" s="148"/>
      <c r="I7" s="148"/>
      <c r="J7" s="148"/>
      <c r="K7" s="148"/>
      <c r="L7" s="149"/>
      <c r="M7" s="149"/>
      <c r="N7" s="150"/>
    </row>
    <row r="8" spans="1:15" s="32" customFormat="1" ht="21" customHeight="1" thickBot="1">
      <c r="A8" s="147"/>
      <c r="B8" s="916" t="s">
        <v>409</v>
      </c>
      <c r="C8" s="916"/>
      <c r="D8" s="916"/>
      <c r="E8" s="916"/>
      <c r="F8" s="916"/>
      <c r="G8" s="916"/>
      <c r="H8" s="916"/>
      <c r="I8" s="916"/>
      <c r="J8" s="916"/>
      <c r="K8" s="916"/>
      <c r="L8" s="916"/>
      <c r="M8" s="916"/>
      <c r="N8" s="916"/>
    </row>
    <row r="9" spans="1:15" s="32" customFormat="1" ht="3.75" customHeight="1" thickBot="1">
      <c r="A9" s="147"/>
      <c r="B9" s="148"/>
      <c r="C9" s="148"/>
      <c r="D9" s="148"/>
      <c r="E9" s="148"/>
      <c r="F9" s="148"/>
      <c r="G9" s="148"/>
      <c r="H9" s="148"/>
      <c r="I9" s="148"/>
      <c r="J9" s="148"/>
      <c r="K9" s="148"/>
      <c r="L9" s="149"/>
      <c r="M9" s="149"/>
      <c r="N9" s="150"/>
    </row>
    <row r="10" spans="1:15" s="33" customFormat="1" ht="25.5" customHeight="1" thickBot="1">
      <c r="A10" s="151"/>
      <c r="B10" s="934" t="s">
        <v>404</v>
      </c>
      <c r="C10" s="935"/>
      <c r="D10" s="924" t="s">
        <v>405</v>
      </c>
      <c r="E10" s="925"/>
      <c r="F10" s="925"/>
      <c r="G10" s="926"/>
      <c r="H10" s="152"/>
      <c r="I10" s="924" t="s">
        <v>403</v>
      </c>
      <c r="J10" s="925"/>
      <c r="K10" s="925"/>
      <c r="L10" s="925"/>
      <c r="M10" s="925"/>
      <c r="N10" s="926"/>
    </row>
    <row r="11" spans="1:15" s="33" customFormat="1" ht="27" customHeight="1">
      <c r="A11" s="151"/>
      <c r="B11" s="412" t="s">
        <v>58</v>
      </c>
      <c r="C11" s="413"/>
      <c r="D11" s="943" t="str">
        <f>IF(ISBLANK(Financiar!C9),"",(Financiar!C9))</f>
        <v xml:space="preserve">Fondul Global a debursat în avans intreaga sumă a grantului </v>
      </c>
      <c r="E11" s="943"/>
      <c r="F11" s="943"/>
      <c r="G11" s="944"/>
      <c r="H11" s="536"/>
      <c r="I11" s="936"/>
      <c r="J11" s="937"/>
      <c r="K11" s="937"/>
      <c r="L11" s="937"/>
      <c r="M11" s="937"/>
      <c r="N11" s="938"/>
    </row>
    <row r="12" spans="1:15" s="33" customFormat="1" ht="156" customHeight="1">
      <c r="A12" s="151"/>
      <c r="B12" s="416" t="s">
        <v>59</v>
      </c>
      <c r="C12" s="417"/>
      <c r="D12" s="908" t="str">
        <f>IF(ISBLANK(Financiar!C23),"",(Financiar!C23))</f>
        <v xml:space="preserve">Pentru perioada cumulativă a Grantului (01 octombrie 2010 – 30 iunie 2015) au fost valorificați 13 431 841,48 EUR față de 13 165 003,98 EUR bugetați (102,0%).
Variația pentru perioada cumulativă a grantului a constituit suma de (-) 266 837,50  EUR și a fost cauzată de procurarea suplimentară de consumabile și reagenţi inițial neplanificate în semestrul I. 2015, de procurarea cantității suplimentare de medicamente antituberculoase de linia a II pentru tratamentul adițional a unui număr de 151 pacienții cu TB-MDR în semestrul I.2015 (în total 331 față de 180 inițial planificați), precum și de onorarea angajamentelor din perioada I al grantului. Sursa de acoperire a diferenței au fost interesul bancar pentru perioada 01 octombrie 2010 – 30 iunie 2015: EUR 220,94 mii și soldul din cont la data de demarare a grantului consolidat 01 octombrie 2010: EUR 45,9 mii.
</v>
      </c>
      <c r="E12" s="908"/>
      <c r="F12" s="908"/>
      <c r="G12" s="939"/>
      <c r="H12" s="536"/>
      <c r="I12" s="936"/>
      <c r="J12" s="937"/>
      <c r="K12" s="937"/>
      <c r="L12" s="937"/>
      <c r="M12" s="937"/>
      <c r="N12" s="938"/>
    </row>
    <row r="13" spans="1:15" s="33" customFormat="1" ht="60.75" customHeight="1">
      <c r="A13" s="151"/>
      <c r="B13" s="416" t="s">
        <v>60</v>
      </c>
      <c r="C13" s="417"/>
      <c r="D13" s="908" t="str">
        <f>IF(ISBLANK(Financiar!I9),"",(Financiar!I9))</f>
        <v>RP are angajamente financiare în volum de aprx. 11,45 mii EUR pentru achitarea salariilor restante pentru luna Iunie 2015  a şoferilor pentru transportarea sputei și a medicamnetelor, si pentru achitarea ultimei tranșe a mediilor nutritive pentru laboratoarele de referință.</v>
      </c>
      <c r="E13" s="908"/>
      <c r="F13" s="908"/>
      <c r="G13" s="939"/>
      <c r="H13" s="536"/>
      <c r="I13" s="936"/>
      <c r="J13" s="937"/>
      <c r="K13" s="937"/>
      <c r="L13" s="937"/>
      <c r="M13" s="937"/>
      <c r="N13" s="938"/>
    </row>
    <row r="14" spans="1:15" s="33" customFormat="1" ht="48.75" customHeight="1" thickBot="1">
      <c r="A14" s="151"/>
      <c r="B14" s="414" t="s">
        <v>61</v>
      </c>
      <c r="C14" s="415"/>
      <c r="D14" s="945" t="str">
        <f>IF(ISBLANK(Financiar!I23),"",(Financiar!I23))</f>
        <v xml:space="preserve">Raport de progres standard către Secretariatul FG pentru semestrul I.2015 si raportul EFR semi-anual (sem I.2015) au fost remise Fondului Global la 17 August 2015. </v>
      </c>
      <c r="E14" s="945"/>
      <c r="F14" s="945"/>
      <c r="G14" s="946"/>
      <c r="H14" s="536"/>
      <c r="I14" s="918"/>
      <c r="J14" s="919"/>
      <c r="K14" s="919"/>
      <c r="L14" s="919"/>
      <c r="M14" s="919"/>
      <c r="N14" s="920"/>
    </row>
    <row r="15" spans="1:15" s="33" customFormat="1" ht="4.5" customHeight="1">
      <c r="A15" s="151"/>
      <c r="B15" s="156"/>
      <c r="C15" s="157"/>
      <c r="D15" s="537"/>
      <c r="E15" s="537"/>
      <c r="F15" s="537"/>
      <c r="G15" s="537"/>
      <c r="H15" s="536"/>
      <c r="I15" s="538"/>
      <c r="J15" s="538"/>
      <c r="K15" s="538"/>
      <c r="L15" s="538"/>
      <c r="M15" s="538"/>
      <c r="N15" s="538"/>
      <c r="O15" s="74"/>
    </row>
    <row r="16" spans="1:15" s="32" customFormat="1" ht="21" customHeight="1" thickBot="1">
      <c r="A16" s="147"/>
      <c r="B16" s="916" t="s">
        <v>408</v>
      </c>
      <c r="C16" s="916"/>
      <c r="D16" s="916"/>
      <c r="E16" s="916"/>
      <c r="F16" s="916"/>
      <c r="G16" s="916"/>
      <c r="H16" s="916"/>
      <c r="I16" s="916"/>
      <c r="J16" s="916"/>
      <c r="K16" s="916"/>
      <c r="L16" s="916"/>
      <c r="M16" s="916"/>
      <c r="N16" s="916"/>
    </row>
    <row r="17" spans="1:20" s="33" customFormat="1" ht="3.75" customHeight="1" thickBot="1">
      <c r="A17" s="151"/>
      <c r="B17" s="539"/>
      <c r="C17" s="154"/>
      <c r="D17" s="540"/>
      <c r="E17" s="541"/>
      <c r="F17" s="542"/>
      <c r="G17" s="542"/>
      <c r="H17" s="543"/>
      <c r="I17" s="155"/>
      <c r="J17" s="544"/>
      <c r="K17" s="545"/>
      <c r="L17" s="546"/>
      <c r="M17" s="153"/>
      <c r="N17" s="547"/>
    </row>
    <row r="18" spans="1:20" s="33" customFormat="1" ht="22.5" customHeight="1" thickBot="1">
      <c r="A18" s="151"/>
      <c r="B18" s="933" t="s">
        <v>57</v>
      </c>
      <c r="C18" s="913"/>
      <c r="D18" s="905" t="s">
        <v>405</v>
      </c>
      <c r="E18" s="906"/>
      <c r="F18" s="906"/>
      <c r="G18" s="907"/>
      <c r="H18" s="548"/>
      <c r="I18" s="940" t="s">
        <v>403</v>
      </c>
      <c r="J18" s="941"/>
      <c r="K18" s="941"/>
      <c r="L18" s="941"/>
      <c r="M18" s="942"/>
      <c r="N18" s="942"/>
    </row>
    <row r="19" spans="1:20" s="33" customFormat="1" ht="39" customHeight="1">
      <c r="A19" s="151"/>
      <c r="B19" s="418" t="s">
        <v>66</v>
      </c>
      <c r="C19" s="419"/>
      <c r="D19" s="910" t="str">
        <f>IF(ISBLANK(Management!C8),"",(Management!C8))</f>
        <v>Toate cele patru condiții precedente stipulate în Acordul de Grant au fost îndeplinite de către RP</v>
      </c>
      <c r="E19" s="910"/>
      <c r="F19" s="910"/>
      <c r="G19" s="911"/>
      <c r="H19" s="549"/>
      <c r="I19" s="927"/>
      <c r="J19" s="928"/>
      <c r="K19" s="928"/>
      <c r="L19" s="928"/>
      <c r="M19" s="928"/>
      <c r="N19" s="929"/>
    </row>
    <row r="20" spans="1:20" ht="31.5" customHeight="1">
      <c r="A20" s="145"/>
      <c r="B20" s="422" t="s">
        <v>67</v>
      </c>
      <c r="C20" s="423"/>
      <c r="D20" s="908" t="str">
        <f>IF(ISBLANK(Management!I8),"",(Management!I8))</f>
        <v>Nu sunt posturi libere în cadrul echipei ce gestionează Grantul Consolidat TB</v>
      </c>
      <c r="E20" s="908" t="e">
        <f>+'Introducerea datelor'!D73/'Introducerea datelor'!G73</f>
        <v>#DIV/0!</v>
      </c>
      <c r="F20" s="908" t="e">
        <f>+('Introducerea datelor'!E73+'Introducerea datelor'!F73)/'Introducerea datelor'!G73</f>
        <v>#DIV/0!</v>
      </c>
      <c r="G20" s="909"/>
      <c r="H20" s="549"/>
      <c r="I20" s="921"/>
      <c r="J20" s="922"/>
      <c r="K20" s="922"/>
      <c r="L20" s="922"/>
      <c r="M20" s="922"/>
      <c r="N20" s="923"/>
      <c r="O20" s="34"/>
    </row>
    <row r="21" spans="1:20" ht="44.25" customHeight="1">
      <c r="A21" s="145"/>
      <c r="B21" s="424" t="s">
        <v>68</v>
      </c>
      <c r="C21" s="423"/>
      <c r="D21" s="908" t="str">
        <f>IF(ISBLANK(Management!C16),"",(Management!C16))</f>
        <v>În perioada doi de implementare a Grantului Consolidat IP UCIMP RSS nu are aranjamentele contractuale cu SR pentru realizarea activităților în perioada raportată</v>
      </c>
      <c r="E21" s="908"/>
      <c r="F21" s="908"/>
      <c r="G21" s="909"/>
      <c r="H21" s="549"/>
      <c r="I21" s="921"/>
      <c r="J21" s="922"/>
      <c r="K21" s="922"/>
      <c r="L21" s="922"/>
      <c r="M21" s="922"/>
      <c r="N21" s="923"/>
      <c r="O21" s="34"/>
    </row>
    <row r="22" spans="1:20" ht="29.25" customHeight="1">
      <c r="A22" s="145"/>
      <c r="B22" s="424" t="s">
        <v>69</v>
      </c>
      <c r="C22" s="423"/>
      <c r="D22" s="908" t="str">
        <f>IF(ISBLANK(Management!I16),"",(Management!I16))</f>
        <v>N/A</v>
      </c>
      <c r="E22" s="908"/>
      <c r="F22" s="908"/>
      <c r="G22" s="909"/>
      <c r="H22" s="549"/>
      <c r="I22" s="921"/>
      <c r="J22" s="922"/>
      <c r="K22" s="922"/>
      <c r="L22" s="922"/>
      <c r="M22" s="922"/>
      <c r="N22" s="923"/>
      <c r="O22" s="34"/>
    </row>
    <row r="23" spans="1:20" ht="48.75" customHeight="1">
      <c r="A23" s="145"/>
      <c r="B23" s="424" t="s">
        <v>70</v>
      </c>
      <c r="C23" s="423"/>
      <c r="D23" s="908" t="str">
        <f>IF(ISBLANK(Management!C27),"",(Management!C27))</f>
        <v>RP avea angajamente la 30 iulie 2015 pentru livrarea ultimei tranșe a mediilor nutritive din Semestrul I.2015 in suma de 11 293.14 USD.</v>
      </c>
      <c r="E23" s="908"/>
      <c r="F23" s="908"/>
      <c r="G23" s="909"/>
      <c r="H23" s="549"/>
      <c r="I23" s="921"/>
      <c r="J23" s="922"/>
      <c r="K23" s="922"/>
      <c r="L23" s="922"/>
      <c r="M23" s="922"/>
      <c r="N23" s="923"/>
      <c r="O23" s="34"/>
    </row>
    <row r="24" spans="1:20" ht="63" customHeight="1" thickBot="1">
      <c r="A24" s="145"/>
      <c r="B24" s="420" t="s">
        <v>71</v>
      </c>
      <c r="C24" s="421"/>
      <c r="D24" s="914" t="str">
        <f>IF(ISBLANK(Management!I27),"",(Management!I27))</f>
        <v>Analiza stocului (la data de 31 decembrie 2014) a medicamentelor de linia a II, a numărului de pacienți în tratament la aceeași dată, precum si a livrarilor planificate arata prezența unui stock buffer între 4 și 16 de luni ce previne riscul lipsei de preparate.</v>
      </c>
      <c r="E24" s="914"/>
      <c r="F24" s="914"/>
      <c r="G24" s="915"/>
      <c r="H24" s="549"/>
      <c r="I24" s="930"/>
      <c r="J24" s="931"/>
      <c r="K24" s="931"/>
      <c r="L24" s="931"/>
      <c r="M24" s="931"/>
      <c r="N24" s="932"/>
      <c r="O24" s="34"/>
      <c r="T24" s="500"/>
    </row>
    <row r="25" spans="1:20" ht="4.5" customHeight="1">
      <c r="A25" s="147"/>
      <c r="B25" s="550"/>
      <c r="C25" s="551"/>
      <c r="D25" s="552"/>
      <c r="E25" s="553"/>
      <c r="F25" s="554"/>
      <c r="G25" s="554"/>
      <c r="H25" s="548"/>
      <c r="I25" s="553"/>
      <c r="J25" s="555"/>
      <c r="K25" s="545"/>
      <c r="L25" s="546"/>
      <c r="M25" s="153"/>
      <c r="N25" s="547"/>
      <c r="O25" s="34"/>
    </row>
    <row r="26" spans="1:20" s="32" customFormat="1" ht="21" customHeight="1" thickBot="1">
      <c r="A26" s="147"/>
      <c r="B26" s="916" t="s">
        <v>407</v>
      </c>
      <c r="C26" s="916"/>
      <c r="D26" s="916"/>
      <c r="E26" s="916"/>
      <c r="F26" s="916"/>
      <c r="G26" s="916"/>
      <c r="H26" s="916"/>
      <c r="I26" s="916"/>
      <c r="J26" s="916"/>
      <c r="K26" s="916"/>
      <c r="L26" s="916"/>
      <c r="M26" s="916"/>
      <c r="N26" s="916"/>
      <c r="R26" s="501"/>
    </row>
    <row r="27" spans="1:20" ht="3.75" customHeight="1" thickBot="1">
      <c r="A27" s="147"/>
      <c r="B27" s="550"/>
      <c r="C27" s="551"/>
      <c r="D27" s="552"/>
      <c r="E27" s="553"/>
      <c r="F27" s="554"/>
      <c r="G27" s="554"/>
      <c r="H27" s="548"/>
      <c r="I27" s="553"/>
      <c r="J27" s="555"/>
      <c r="K27" s="545"/>
      <c r="L27" s="546"/>
      <c r="M27" s="153"/>
      <c r="N27" s="547"/>
      <c r="O27" s="34"/>
    </row>
    <row r="28" spans="1:20" ht="21.75" customHeight="1" thickBot="1">
      <c r="A28" s="145"/>
      <c r="B28" s="912" t="s">
        <v>406</v>
      </c>
      <c r="C28" s="913"/>
      <c r="D28" s="895" t="s">
        <v>405</v>
      </c>
      <c r="E28" s="896"/>
      <c r="F28" s="896"/>
      <c r="G28" s="897"/>
      <c r="H28" s="548"/>
      <c r="I28" s="895" t="s">
        <v>403</v>
      </c>
      <c r="J28" s="896"/>
      <c r="K28" s="896"/>
      <c r="L28" s="896"/>
      <c r="M28" s="896"/>
      <c r="N28" s="897"/>
      <c r="O28" s="34"/>
    </row>
    <row r="29" spans="1:20" ht="112.5" customHeight="1">
      <c r="A29" s="145"/>
      <c r="B29" s="556" t="s">
        <v>244</v>
      </c>
      <c r="C29" s="557"/>
      <c r="D29" s="898" t="str">
        <f>IF(ISBLANK(Programatic!C9),"",(Programatic!C9))</f>
        <v xml:space="preserve">Date finale pentru anul 2014: 508 persoane au decedat în anul 2014 (12.5 decese cauzate de TB (toate formele) la 100,000 persoane).                                                                                                                                         
Notă: Rezultatul actual este mai mare decît ţinta prestabilită în acordul de Grant pentru perioada raportată (9,5 la 100 mii), fiind constatată o creștere cu 11,4% în comparație cu anul 2013 (11,22 la 100 K/ abs. 456). Totuși, rata mortalității cauzate de TB în 2014 ne indică o tendință de descreștere - cu 13,6%,  în comparație cu anul 2012 (14,4 la 100 K/ abs. 588), și cu 22,7%, în comparație cu anul 2011 (16,10 la 100 K/ abs. 657).       </v>
      </c>
      <c r="E29" s="899"/>
      <c r="F29" s="899"/>
      <c r="G29" s="900"/>
      <c r="H29" s="549"/>
      <c r="I29" s="901"/>
      <c r="J29" s="902"/>
      <c r="K29" s="902"/>
      <c r="L29" s="902"/>
      <c r="M29" s="902"/>
      <c r="N29" s="903"/>
      <c r="O29" s="34"/>
    </row>
    <row r="30" spans="1:20" ht="120.75" customHeight="1">
      <c r="A30" s="145"/>
      <c r="B30" s="558" t="s">
        <v>245</v>
      </c>
      <c r="C30" s="559"/>
      <c r="D30" s="904" t="str">
        <f>IF(ISBLANK(Programatic!G9),"",(Programatic!G9))</f>
        <v xml:space="preserve">Date finale pentru cohorta MDR-TB 2012: 505 cazuri confirmate de TB MDR (vindecate și cu tratamente încheiate), din 856 incluse în tratment DOTS Plus în 2012, au fost tratate cu succes.                                                                                  
Notă: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v>
      </c>
      <c r="E30" s="893"/>
      <c r="F30" s="893"/>
      <c r="G30" s="894"/>
      <c r="H30" s="549"/>
      <c r="I30" s="889"/>
      <c r="J30" s="890"/>
      <c r="K30" s="890"/>
      <c r="L30" s="890"/>
      <c r="M30" s="890"/>
      <c r="N30" s="891"/>
      <c r="O30" s="34"/>
    </row>
    <row r="31" spans="1:20" ht="127.5" customHeight="1">
      <c r="A31" s="145"/>
      <c r="B31" s="558" t="s">
        <v>246</v>
      </c>
      <c r="C31" s="559"/>
      <c r="D31" s="904" t="str">
        <f>IF(ISBLANK(Programatic!M9),"",(Programatic!M9))</f>
        <v xml:space="preserve">Date finale pentru anul 2014: 417 cazuri noi TB cu cultura pozitivă, testate la DST pentru preparatele de linia I, din 1,508 investigate în 2014, au fost diagnosticate cu MDR.                                                                                                                         
Notă 1: Nu se constată schimbări esențiale în evoluția prevalenței MDR-TB printre cazurile noi TB. Datele indicatorului continuă să fie înalte: 23,7% în 2012, 25,53% în 2013 și 27,7% în 2014.
Notă 2: Nivelul înalt al rezistenţei diagnosticate poate fi explicat prin răspîndirea rezistenţei la medicamentele antituberculoase în populaţie pe parcursul ultimilor 10 ani şi ameliorarea diagnosticării acesteia prin introducerea metodelor moderne rapide de diagnostic. </v>
      </c>
      <c r="E31" s="893"/>
      <c r="F31" s="893"/>
      <c r="G31" s="894"/>
      <c r="H31" s="549"/>
      <c r="I31" s="889"/>
      <c r="J31" s="890"/>
      <c r="K31" s="890"/>
      <c r="L31" s="890"/>
      <c r="M31" s="890"/>
      <c r="N31" s="891"/>
      <c r="O31" s="34"/>
    </row>
    <row r="32" spans="1:20" ht="83.25" hidden="1" customHeight="1">
      <c r="A32" s="145"/>
      <c r="B32" s="560" t="s">
        <v>62</v>
      </c>
      <c r="C32" s="559"/>
      <c r="D32" s="892" t="str">
        <f>IF(ISBLANK(Programatic!L20),"",(Programatic!L20))</f>
        <v xml:space="preserve">Date finale pentru anul 2014: 508 persoane au decedat în anul 2014 (12.5 decese cauzate de TB (toate formele) la 100,000 persoane).                                                                                                                                         
Notă: Rezultatul actual este mai mare decît ţinta prestabilită în acordul de Grant pentru perioada raportată (9,5 la 100 mii), fiind constatată o creștere cu 11,4% în comparație cu anul 2013 (11,22 la 100 K/ abs. 456). Totuși, rata mortalității cauzate de TB în 2014 ne indică o tendință de descreștere - cu 13,6%,  în comparație cu anul 2012 (14,4 la 100 K/ abs. 588), și cu 22,7%, în comparație cu anul 2011 (16,10 la 100 K/ abs. 657).       </v>
      </c>
      <c r="E32" s="893"/>
      <c r="F32" s="893"/>
      <c r="G32" s="894"/>
      <c r="H32" s="549"/>
      <c r="I32" s="889"/>
      <c r="J32" s="890"/>
      <c r="K32" s="890"/>
      <c r="L32" s="890"/>
      <c r="M32" s="890"/>
      <c r="N32" s="891"/>
      <c r="O32" s="34"/>
    </row>
    <row r="33" spans="1:15" ht="90.75" hidden="1" customHeight="1">
      <c r="A33" s="145"/>
      <c r="B33" s="560" t="s">
        <v>63</v>
      </c>
      <c r="C33" s="559"/>
      <c r="D33" s="892" t="str">
        <f>IF(ISBLANK(Programatic!L21),"",(Programatic!L21))</f>
        <v xml:space="preserve">Date finale pentru cohorta MDR-TB 2012: 505 cazuri confirmate de TB MDR (vindecate și cu tratamente încheiate), din 856 incluse în tratment DOTS Plus în 2012, au fost tratate cu succes.                                                                                  
Notă: Datele finale pentru cohorta MDR-TB 2012 ne indică o tendință de creștere a ratei de succes de la 49,3% în 2010 la 54,27% în 2011 și 59% în 2012; o tendință de descreștere a ratei pierderii din supraveghere (de la 27,4% în 2010 la 23,1% în 2011 și 19,97% în 2012); și stabilizarea ratei de eșec (10,3% în 2010, 9,5% în 2011 și 10,16% în 2012).                                                                                                                                                                                                                                                                 </v>
      </c>
      <c r="E33" s="893"/>
      <c r="F33" s="893"/>
      <c r="G33" s="894"/>
      <c r="H33" s="549"/>
      <c r="I33" s="889"/>
      <c r="J33" s="890"/>
      <c r="K33" s="890"/>
      <c r="L33" s="890"/>
      <c r="M33" s="890"/>
      <c r="N33" s="891"/>
      <c r="O33" s="34"/>
    </row>
    <row r="34" spans="1:15" ht="132" hidden="1" customHeight="1">
      <c r="A34" s="145"/>
      <c r="B34" s="560" t="s">
        <v>64</v>
      </c>
      <c r="C34" s="559"/>
      <c r="D34" s="892" t="str">
        <f>IF(ISBLANK(Programatic!L22),"",(Programatic!L22))</f>
        <v xml:space="preserve">Date finale pentru anul 2014: 417 cazuri noi TB cu cultura pozitivă, testate la DST pentru preparatele de linia I, din 1,508 investigate în 2014, au fost diagnosticate cu MDR.                                                                                                                         
Notă 1: Nu se constată schimbări esențiale în evoluția prevalenței MDR-TB printre cazurile noi TB. Datele indicatorului continuă să fie înalte: 23,7% în 2012, 25,53% în 2013 și 27,7% în 2014.
Notă 2: Nivelul înalt al rezistenţei diagnosticate poate fi explicat prin răspîndirea rezistenţei la medicamentele antituberculoase în populaţie pe parcursul ultimilor 10 ani şi ameliorarea diagnosticării acesteia prin introducerea metodelor moderne rapide de diagnostic. </v>
      </c>
      <c r="E34" s="893"/>
      <c r="F34" s="893"/>
      <c r="G34" s="894"/>
      <c r="H34" s="549"/>
      <c r="I34" s="889"/>
      <c r="J34" s="890"/>
      <c r="K34" s="890"/>
      <c r="L34" s="890"/>
      <c r="M34" s="890"/>
      <c r="N34" s="891"/>
      <c r="O34" s="34"/>
    </row>
    <row r="35" spans="1:15" ht="141.75" customHeight="1">
      <c r="A35" s="145"/>
      <c r="B35" s="560" t="s">
        <v>65</v>
      </c>
      <c r="C35" s="561"/>
      <c r="D35" s="892" t="str">
        <f>IF(ISBLANK(Programatic!L23),"",(Programatic!L23))</f>
        <v xml:space="preserve">Date finale pentru anul 2014: 461 cazuri TB cu cultura pozitivă, anterior tratate, testate la DST pentru preparatele de linia I, din 706 investigate în 2014, au fost diagnosticate cu MDR.                                                                                                                                                                 Notă 1: Nu se constată schimbări esențiale în evoluția prevalenței MDR-TB printre cazurile TB anterior tratate. Datele indicatorului continuă să fie înalte: 63,3% în 2011, 62,76% în 2012, 62,38% în 2013, și 65,3% în 2014.                                                                                                                                             Notă 2: Nivelul înalt al rezistenţei diagnosticate poate fi explicat prin răspîndirea rezistenţei la medicamentele antituberculoase în populaţie pe parcursul ultimilor 10 ani şi ameliorarea diagnosticării acesteia prin introducerea metodelor moderne rapide de diagnostic. </v>
      </c>
      <c r="E35" s="893"/>
      <c r="F35" s="893"/>
      <c r="G35" s="894"/>
      <c r="H35" s="549"/>
      <c r="I35" s="889"/>
      <c r="J35" s="890"/>
      <c r="K35" s="890"/>
      <c r="L35" s="890"/>
      <c r="M35" s="890"/>
      <c r="N35" s="891"/>
      <c r="O35" s="34"/>
    </row>
    <row r="36" spans="1:15" ht="229.5" customHeight="1">
      <c r="A36" s="145"/>
      <c r="B36" s="560" t="s">
        <v>72</v>
      </c>
      <c r="C36" s="561"/>
      <c r="D36" s="892" t="str">
        <f>IF(ISBLANK(Programatic!L24),"",(Programatic!L24))</f>
        <v xml:space="preserve">Pe parcursul Q1.2015 - 275 și Q2.2015 - 267 pacienți TB-MDR au fost incluși în tratamentul DOTS Plus.
Notă 1: Conform PF-ului aprobat de TGF, ținta estimată initiala pentru perioada raportată era de 180 pacienți TB-MDR care urmau să fie incluși în tratamentul DOTS Plus, din sursele financiare disponibile ale Grantului. Totuși, este important să menționăm că cea mai mare parte din economiile raportate de PR în perioada a.2013-2014 de implementare a Grantului, a fost bugetată pentru procurarea cantităților adiționale de medicamente de linia a II-a (decizie aprobată de către CCM și Secretariatul TGF), în scopul măririi cohortei TB-MDR cu pînă la 331 pacienți, care urmau să fie incluși în tratamentul DOTS-Plus în Sem.I.2015. În plus, procurarea medicamentelor de linia a II-a pentru 130 pacienți TB-MDR, în anul 2015, este finanțată din sursele Ministerului Sănătății. În contextul celor spuse mai sus, ținta revizuită pentru Sem.I.2015 este de 396 (331 + 130/2) pacienți.                                                                                            Notă 2: În perioada raportată, a fost utilizată practica anterioară de includere în tratamentul DOTS-Plus a unui număr mai mare de pacienți, astfel, înlocuindu-se cazurile de eșec, deces sau abandon înregistrate imediat după inițierea administrării medicamentelor, atunci cînd medicamentele în cauză rămîn a fi încă disponibile.       </v>
      </c>
      <c r="E36" s="893"/>
      <c r="F36" s="893"/>
      <c r="G36" s="894"/>
      <c r="H36" s="549"/>
      <c r="I36" s="889"/>
      <c r="J36" s="890"/>
      <c r="K36" s="890"/>
      <c r="L36" s="890"/>
      <c r="M36" s="890"/>
      <c r="N36" s="891"/>
      <c r="O36" s="34"/>
    </row>
    <row r="37" spans="1:15" ht="114.75" customHeight="1">
      <c r="A37" s="145"/>
      <c r="B37" s="560" t="s">
        <v>73</v>
      </c>
      <c r="C37" s="561"/>
      <c r="D37" s="892" t="str">
        <f>IF(ISBLANK(Programatic!L26),"",(Programatic!L26))</f>
        <v xml:space="preserve">305 pacienți (169 din trimestrul I.2014 și 136 din trimestrul II.2014) din 469 incluși în tratamentul DOTS Plus în semestrul I.2014 au obținut un test de cultură negativ, după 6 luni de tratament DOTS Plus.                                                                                                                                                                                   Notă: Rezultatul acestui indicator nu atinge ținta preconizată pentru perioada raportată cu 7,1%. De asemenea, se constată o descreștere a ratei interimare de succes a tratamentului pentru cohorta Q1-Q2.2014 comparativ cu ratele anuale din 2012 și 2013: cu 5,7% (68,96%) și cu 9,2% ( 71,6%) respectiv.   </v>
      </c>
      <c r="E37" s="893"/>
      <c r="F37" s="893"/>
      <c r="G37" s="894"/>
      <c r="H37" s="549"/>
      <c r="I37" s="889"/>
      <c r="J37" s="890"/>
      <c r="K37" s="890"/>
      <c r="L37" s="890"/>
      <c r="M37" s="890"/>
      <c r="N37" s="891"/>
      <c r="O37" s="34"/>
    </row>
    <row r="38" spans="1:15" ht="111" customHeight="1">
      <c r="A38" s="145"/>
      <c r="B38" s="560" t="s">
        <v>74</v>
      </c>
      <c r="C38" s="561"/>
      <c r="D38" s="892" t="str">
        <f>IF(ISBLANK(Programatic!L27),"",(Programatic!L27))</f>
        <v xml:space="preserve">42 pacienți (25 din trimestrul I.2014 și 17 din trimestrul II.2014) din 469 incluși în tratamentul DOTS Plus în semestrul I.2014, au abandonat tratamentul după 6 luni de tratament DOTS Plus.                                                                                                                                            Notă: Rezultatul interimar de abandon al tratamentului cazurilor MDR-TB pentru cohorta Q1-Q2.2014, înregistrează o mică creștere (cu 7,95%) în comparație cu rata cohortei anului 2013 (8,3%). Totodată, se constată o reducere a ratei de abandon al tratamentului DOTS Plus pentru cohorta Q1-Q2.2014 (cu 25,33%) faţă de rata cohortei anului 2011 (12,0%). </v>
      </c>
      <c r="E38" s="893"/>
      <c r="F38" s="893"/>
      <c r="G38" s="894"/>
      <c r="H38" s="549"/>
      <c r="I38" s="889"/>
      <c r="J38" s="890"/>
      <c r="K38" s="890"/>
      <c r="L38" s="890"/>
      <c r="M38" s="890"/>
      <c r="N38" s="891"/>
      <c r="O38" s="34"/>
    </row>
    <row r="39" spans="1:15" ht="52.5" customHeight="1">
      <c r="A39" s="145"/>
      <c r="B39" s="560" t="s">
        <v>75</v>
      </c>
      <c r="C39" s="561"/>
      <c r="D39" s="892" t="str">
        <f>IF(ISBLANK(Programatic!L28),"",(Programatic!L28))</f>
        <v>În perioada raportată, 3,673 deținuți au fost testați pentru TB la echipamentul radiologic digital mobil MRP, din 3,683 detinuti care necesitau aceasta examinare. Ţinta indicatorului a fost depăţită cu 4,9%.</v>
      </c>
      <c r="E39" s="893"/>
      <c r="F39" s="893"/>
      <c r="G39" s="894"/>
      <c r="H39" s="549"/>
      <c r="I39" s="889"/>
      <c r="J39" s="890"/>
      <c r="K39" s="890"/>
      <c r="L39" s="890"/>
      <c r="M39" s="890"/>
      <c r="N39" s="891"/>
      <c r="O39" s="34"/>
    </row>
    <row r="40" spans="1:15" ht="13.5" customHeight="1">
      <c r="A40" s="145"/>
      <c r="B40" s="349"/>
      <c r="C40" s="199"/>
      <c r="D40" s="892" t="str">
        <f>IF(ISBLANK(Programatic!L29),"",(Programatic!L29))</f>
        <v/>
      </c>
      <c r="E40" s="893"/>
      <c r="F40" s="893"/>
      <c r="G40" s="894"/>
      <c r="H40" s="158"/>
      <c r="I40" s="497"/>
      <c r="J40" s="502"/>
      <c r="K40" s="502"/>
      <c r="L40" s="502"/>
      <c r="M40" s="502"/>
      <c r="N40" s="498"/>
      <c r="O40" s="34"/>
    </row>
    <row r="41" spans="1:15" ht="13.5" customHeight="1" thickBot="1">
      <c r="A41" s="145"/>
      <c r="B41" s="349"/>
      <c r="C41" s="159"/>
      <c r="D41" s="892" t="str">
        <f>IF(ISBLANK(Programatic!L30),"",(Programatic!L30))</f>
        <v/>
      </c>
      <c r="E41" s="893"/>
      <c r="F41" s="893"/>
      <c r="G41" s="894"/>
      <c r="H41" s="158"/>
      <c r="I41" s="503"/>
      <c r="J41" s="504"/>
      <c r="K41" s="504"/>
      <c r="L41" s="504"/>
      <c r="M41" s="504"/>
      <c r="N41" s="505"/>
      <c r="O41" s="34"/>
    </row>
    <row r="42" spans="1:15" ht="14.25">
      <c r="A42" s="145"/>
      <c r="B42" s="160"/>
      <c r="C42" s="160"/>
      <c r="D42" s="161"/>
      <c r="E42" s="145"/>
      <c r="F42" s="160"/>
      <c r="G42" s="160"/>
      <c r="H42" s="145"/>
      <c r="I42" s="162"/>
      <c r="J42" s="145"/>
      <c r="K42" s="163"/>
      <c r="L42" s="163"/>
      <c r="M42" s="163"/>
      <c r="N42" s="163"/>
      <c r="O42" s="34"/>
    </row>
  </sheetData>
  <mergeCells count="62">
    <mergeCell ref="I19:N19"/>
    <mergeCell ref="I24:N24"/>
    <mergeCell ref="I20:N20"/>
    <mergeCell ref="B18:C18"/>
    <mergeCell ref="B10:C10"/>
    <mergeCell ref="D10:G10"/>
    <mergeCell ref="I12:N12"/>
    <mergeCell ref="D12:G12"/>
    <mergeCell ref="I11:N11"/>
    <mergeCell ref="D23:G23"/>
    <mergeCell ref="I18:N18"/>
    <mergeCell ref="D11:G11"/>
    <mergeCell ref="D13:G13"/>
    <mergeCell ref="I13:N13"/>
    <mergeCell ref="D14:G14"/>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36:G36"/>
    <mergeCell ref="D30:G30"/>
    <mergeCell ref="D31:G31"/>
    <mergeCell ref="D33:G33"/>
    <mergeCell ref="D18:G18"/>
    <mergeCell ref="D20:G20"/>
    <mergeCell ref="D19:G19"/>
    <mergeCell ref="D21:G21"/>
    <mergeCell ref="D22:G22"/>
    <mergeCell ref="D41:G41"/>
    <mergeCell ref="I28:N28"/>
    <mergeCell ref="D40:G40"/>
    <mergeCell ref="D34:G34"/>
    <mergeCell ref="D29:G29"/>
    <mergeCell ref="D28:G28"/>
    <mergeCell ref="D35:G35"/>
    <mergeCell ref="D32:G32"/>
    <mergeCell ref="D39:G39"/>
    <mergeCell ref="D38:G38"/>
    <mergeCell ref="I29:N29"/>
    <mergeCell ref="I30:N30"/>
    <mergeCell ref="I31:N31"/>
    <mergeCell ref="I32:N32"/>
    <mergeCell ref="I33:N33"/>
    <mergeCell ref="D37:G37"/>
    <mergeCell ref="I39:N39"/>
    <mergeCell ref="I34:N34"/>
    <mergeCell ref="I35:N35"/>
    <mergeCell ref="I36:N36"/>
    <mergeCell ref="I37:N37"/>
    <mergeCell ref="I38:N38"/>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75"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view="pageBreakPreview" zoomScaleNormal="100" zoomScaleSheetLayoutView="100" workbookViewId="0">
      <selection activeCell="P7" sqref="P7"/>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27" t="str">
        <f>+"Tabel Programatic de Evaluare:  "&amp;"  "&amp;IF(+'Introducerea datelor'!C4="Please Select","",'Introducerea datelor'!C4&amp;" - ")&amp;IF('Introducerea datelor'!G6="Please Select","",'Introducerea datelor'!G6)</f>
        <v>Tabel Programatic de Evaluare:    Moldova - TB</v>
      </c>
      <c r="C2" s="827"/>
      <c r="D2" s="827"/>
      <c r="E2" s="827"/>
      <c r="F2" s="827"/>
      <c r="G2" s="827"/>
      <c r="H2" s="827"/>
      <c r="I2" s="827"/>
      <c r="J2" s="827"/>
      <c r="K2" s="827"/>
      <c r="L2" s="827"/>
    </row>
    <row r="3" spans="1:13">
      <c r="B3" s="23" t="str">
        <f>+IF('Introducerea datelor'!G8="Please Select","",'Introducerea datelor'!G8)</f>
        <v/>
      </c>
      <c r="C3" s="831" t="str">
        <f>+IF('Introducerea datelor'!I8="Please Select","",'Introducerea datelor'!I8)</f>
        <v>Phase 2</v>
      </c>
      <c r="D3" s="831"/>
      <c r="E3" s="825"/>
      <c r="F3" s="825"/>
      <c r="G3" s="825"/>
      <c r="H3" s="825"/>
      <c r="I3" s="825"/>
      <c r="J3" s="830" t="str">
        <f>+'Introducerea datelor'!B16</f>
        <v>Perioada de Raportare:</v>
      </c>
      <c r="K3" s="830"/>
      <c r="L3" s="167" t="str">
        <f>+'Introducerea datelor'!C16</f>
        <v>P5</v>
      </c>
      <c r="M3" s="84"/>
    </row>
    <row r="4" spans="1:13">
      <c r="B4" s="23" t="str">
        <f>+'Introducerea datelor'!B12</f>
        <v>Ultimul Rating:</v>
      </c>
      <c r="C4" s="965" t="str">
        <f>+IF('Introducerea datelor'!C12="Please Select","",'Introducerea datelor'!C12)</f>
        <v>A1</v>
      </c>
      <c r="D4" s="965"/>
      <c r="E4" s="825" t="str">
        <f>+'Introducerea datelor'!C8</f>
        <v>IP UCIMP DS</v>
      </c>
      <c r="F4" s="825"/>
      <c r="G4" s="825"/>
      <c r="H4" s="825"/>
      <c r="I4" s="825"/>
      <c r="J4" s="830" t="str">
        <f>+'Introducerea datelor'!D16</f>
        <v>De la:</v>
      </c>
      <c r="K4" s="832"/>
      <c r="L4" s="168">
        <f>+IF(ISBLANK('Introducerea datelor'!E16),"",'Introducerea datelor'!E16)</f>
        <v>42005</v>
      </c>
    </row>
    <row r="5" spans="1:13" ht="18.75" customHeight="1">
      <c r="B5" s="23"/>
      <c r="C5" s="23"/>
      <c r="D5" s="825" t="str">
        <f>+'Introducerea datelor'!G4</f>
        <v>Consolidarea controlului Tuberculozei în Republica Moldova</v>
      </c>
      <c r="E5" s="825"/>
      <c r="F5" s="825"/>
      <c r="G5" s="825"/>
      <c r="H5" s="825"/>
      <c r="I5" s="825"/>
      <c r="J5" s="825"/>
      <c r="K5" s="23" t="str">
        <f>+'Introducerea datelor'!F16</f>
        <v>Pînă la:</v>
      </c>
      <c r="L5" s="168">
        <f>+IF(ISBLANK('Introducerea datelor'!G16),"",'Introducerea datelor'!G16)</f>
        <v>42185</v>
      </c>
    </row>
    <row r="6" spans="1:13" ht="18.75">
      <c r="B6" s="22"/>
      <c r="C6" s="23"/>
      <c r="D6" s="24"/>
      <c r="E6" s="829" t="s">
        <v>410</v>
      </c>
      <c r="F6" s="829"/>
      <c r="G6" s="829"/>
      <c r="H6" s="829"/>
      <c r="I6" s="829"/>
    </row>
    <row r="7" spans="1:13" ht="18.75">
      <c r="E7" s="71"/>
      <c r="F7" s="71"/>
      <c r="G7" s="71"/>
      <c r="H7" s="71"/>
      <c r="I7" s="71"/>
    </row>
    <row r="8" spans="1:13" s="32" customFormat="1" ht="21" customHeight="1" thickBot="1">
      <c r="B8" s="75" t="s">
        <v>411</v>
      </c>
      <c r="C8" s="75"/>
      <c r="D8" s="75"/>
      <c r="E8" s="75"/>
      <c r="F8" s="75"/>
      <c r="G8" s="75"/>
      <c r="H8" s="75"/>
      <c r="I8" s="75"/>
      <c r="J8" s="75"/>
      <c r="K8" s="75"/>
      <c r="L8" s="75"/>
    </row>
    <row r="9" spans="1:13" ht="6" customHeight="1">
      <c r="B9" s="73"/>
    </row>
    <row r="10" spans="1:13" ht="19.5" customHeight="1">
      <c r="B10" s="947"/>
      <c r="C10" s="948"/>
      <c r="D10" s="948"/>
      <c r="E10" s="948"/>
      <c r="F10" s="948"/>
      <c r="G10" s="948"/>
      <c r="H10" s="948"/>
      <c r="I10" s="948"/>
      <c r="J10" s="948"/>
      <c r="K10" s="948"/>
      <c r="L10" s="949"/>
    </row>
    <row r="11" spans="1:13" ht="18" customHeight="1">
      <c r="B11" s="950"/>
      <c r="C11" s="951"/>
      <c r="D11" s="951"/>
      <c r="E11" s="951"/>
      <c r="F11" s="951"/>
      <c r="G11" s="951"/>
      <c r="H11" s="951"/>
      <c r="I11" s="951"/>
      <c r="J11" s="951"/>
      <c r="K11" s="951"/>
      <c r="L11" s="952"/>
    </row>
    <row r="12" spans="1:13" ht="15.75" thickBot="1"/>
    <row r="13" spans="1:13" ht="26.25" customHeight="1" thickBot="1">
      <c r="B13" s="961" t="s">
        <v>475</v>
      </c>
      <c r="C13" s="962"/>
      <c r="D13" s="962"/>
      <c r="E13" s="963"/>
      <c r="F13" s="76"/>
      <c r="G13" s="955" t="s">
        <v>412</v>
      </c>
      <c r="H13" s="953"/>
      <c r="I13" s="953"/>
      <c r="J13" s="77" t="s">
        <v>413</v>
      </c>
      <c r="K13" s="953" t="s">
        <v>414</v>
      </c>
      <c r="L13" s="954"/>
    </row>
    <row r="14" spans="1:13" ht="39.75" customHeight="1">
      <c r="A14" s="972" t="s">
        <v>415</v>
      </c>
      <c r="B14" s="986"/>
      <c r="C14" s="987"/>
      <c r="D14" s="987"/>
      <c r="E14" s="988"/>
      <c r="F14" s="45"/>
      <c r="G14" s="985"/>
      <c r="H14" s="966"/>
      <c r="I14" s="966"/>
      <c r="J14" s="966"/>
      <c r="K14" s="966"/>
      <c r="L14" s="967"/>
    </row>
    <row r="15" spans="1:13" ht="39.75" customHeight="1">
      <c r="A15" s="973"/>
      <c r="B15" s="978"/>
      <c r="C15" s="979"/>
      <c r="D15" s="979"/>
      <c r="E15" s="980"/>
      <c r="F15" s="45"/>
      <c r="G15" s="956"/>
      <c r="H15" s="957"/>
      <c r="I15" s="957"/>
      <c r="J15" s="957"/>
      <c r="K15" s="957"/>
      <c r="L15" s="968"/>
    </row>
    <row r="16" spans="1:13" ht="45" customHeight="1">
      <c r="A16" s="973"/>
      <c r="B16" s="975"/>
      <c r="C16" s="976"/>
      <c r="D16" s="976"/>
      <c r="E16" s="977"/>
      <c r="F16" s="45"/>
      <c r="G16" s="956"/>
      <c r="H16" s="957"/>
      <c r="I16" s="957"/>
      <c r="J16" s="957"/>
      <c r="K16" s="957"/>
      <c r="L16" s="968"/>
    </row>
    <row r="17" spans="1:12" ht="33" customHeight="1">
      <c r="A17" s="973"/>
      <c r="B17" s="978"/>
      <c r="C17" s="979"/>
      <c r="D17" s="979"/>
      <c r="E17" s="980"/>
      <c r="F17" s="45"/>
      <c r="G17" s="956"/>
      <c r="H17" s="957"/>
      <c r="I17" s="957"/>
      <c r="J17" s="957"/>
      <c r="K17" s="957"/>
      <c r="L17" s="968"/>
    </row>
    <row r="18" spans="1:12" ht="26.25" customHeight="1">
      <c r="A18" s="973"/>
      <c r="B18" s="975"/>
      <c r="C18" s="976"/>
      <c r="D18" s="976"/>
      <c r="E18" s="977"/>
      <c r="F18" s="45"/>
      <c r="G18" s="990"/>
      <c r="H18" s="991"/>
      <c r="I18" s="992"/>
      <c r="J18" s="957"/>
      <c r="K18" s="957"/>
      <c r="L18" s="968"/>
    </row>
    <row r="19" spans="1:12" ht="28.5" customHeight="1">
      <c r="A19" s="973"/>
      <c r="B19" s="978"/>
      <c r="C19" s="979"/>
      <c r="D19" s="979"/>
      <c r="E19" s="980"/>
      <c r="F19" s="45"/>
      <c r="G19" s="993"/>
      <c r="H19" s="994"/>
      <c r="I19" s="995"/>
      <c r="J19" s="957"/>
      <c r="K19" s="957"/>
      <c r="L19" s="968"/>
    </row>
    <row r="20" spans="1:12">
      <c r="A20" s="973"/>
      <c r="B20" s="981"/>
      <c r="C20" s="981"/>
      <c r="D20" s="981"/>
      <c r="E20" s="982"/>
      <c r="F20" s="45"/>
      <c r="G20" s="956"/>
      <c r="H20" s="957"/>
      <c r="I20" s="957"/>
      <c r="J20" s="957"/>
      <c r="K20" s="957"/>
      <c r="L20" s="968"/>
    </row>
    <row r="21" spans="1:12">
      <c r="A21" s="973"/>
      <c r="B21" s="981"/>
      <c r="C21" s="981"/>
      <c r="D21" s="981"/>
      <c r="E21" s="982"/>
      <c r="F21" s="45"/>
      <c r="G21" s="956"/>
      <c r="H21" s="957"/>
      <c r="I21" s="957"/>
      <c r="J21" s="957"/>
      <c r="K21" s="957"/>
      <c r="L21" s="968"/>
    </row>
    <row r="22" spans="1:12">
      <c r="A22" s="973"/>
      <c r="B22" s="981"/>
      <c r="C22" s="981"/>
      <c r="D22" s="981"/>
      <c r="E22" s="982"/>
      <c r="F22" s="45"/>
      <c r="G22" s="956"/>
      <c r="H22" s="957"/>
      <c r="I22" s="957"/>
      <c r="J22" s="957"/>
      <c r="K22" s="957"/>
      <c r="L22" s="968"/>
    </row>
    <row r="23" spans="1:12">
      <c r="A23" s="973"/>
      <c r="B23" s="981"/>
      <c r="C23" s="981"/>
      <c r="D23" s="981"/>
      <c r="E23" s="982"/>
      <c r="F23" s="45"/>
      <c r="G23" s="956"/>
      <c r="H23" s="957"/>
      <c r="I23" s="957"/>
      <c r="J23" s="957"/>
      <c r="K23" s="957"/>
      <c r="L23" s="968"/>
    </row>
    <row r="24" spans="1:12">
      <c r="A24" s="973"/>
      <c r="B24" s="981"/>
      <c r="C24" s="981"/>
      <c r="D24" s="981"/>
      <c r="E24" s="982"/>
      <c r="F24" s="45"/>
      <c r="G24" s="956"/>
      <c r="H24" s="957"/>
      <c r="I24" s="957"/>
      <c r="J24" s="957"/>
      <c r="K24" s="957"/>
      <c r="L24" s="968"/>
    </row>
    <row r="25" spans="1:12" ht="15.75" thickBot="1">
      <c r="A25" s="974"/>
      <c r="B25" s="983"/>
      <c r="C25" s="983"/>
      <c r="D25" s="983"/>
      <c r="E25" s="984"/>
      <c r="F25" s="45"/>
      <c r="G25" s="958"/>
      <c r="H25" s="959"/>
      <c r="I25" s="959"/>
      <c r="J25" s="959"/>
      <c r="K25" s="959"/>
      <c r="L25" s="996"/>
    </row>
    <row r="27" spans="1:12" ht="18.75">
      <c r="E27" s="960" t="s">
        <v>416</v>
      </c>
      <c r="F27" s="960"/>
      <c r="G27" s="960"/>
      <c r="H27" s="960"/>
      <c r="I27" s="960"/>
    </row>
    <row r="28" spans="1:12" ht="6" customHeight="1">
      <c r="E28" s="71"/>
      <c r="F28" s="71"/>
      <c r="G28" s="71"/>
      <c r="H28" s="71"/>
      <c r="I28" s="71"/>
    </row>
    <row r="29" spans="1:12" s="32" customFormat="1" ht="21" customHeight="1" thickBot="1">
      <c r="B29" s="75" t="s">
        <v>417</v>
      </c>
      <c r="C29" s="75"/>
      <c r="D29" s="75"/>
      <c r="E29" s="75"/>
      <c r="F29" s="75"/>
      <c r="G29" s="75"/>
      <c r="H29" s="75"/>
      <c r="I29" s="75"/>
      <c r="J29" s="75"/>
      <c r="K29" s="75"/>
      <c r="L29" s="75"/>
    </row>
    <row r="30" spans="1:12" ht="6" customHeight="1" thickBot="1">
      <c r="B30" s="73"/>
    </row>
    <row r="31" spans="1:12" ht="38.25" customHeight="1" thickBot="1">
      <c r="B31" s="961" t="s">
        <v>412</v>
      </c>
      <c r="C31" s="962"/>
      <c r="D31" s="962"/>
      <c r="E31" s="963"/>
      <c r="F31" s="76"/>
      <c r="G31" s="955" t="s">
        <v>418</v>
      </c>
      <c r="H31" s="953"/>
      <c r="I31" s="953"/>
      <c r="J31" s="77" t="s">
        <v>419</v>
      </c>
      <c r="K31" s="953" t="s">
        <v>414</v>
      </c>
      <c r="L31" s="954"/>
    </row>
    <row r="32" spans="1:12" ht="24" customHeight="1">
      <c r="A32" s="972" t="s">
        <v>420</v>
      </c>
      <c r="B32" s="1007"/>
      <c r="C32" s="1008"/>
      <c r="D32" s="1008"/>
      <c r="E32" s="1009"/>
      <c r="F32" s="45"/>
      <c r="G32" s="969"/>
      <c r="H32" s="970"/>
      <c r="I32" s="970"/>
      <c r="J32" s="970"/>
      <c r="K32" s="970"/>
      <c r="L32" s="999"/>
    </row>
    <row r="33" spans="1:12" ht="26.25" customHeight="1">
      <c r="A33" s="973"/>
      <c r="B33" s="993"/>
      <c r="C33" s="994"/>
      <c r="D33" s="994"/>
      <c r="E33" s="1010"/>
      <c r="F33" s="45"/>
      <c r="G33" s="971"/>
      <c r="H33" s="964"/>
      <c r="I33" s="964"/>
      <c r="J33" s="964"/>
      <c r="K33" s="964"/>
      <c r="L33" s="997"/>
    </row>
    <row r="34" spans="1:12">
      <c r="A34" s="973"/>
      <c r="B34" s="1000" t="str">
        <f>IF(Recomandari!I43="","",Recomandari!I43)</f>
        <v/>
      </c>
      <c r="C34" s="1001"/>
      <c r="D34" s="1001"/>
      <c r="E34" s="1002"/>
      <c r="F34" s="45"/>
      <c r="G34" s="971"/>
      <c r="H34" s="964"/>
      <c r="I34" s="964"/>
      <c r="J34" s="964"/>
      <c r="K34" s="964"/>
      <c r="L34" s="997"/>
    </row>
    <row r="35" spans="1:12" ht="20.25" customHeight="1">
      <c r="A35" s="973"/>
      <c r="B35" s="1000"/>
      <c r="C35" s="1001"/>
      <c r="D35" s="1001"/>
      <c r="E35" s="1002"/>
      <c r="F35" s="45"/>
      <c r="G35" s="971"/>
      <c r="H35" s="964"/>
      <c r="I35" s="964"/>
      <c r="J35" s="964"/>
      <c r="K35" s="964"/>
      <c r="L35" s="997"/>
    </row>
    <row r="36" spans="1:12" ht="21.75" customHeight="1">
      <c r="A36" s="973"/>
      <c r="B36" s="1000" t="str">
        <f>+IF(Recomandari!I53="","",Recomandari!I53)</f>
        <v/>
      </c>
      <c r="C36" s="1001"/>
      <c r="D36" s="1001"/>
      <c r="E36" s="1002"/>
      <c r="F36" s="45"/>
      <c r="G36" s="971"/>
      <c r="H36" s="964"/>
      <c r="I36" s="964"/>
      <c r="J36" s="964"/>
      <c r="K36" s="964"/>
      <c r="L36" s="997"/>
    </row>
    <row r="37" spans="1:12" ht="21" customHeight="1">
      <c r="A37" s="973"/>
      <c r="B37" s="1000"/>
      <c r="C37" s="1001"/>
      <c r="D37" s="1001"/>
      <c r="E37" s="1002"/>
      <c r="F37" s="45"/>
      <c r="G37" s="971"/>
      <c r="H37" s="964"/>
      <c r="I37" s="964"/>
      <c r="J37" s="964"/>
      <c r="K37" s="964"/>
      <c r="L37" s="997"/>
    </row>
    <row r="38" spans="1:12" ht="21" customHeight="1">
      <c r="A38" s="973"/>
      <c r="B38" s="1000"/>
      <c r="C38" s="1001"/>
      <c r="D38" s="1001"/>
      <c r="E38" s="1002"/>
      <c r="F38" s="45"/>
      <c r="G38" s="971"/>
      <c r="H38" s="964"/>
      <c r="I38" s="964"/>
      <c r="J38" s="964"/>
      <c r="K38" s="964"/>
      <c r="L38" s="997"/>
    </row>
    <row r="39" spans="1:12" ht="21" customHeight="1">
      <c r="A39" s="973"/>
      <c r="B39" s="1000"/>
      <c r="C39" s="1001"/>
      <c r="D39" s="1001"/>
      <c r="E39" s="1002"/>
      <c r="F39" s="45"/>
      <c r="G39" s="971"/>
      <c r="H39" s="964"/>
      <c r="I39" s="964"/>
      <c r="J39" s="964"/>
      <c r="K39" s="964"/>
      <c r="L39" s="997"/>
    </row>
    <row r="40" spans="1:12">
      <c r="A40" s="973"/>
      <c r="B40" s="1000"/>
      <c r="C40" s="1001"/>
      <c r="D40" s="1001"/>
      <c r="E40" s="1002"/>
      <c r="F40" s="45"/>
      <c r="G40" s="971"/>
      <c r="H40" s="964"/>
      <c r="I40" s="964"/>
      <c r="J40" s="964"/>
      <c r="K40" s="964"/>
      <c r="L40" s="997"/>
    </row>
    <row r="41" spans="1:12">
      <c r="A41" s="973"/>
      <c r="B41" s="1000"/>
      <c r="C41" s="1001"/>
      <c r="D41" s="1001"/>
      <c r="E41" s="1002"/>
      <c r="F41" s="45"/>
      <c r="G41" s="971"/>
      <c r="H41" s="964"/>
      <c r="I41" s="964"/>
      <c r="J41" s="964"/>
      <c r="K41" s="964"/>
      <c r="L41" s="997"/>
    </row>
    <row r="42" spans="1:12">
      <c r="A42" s="973"/>
      <c r="B42" s="1000"/>
      <c r="C42" s="1001"/>
      <c r="D42" s="1001"/>
      <c r="E42" s="1002"/>
      <c r="F42" s="45"/>
      <c r="G42" s="971"/>
      <c r="H42" s="964"/>
      <c r="I42" s="964"/>
      <c r="J42" s="964"/>
      <c r="K42" s="964"/>
      <c r="L42" s="997"/>
    </row>
    <row r="43" spans="1:12" ht="15.75" thickBot="1">
      <c r="A43" s="974"/>
      <c r="B43" s="1003"/>
      <c r="C43" s="1004"/>
      <c r="D43" s="1004"/>
      <c r="E43" s="1005"/>
      <c r="F43" s="45"/>
      <c r="G43" s="1006"/>
      <c r="H43" s="989"/>
      <c r="I43" s="989"/>
      <c r="J43" s="989"/>
      <c r="K43" s="989"/>
      <c r="L43" s="998"/>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2"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Victor Burinschi</cp:lastModifiedBy>
  <cp:lastPrinted>2015-04-21T07:45:15Z</cp:lastPrinted>
  <dcterms:created xsi:type="dcterms:W3CDTF">2011-10-24T05:51:11Z</dcterms:created>
  <dcterms:modified xsi:type="dcterms:W3CDTF">2015-11-16T11:40:06Z</dcterms:modified>
</cp:coreProperties>
</file>