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Communication CCM\3. CNE\Rapoarte SITE\UCIMP\Dashboard\"/>
    </mc:Choice>
  </mc:AlternateContent>
  <bookViews>
    <workbookView xWindow="0" yWindow="0" windowWidth="28800" windowHeight="11835" tabRatio="721" activeTab="5"/>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Sheet1" sheetId="46"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5">Financiar!$A$2:$K$33</definedName>
    <definedName name="_xlnm.Print_Area" localSheetId="2">'Introducerea datelor'!$A$1:$O$146</definedName>
    <definedName name="_xlnm.Print_Area" localSheetId="4">Management!$A$2:$L$34</definedName>
    <definedName name="_xlnm.Print_Area" localSheetId="6">Programatic!$A$1:$Q$30</definedName>
    <definedName name="PrintA">Actiuni!$A$2:$L$34</definedName>
    <definedName name="PrintDataF">'Introducerea datelor'!$B$25:$J$64</definedName>
    <definedName name="PrintDataM">'Introducerea datelor'!$B$66:$H$110</definedName>
    <definedName name="PrintF">Financiar!$A$2:$K$31</definedName>
    <definedName name="PrintGD">'Detail despre Grant'!$A$2:$J$13</definedName>
    <definedName name="PrintM" localSheetId="8">Actiuni!$A$2:$L$6</definedName>
    <definedName name="PrintM">Management!$A$2:$L$36</definedName>
    <definedName name="PrintP">Programatic!$A$2:$P$31</definedName>
    <definedName name="PrintR">Recomandari!$A$2:$N$41</definedName>
    <definedName name="Rating">Setup!$G$9:$G$14</definedName>
    <definedName name="Round">Setup!$D$9:$D$21</definedName>
  </definedNames>
  <calcPr calcId="152511"/>
</workbook>
</file>

<file path=xl/calcChain.xml><?xml version="1.0" encoding="utf-8"?>
<calcChain xmlns="http://schemas.openxmlformats.org/spreadsheetml/2006/main">
  <c r="C46" i="29" l="1"/>
  <c r="D46" i="29"/>
  <c r="O31" i="29" l="1"/>
  <c r="D42" i="42" l="1"/>
  <c r="D41" i="42"/>
  <c r="D40" i="42"/>
  <c r="D99" i="29" l="1"/>
  <c r="E99" i="29" s="1"/>
  <c r="F99" i="29" s="1"/>
  <c r="G99" i="29" s="1"/>
  <c r="H99" i="29" s="1"/>
  <c r="I99" i="29" s="1"/>
  <c r="J99" i="29" s="1"/>
  <c r="K99" i="29" s="1"/>
  <c r="L99" i="29" s="1"/>
  <c r="M99" i="29" s="1"/>
  <c r="N99" i="29" s="1"/>
  <c r="D98" i="29"/>
  <c r="E98" i="29" s="1"/>
  <c r="F98" i="29" s="1"/>
  <c r="G98" i="29" s="1"/>
  <c r="H98" i="29" s="1"/>
  <c r="I98" i="29" s="1"/>
  <c r="J98" i="29" s="1"/>
  <c r="K98" i="29" s="1"/>
  <c r="L98" i="29" s="1"/>
  <c r="M98" i="29" s="1"/>
  <c r="N98" i="29" s="1"/>
  <c r="D97" i="29"/>
  <c r="E97" i="29" s="1"/>
  <c r="F97" i="29" s="1"/>
  <c r="G97" i="29" s="1"/>
  <c r="H97" i="29" s="1"/>
  <c r="I97" i="29" s="1"/>
  <c r="J97" i="29" s="1"/>
  <c r="K97" i="29" s="1"/>
  <c r="L97" i="29" s="1"/>
  <c r="M97" i="29" s="1"/>
  <c r="N97" i="29" s="1"/>
  <c r="E51" i="29"/>
  <c r="E54" i="29"/>
  <c r="E53" i="29"/>
  <c r="E52" i="29"/>
  <c r="D33" i="29"/>
  <c r="E33" i="29" s="1"/>
  <c r="F33" i="29" s="1"/>
  <c r="N34" i="29"/>
  <c r="M34" i="29"/>
  <c r="L34" i="29"/>
  <c r="K34" i="29"/>
  <c r="J34" i="29"/>
  <c r="I34" i="29"/>
  <c r="H34" i="29"/>
  <c r="G34" i="29"/>
  <c r="D34" i="29"/>
  <c r="E34" i="29" s="1"/>
  <c r="F34" i="29" s="1"/>
  <c r="N33" i="29"/>
  <c r="M33" i="29"/>
  <c r="L33" i="29"/>
  <c r="K33" i="29"/>
  <c r="J33" i="29"/>
  <c r="I33" i="29"/>
  <c r="H33" i="29"/>
  <c r="G33" i="29"/>
  <c r="E78" i="29" l="1"/>
  <c r="L20" i="37" l="1"/>
  <c r="F30" i="37"/>
  <c r="E30" i="37"/>
  <c r="F29" i="37"/>
  <c r="E29" i="37"/>
  <c r="F28" i="37"/>
  <c r="E28" i="37"/>
  <c r="E27" i="37"/>
  <c r="B30" i="37"/>
  <c r="B29" i="37"/>
  <c r="B28" i="37"/>
  <c r="B27" i="37"/>
  <c r="E25" i="37"/>
  <c r="F27" i="37"/>
  <c r="F26" i="37"/>
  <c r="E26" i="37"/>
  <c r="F25" i="37"/>
  <c r="F24" i="37"/>
  <c r="E24" i="37"/>
  <c r="F23" i="37"/>
  <c r="E23" i="37"/>
  <c r="F22" i="37"/>
  <c r="E22" i="37"/>
  <c r="F21" i="37"/>
  <c r="E21" i="37"/>
  <c r="F20" i="37"/>
  <c r="E20" i="37"/>
  <c r="G25" i="37" l="1"/>
  <c r="G22" i="37"/>
  <c r="G21" i="37"/>
  <c r="G26" i="37"/>
  <c r="G23" i="37"/>
  <c r="G20" i="37"/>
  <c r="G30" i="37"/>
  <c r="G29" i="37"/>
  <c r="H144" i="29" l="1"/>
  <c r="H143" i="29"/>
  <c r="H142" i="29"/>
  <c r="H141" i="29"/>
  <c r="D30" i="42" l="1"/>
  <c r="L22" i="37" l="1"/>
  <c r="L21" i="37"/>
  <c r="D37" i="42" l="1"/>
  <c r="R30" i="29" l="1"/>
  <c r="B26" i="37"/>
  <c r="B25" i="37"/>
  <c r="B24" i="37"/>
  <c r="B23" i="37"/>
  <c r="Q143" i="29"/>
  <c r="R143" i="29"/>
  <c r="Q144" i="29"/>
  <c r="R144" i="29"/>
  <c r="M143" i="29"/>
  <c r="N143" i="29"/>
  <c r="O143" i="29"/>
  <c r="P143" i="29"/>
  <c r="M144" i="29"/>
  <c r="N144" i="29"/>
  <c r="O144" i="29"/>
  <c r="P144" i="29"/>
  <c r="M8" i="37"/>
  <c r="B2" i="39"/>
  <c r="B2" i="42"/>
  <c r="B20" i="37"/>
  <c r="B2" i="37"/>
  <c r="B2" i="35"/>
  <c r="B2" i="30"/>
  <c r="B2" i="45"/>
  <c r="B3" i="27"/>
  <c r="B2" i="1" s="1"/>
  <c r="I9" i="27"/>
  <c r="E50" i="29"/>
  <c r="C38" i="29"/>
  <c r="D38" i="29"/>
  <c r="B32" i="29"/>
  <c r="B31" i="29"/>
  <c r="D29" i="42"/>
  <c r="B22" i="45"/>
  <c r="K5" i="30"/>
  <c r="K4" i="30"/>
  <c r="L5" i="35"/>
  <c r="L4" i="35"/>
  <c r="Q5" i="37"/>
  <c r="Q4" i="37"/>
  <c r="M5" i="42"/>
  <c r="M4" i="42"/>
  <c r="L5" i="39"/>
  <c r="L4" i="39"/>
  <c r="C4" i="39"/>
  <c r="C3" i="39"/>
  <c r="B3" i="39"/>
  <c r="C4" i="42"/>
  <c r="C3" i="42"/>
  <c r="B3" i="42"/>
  <c r="C4" i="37"/>
  <c r="C3" i="37"/>
  <c r="B3" i="37"/>
  <c r="C4" i="35"/>
  <c r="C3" i="35"/>
  <c r="B3" i="35"/>
  <c r="C4" i="30"/>
  <c r="C3" i="30"/>
  <c r="B3" i="30"/>
  <c r="G9" i="27"/>
  <c r="G13" i="27"/>
  <c r="G11" i="27"/>
  <c r="D11" i="27"/>
  <c r="B12" i="27"/>
  <c r="I11" i="27"/>
  <c r="D10" i="27"/>
  <c r="B10" i="27"/>
  <c r="B9" i="27"/>
  <c r="B6" i="27"/>
  <c r="B4" i="1"/>
  <c r="E89" i="29"/>
  <c r="E88" i="29"/>
  <c r="D11" i="42"/>
  <c r="J3" i="35"/>
  <c r="L3" i="35"/>
  <c r="H15" i="35" s="1"/>
  <c r="I3" i="30"/>
  <c r="K3" i="30"/>
  <c r="H22" i="30" s="1"/>
  <c r="D33" i="42"/>
  <c r="D34" i="42"/>
  <c r="D35" i="42"/>
  <c r="D36" i="42"/>
  <c r="D38" i="42"/>
  <c r="D39" i="42"/>
  <c r="D32" i="42"/>
  <c r="D31" i="42"/>
  <c r="E108" i="29"/>
  <c r="G108" i="29" s="1"/>
  <c r="I108" i="29" s="1"/>
  <c r="E107" i="29"/>
  <c r="G107" i="29" s="1"/>
  <c r="I107" i="29" s="1"/>
  <c r="E109" i="29"/>
  <c r="G109" i="29" s="1"/>
  <c r="I109" i="29" s="1"/>
  <c r="E110" i="29"/>
  <c r="G110" i="29" s="1"/>
  <c r="I110" i="29" s="1"/>
  <c r="K30" i="35"/>
  <c r="K31" i="35"/>
  <c r="K32" i="35"/>
  <c r="K33" i="35"/>
  <c r="M142" i="29"/>
  <c r="N142" i="29"/>
  <c r="O142" i="29"/>
  <c r="P142" i="29"/>
  <c r="Q142" i="29"/>
  <c r="R142" i="29"/>
  <c r="S142" i="29"/>
  <c r="S143" i="29"/>
  <c r="S144" i="29"/>
  <c r="M145" i="29"/>
  <c r="N145" i="29"/>
  <c r="O145" i="29"/>
  <c r="P145" i="29"/>
  <c r="Q145" i="29"/>
  <c r="R145" i="29"/>
  <c r="S145" i="29"/>
  <c r="M146" i="29"/>
  <c r="N146" i="29"/>
  <c r="O146" i="29"/>
  <c r="P146" i="29"/>
  <c r="Q146" i="29"/>
  <c r="R146" i="29"/>
  <c r="S146" i="29"/>
  <c r="M141" i="29"/>
  <c r="N141" i="29"/>
  <c r="O141" i="29"/>
  <c r="P141" i="29"/>
  <c r="Q141" i="29"/>
  <c r="R141" i="29"/>
  <c r="S141" i="29"/>
  <c r="F143" i="29"/>
  <c r="F145" i="29"/>
  <c r="F141" i="29"/>
  <c r="E143" i="29"/>
  <c r="E145" i="29"/>
  <c r="E141" i="29"/>
  <c r="B143" i="29"/>
  <c r="B145" i="29"/>
  <c r="B141" i="29"/>
  <c r="N35" i="29"/>
  <c r="H29" i="30"/>
  <c r="H28" i="30"/>
  <c r="H27" i="30"/>
  <c r="D24" i="42"/>
  <c r="D23" i="42"/>
  <c r="D22" i="42"/>
  <c r="D21" i="42"/>
  <c r="D20" i="42"/>
  <c r="D19" i="42"/>
  <c r="D14" i="42"/>
  <c r="D13" i="42"/>
  <c r="D12" i="42"/>
  <c r="B25" i="45"/>
  <c r="B23" i="45"/>
  <c r="B21" i="45"/>
  <c r="B20" i="45"/>
  <c r="B19" i="45"/>
  <c r="B11" i="45"/>
  <c r="B10" i="45"/>
  <c r="B9" i="45"/>
  <c r="B8" i="45"/>
  <c r="B4" i="37"/>
  <c r="B4" i="35"/>
  <c r="B4" i="30"/>
  <c r="G72" i="29"/>
  <c r="F20" i="42" s="1"/>
  <c r="G12" i="27"/>
  <c r="H4" i="1"/>
  <c r="G71"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D5" i="35"/>
  <c r="E4" i="35"/>
  <c r="K5" i="35"/>
  <c r="J4" i="35"/>
  <c r="D5" i="37"/>
  <c r="P5" i="37"/>
  <c r="P4" i="37"/>
  <c r="N3" i="37"/>
  <c r="J5" i="30"/>
  <c r="D5" i="30"/>
  <c r="I4" i="30"/>
  <c r="E4" i="30"/>
  <c r="G8" i="37"/>
  <c r="C8" i="37"/>
  <c r="H146" i="29"/>
  <c r="H145" i="29"/>
  <c r="S140" i="29"/>
  <c r="R140" i="29"/>
  <c r="Q140" i="29"/>
  <c r="P140" i="29"/>
  <c r="O140" i="29"/>
  <c r="B22" i="37"/>
  <c r="B21" i="37"/>
  <c r="N140" i="29"/>
  <c r="M140" i="29"/>
  <c r="L140" i="29"/>
  <c r="K140" i="29"/>
  <c r="J140" i="29"/>
  <c r="I140" i="29"/>
  <c r="H140" i="29"/>
  <c r="B36" i="39"/>
  <c r="B34" i="39"/>
  <c r="B34" i="35"/>
  <c r="Z24" i="37"/>
  <c r="AA24" i="37" s="1"/>
  <c r="Z23" i="37"/>
  <c r="AA23" i="37"/>
  <c r="AD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U28" i="37"/>
  <c r="T26" i="37"/>
  <c r="U26" i="37"/>
  <c r="V26" i="37"/>
  <c r="W26" i="37"/>
  <c r="X26" i="37"/>
  <c r="T27" i="37"/>
  <c r="U27" i="37"/>
  <c r="V27" i="37"/>
  <c r="W27" i="37"/>
  <c r="X27" i="37"/>
  <c r="T28" i="37"/>
  <c r="V28" i="37"/>
  <c r="X28" i="37"/>
  <c r="T32" i="37"/>
  <c r="T31" i="37"/>
  <c r="U31" i="37"/>
  <c r="V31" i="37"/>
  <c r="W31" i="37"/>
  <c r="X31" i="37"/>
  <c r="U32" i="37"/>
  <c r="W32" i="37"/>
  <c r="T33" i="37"/>
  <c r="U33" i="37"/>
  <c r="V33" i="37"/>
  <c r="W33" i="37"/>
  <c r="X33" i="37"/>
  <c r="T34" i="37"/>
  <c r="U34" i="37"/>
  <c r="V34" i="37"/>
  <c r="W34" i="37"/>
  <c r="X34" i="37"/>
  <c r="X32" i="37"/>
  <c r="V32" i="37"/>
  <c r="W28" i="37"/>
  <c r="C35" i="29"/>
  <c r="B3" i="32"/>
  <c r="AE23" i="37"/>
  <c r="R29" i="29"/>
  <c r="AB23" i="37"/>
  <c r="AF23" i="37"/>
  <c r="E35" i="29"/>
  <c r="R33" i="29"/>
  <c r="H35" i="29"/>
  <c r="R35" i="29"/>
  <c r="J35" i="29"/>
  <c r="R49" i="29"/>
  <c r="L35" i="29"/>
  <c r="M35" i="29"/>
  <c r="AD22" i="37" l="1"/>
  <c r="AC22" i="37"/>
  <c r="AB22" i="37"/>
  <c r="AF22" i="37"/>
  <c r="AE22" i="37"/>
  <c r="AC23" i="37"/>
  <c r="E20" i="42"/>
  <c r="K110" i="29"/>
  <c r="L33" i="35" s="1"/>
  <c r="J33" i="35"/>
  <c r="H7" i="35"/>
  <c r="D35" i="29"/>
  <c r="R32" i="29"/>
  <c r="F46" i="29"/>
  <c r="B22" i="30"/>
  <c r="AB24" i="37"/>
  <c r="AF24" i="37"/>
  <c r="AC24" i="37"/>
  <c r="AD24" i="37"/>
  <c r="AE24" i="37"/>
  <c r="J30" i="35"/>
  <c r="K107" i="29"/>
  <c r="L30" i="35" s="1"/>
  <c r="K108" i="29"/>
  <c r="L31" i="35" s="1"/>
  <c r="J31" i="35"/>
  <c r="J32" i="35"/>
  <c r="K109" i="29"/>
  <c r="L32" i="35" s="1"/>
  <c r="H8" i="30"/>
  <c r="H26" i="35"/>
  <c r="B8" i="30"/>
  <c r="B7" i="35"/>
  <c r="B15" i="35"/>
  <c r="K35" i="29"/>
  <c r="I35" i="29"/>
  <c r="G35" i="29"/>
  <c r="R31" i="29"/>
  <c r="R34" i="29"/>
  <c r="F35" i="29"/>
  <c r="R48" i="29"/>
  <c r="Q50" i="29"/>
  <c r="G27" i="37"/>
  <c r="G24" i="37"/>
  <c r="G28" i="37"/>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1" authorId="1" shapeId="0">
      <text>
        <r>
          <rPr>
            <b/>
            <sz val="8"/>
            <color indexed="81"/>
            <rFont val="Tahoma"/>
            <family val="2"/>
            <charset val="204"/>
          </rPr>
          <t xml:space="preserve">If data are not available, do not enter zeros; rather, leave the cells in the table blank. </t>
        </r>
      </text>
    </comment>
    <comment ref="B72" authorId="1" shapeId="0">
      <text>
        <r>
          <rPr>
            <b/>
            <sz val="8"/>
            <color indexed="81"/>
            <rFont val="Tahoma"/>
            <family val="2"/>
            <charset val="204"/>
          </rPr>
          <t>If data are not available, do not enter zeros; rather, leave the cells in this table blank.</t>
        </r>
      </text>
    </comment>
    <comment ref="B78" authorId="0" shapeId="0">
      <text>
        <r>
          <rPr>
            <sz val="8"/>
            <color indexed="81"/>
            <rFont val="Tahoma"/>
            <family val="2"/>
            <charset val="204"/>
          </rPr>
          <t xml:space="preserve">If data are not available, do not enter zeros; rather, leave the cells in this table blank. </t>
        </r>
      </text>
    </comment>
    <comment ref="B93"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<sst xmlns="http://schemas.openxmlformats.org/spreadsheetml/2006/main" count="683" uniqueCount="513">
  <si>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</si>
  <si>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</si>
  <si>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</si>
  <si>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</si>
  <si>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</si>
  <si>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</si>
  <si>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</si>
  <si>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</si>
  <si>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</si>
  <si>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</si>
  <si>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</si>
  <si>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</si>
  <si>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</si>
  <si>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</si>
  <si>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</si>
  <si>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</si>
  <si>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</si>
  <si>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</si>
  <si>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</si>
  <si>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</si>
  <si>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</si>
  <si>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</si>
  <si>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</si>
  <si>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</si>
  <si>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</si>
  <si>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</si>
  <si>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</si>
  <si>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</si>
  <si>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</si>
  <si>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</si>
  <si>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</si>
  <si>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</si>
  <si>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</si>
  <si>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</si>
  <si>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</si>
  <si>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</si>
  <si>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</si>
  <si>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</si>
  <si>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</si>
  <si>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</si>
  <si>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</si>
  <si>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</si>
  <si>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</si>
  <si>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</si>
  <si>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</si>
  <si>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</si>
  <si>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</si>
  <si>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</si>
  <si>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</si>
  <si>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</si>
  <si>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</si>
  <si>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</si>
  <si>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Target</t>
  </si>
  <si>
    <t xml:space="preserve">Achieved </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</si>
  <si>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</si>
  <si>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</si>
  <si>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</si>
  <si>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</si>
  <si>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</si>
  <si>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</si>
  <si>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</si>
  <si>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</si>
  <si>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</si>
  <si>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</si>
  <si>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</si>
  <si>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</si>
  <si>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</si>
  <si>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</si>
  <si>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</si>
  <si>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</si>
  <si>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</si>
  <si>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</si>
  <si>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</si>
  <si>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</si>
  <si>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</si>
  <si>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</si>
  <si>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</si>
  <si>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</si>
  <si>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</si>
  <si>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</si>
  <si>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</si>
  <si>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</si>
  <si>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</si>
  <si>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</si>
  <si>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</si>
  <si>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</si>
  <si>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</si>
  <si>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</si>
  <si>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</si>
  <si>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</si>
  <si>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</si>
  <si>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</si>
  <si>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</si>
  <si>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</si>
  <si>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</si>
  <si>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</si>
  <si>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</si>
  <si>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</si>
  <si>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</si>
  <si>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</si>
  <si>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</si>
  <si>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</si>
  <si>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</si>
  <si>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</si>
  <si>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</si>
  <si>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</si>
  <si>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</si>
  <si>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</si>
  <si>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</si>
  <si>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</si>
  <si>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</si>
  <si>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</si>
  <si>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</si>
  <si>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</si>
  <si>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</si>
  <si>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</si>
  <si>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</si>
  <si>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</si>
  <si>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</si>
  <si>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</si>
  <si>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</si>
  <si>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</si>
  <si>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</si>
  <si>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</si>
  <si>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</si>
  <si>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</si>
  <si>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</si>
  <si>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</si>
  <si>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</si>
  <si>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</si>
  <si>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</si>
  <si>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</si>
  <si>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</si>
  <si>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</si>
  <si>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</si>
  <si>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</si>
  <si>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</si>
  <si>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</si>
  <si>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</si>
  <si>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</si>
  <si>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</si>
  <si>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</si>
  <si>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</si>
  <si>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</si>
  <si>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</si>
  <si>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</si>
  <si>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</si>
  <si>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</si>
  <si>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</si>
  <si>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</si>
  <si>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</si>
  <si>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</si>
  <si>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</si>
  <si>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</si>
  <si>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</si>
  <si>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</si>
  <si>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</si>
  <si>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</si>
  <si>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</si>
  <si>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</si>
  <si>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</si>
  <si>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</si>
  <si>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</si>
  <si>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</si>
  <si>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</si>
  <si>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</si>
  <si>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</si>
  <si>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</si>
  <si>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</si>
  <si>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</si>
  <si>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</si>
  <si>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</si>
  <si>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</si>
  <si>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</si>
  <si>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</si>
  <si>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</si>
  <si>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</si>
  <si>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</si>
  <si>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</si>
  <si>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</si>
  <si>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</si>
  <si>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</si>
  <si>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</si>
  <si>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</si>
  <si>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</si>
  <si>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</si>
  <si>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</si>
  <si>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</si>
  <si>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</si>
  <si>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</si>
  <si>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</si>
  <si>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</si>
  <si>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</si>
  <si>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</si>
  <si>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</si>
  <si>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</si>
  <si>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</si>
  <si>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</si>
  <si>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</si>
  <si>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</si>
  <si>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</si>
  <si>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</si>
  <si>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</si>
  <si>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</si>
  <si>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</si>
  <si>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</si>
  <si>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</si>
  <si>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</si>
  <si>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</si>
  <si>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</si>
  <si>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</si>
  <si>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</si>
  <si>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</si>
  <si>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</si>
  <si>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</si>
  <si>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</si>
  <si>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</si>
  <si>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</si>
  <si>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</si>
  <si>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</si>
  <si>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</si>
  <si>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</si>
  <si>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</si>
  <si>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</si>
  <si>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</si>
  <si>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</si>
  <si>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</si>
  <si>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</si>
  <si>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</si>
  <si>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</si>
  <si>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</si>
  <si>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</si>
  <si>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</si>
  <si>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</si>
  <si>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</si>
  <si>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</si>
  <si>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</si>
  <si>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</si>
  <si>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</si>
  <si>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</si>
  <si>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</si>
  <si>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</si>
  <si>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</si>
  <si>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</si>
  <si>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</si>
  <si>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</si>
  <si>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</si>
  <si>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</si>
  <si>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</si>
  <si>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</si>
  <si>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</si>
  <si>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</si>
  <si>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</si>
  <si>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</si>
  <si>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</si>
  <si>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</si>
  <si>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</si>
  <si>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</si>
  <si>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</si>
  <si>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</si>
  <si>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</si>
  <si>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</si>
  <si>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</si>
  <si>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</si>
  <si>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</si>
  <si>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</si>
  <si>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</si>
  <si>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</si>
  <si>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</si>
  <si>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</si>
  <si>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</si>
  <si>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t>TOP 3</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</si>
  <si>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</si>
  <si>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</si>
  <si>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</si>
  <si>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</si>
  <si>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</si>
  <si>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</si>
  <si>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</si>
  <si>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</si>
  <si>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impact 1</t>
  </si>
  <si>
    <t xml:space="preserve">P3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</si>
  <si>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</si>
  <si>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</si>
  <si>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</si>
  <si>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</si>
  <si>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</si>
  <si>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</si>
  <si>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</si>
  <si>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</si>
  <si>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</si>
  <si>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</si>
  <si>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</si>
  <si>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</si>
  <si>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</si>
  <si>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</si>
  <si>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</si>
  <si>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</si>
  <si>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</si>
  <si>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</si>
  <si>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</si>
  <si>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</si>
  <si>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</si>
  <si>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</si>
  <si>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</si>
  <si>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</si>
  <si>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</si>
  <si>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</si>
  <si>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</si>
  <si>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Consolidarea controlului Tuberculozei în Republica Moldova</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</si>
  <si>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</si>
  <si>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</si>
  <si>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</si>
  <si>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</si>
  <si>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</si>
  <si>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</si>
  <si>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</si>
  <si>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</si>
  <si>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</si>
  <si>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</si>
  <si>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</si>
  <si>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</si>
  <si>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</si>
  <si>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</si>
  <si>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</si>
  <si>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</si>
  <si>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</si>
  <si>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</si>
  <si>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</si>
  <si>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</si>
  <si>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</si>
  <si>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</si>
  <si>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</si>
  <si>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</si>
  <si>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</si>
  <si>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</si>
  <si>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</si>
  <si>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</si>
  <si>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</si>
  <si>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</si>
  <si>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</si>
  <si>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</si>
  <si>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</si>
  <si>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</si>
  <si>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</si>
  <si>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</si>
  <si>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</si>
  <si>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</si>
  <si>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</si>
  <si>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</si>
  <si>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</si>
  <si>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</si>
  <si>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</si>
  <si>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</si>
  <si>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</si>
  <si>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</si>
  <si>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</si>
  <si>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</si>
  <si>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</si>
  <si>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</si>
  <si>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</si>
  <si>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</si>
  <si>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</si>
  <si>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</si>
  <si>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</si>
  <si>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</si>
  <si>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</si>
  <si>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</si>
  <si>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Rezultat 4</t>
  </si>
  <si>
    <t>Nu</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</si>
  <si>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</si>
  <si>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</si>
  <si>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</si>
  <si>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</si>
  <si>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</si>
  <si>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</si>
  <si>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</si>
  <si>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</si>
  <si>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</si>
  <si>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</si>
  <si>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</si>
  <si>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</si>
  <si>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</si>
  <si>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</si>
  <si>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</si>
  <si>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</si>
  <si>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</si>
  <si>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</si>
  <si>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</si>
  <si>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</si>
  <si>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</si>
  <si>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</si>
  <si>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</si>
  <si>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</si>
  <si>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</si>
  <si>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</si>
  <si>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</si>
  <si>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</si>
  <si>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</si>
  <si>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</si>
  <si>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</si>
  <si>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</si>
  <si>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</si>
  <si>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</si>
  <si>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</si>
  <si>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</si>
  <si>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</si>
  <si>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</si>
  <si>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</si>
  <si>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</si>
  <si>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</si>
  <si>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</si>
  <si>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</si>
  <si>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</si>
  <si>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</si>
  <si>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Formular de notificare a cazurilor TB (089); Registrul cazurilor TB (03);
Fișa de tratament a pacienților TB (01).</t>
  </si>
  <si>
    <t>Numărător: Numărul de decese cauzate de TB (toate formele) înregistrate într-o anumită perioadă per 100,000 persoane; Numitor: Numărul total al populației în țară</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</si>
  <si>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</si>
  <si>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</si>
  <si>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</si>
  <si>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</si>
  <si>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Impact 1</t>
  </si>
  <si>
    <t>Utilizarea dobînzii</t>
  </si>
  <si>
    <t xml:space="preserve">Ultima debursare: Zile calendaristice </t>
  </si>
  <si>
    <t>Indicatori de Program (din Performance Framework)</t>
  </si>
  <si>
    <t xml:space="preserve">    Introduceți datele de performanță în celulele în galben.</t>
  </si>
  <si>
    <t xml:space="preserve">Colectat trimestrial și anual </t>
  </si>
  <si>
    <t>Y - nu este cumulativ</t>
  </si>
  <si>
    <t>Rezultat 2</t>
  </si>
  <si>
    <t>Rezultat 1</t>
  </si>
  <si>
    <t>Rezultat 3</t>
  </si>
  <si>
    <t>Recomandările cheie a Comisiei de Supraveghere</t>
  </si>
  <si>
    <t>IP UCIMP DS</t>
  </si>
  <si>
    <t>Tsovinar Sakanyan</t>
  </si>
  <si>
    <t xml:space="preserve">                               Introduceți datele pentru management în celulele albastre</t>
  </si>
  <si>
    <t>Asigurarea accesului universal la diagnosticul la timp şi de calitate al tuturor formelor de tuberculoză, inclusiv al celor cu TB-M/EDR</t>
  </si>
  <si>
    <t>Consolidarea managementului, coordonării, monitorizării și evaluării Programului Național de control al tuberculozei</t>
  </si>
  <si>
    <t>Fortificarea managementului Programului</t>
  </si>
  <si>
    <t>Asigurarea accesului universal la tratamentul calitativ al tuturor formelor de tuberculoză, inclusiv al celor cu TB-M/EDR</t>
  </si>
  <si>
    <t>Impact 2</t>
  </si>
  <si>
    <t xml:space="preserve">Prevalența TB MDR printre cazurile de tuberculoză anterior tratate - Numărul cazurilor de tuberculoză cu cultura pozitivă, anterior tratate, testate la sensibilitate pentru preparatele de linia I, diagnosticate cu MDR, din numărul total de cazuri de tuberculoză cu cultura pozitivă, anterior tratate, testate la sensibilitate pentru preparatele de linia I, pe parcursul anului </t>
  </si>
  <si>
    <t>Impact 3</t>
  </si>
  <si>
    <t>Rata succesului tratamentului cazurilor noi - Numărul şi procentul cazurilor noi de tuberculoză confirmate bacteriologic, tratate cu succes (vindecate și cu tratamente încheiate), din numărul total de cazuri noi cu tuberculoză confirmate bacteriologic, înregistrate într-un an</t>
  </si>
  <si>
    <t>Numărul și procentul cazurilor retratamente de tuberculoză, care efectuează teste de diagnostic al sensibilității la preparatele de linia I (doar cazurile TB confirmate bacteriologic) - Numărul cazurilor retratamente de tuberculoză cu rezultatele testelor la sensibilitate pentru preparatele isoniazid și rifampicin, înregistrate în perioada de raportare, din numărul total de cazuri retratamente de tuberculoză confirmate bacteriologic, înregistrate în aceeași perioadă</t>
  </si>
  <si>
    <t>Proces 1</t>
  </si>
  <si>
    <t>Numărul de cazuri de TB DR (RR-TB și/sau MDR-TB), confirmate bacteriologic, notificate</t>
  </si>
  <si>
    <t xml:space="preserve">Proces 2 </t>
  </si>
  <si>
    <t xml:space="preserve">Numărul cazurilor cu tuberculoză drog-rezistentă (RR-TB și/sau MDR-TB), confirmate bacteriologic, care au demarat tratamentul DOTS-Plus în perioada raportată                 </t>
  </si>
  <si>
    <t>Proces 3</t>
  </si>
  <si>
    <t>Proces 4</t>
  </si>
  <si>
    <t xml:space="preserve">Rezultatul interimar de abandon al tratamentului cazurilor MDR-TB: numărul și procentul pacienţilor cu tuberculoză drog-rezistentă (RR-TB și/sau MDR-TB) care au întrerupt tratamentul DOTS-Plus către luna a 6 de la demararea acestuia   </t>
  </si>
  <si>
    <t>Indicator de impact 1. Rata mortalităţii  - Numărul estimat de decese cauzate de TB (toate formele) pe an, la 100,000 persoane</t>
  </si>
  <si>
    <t>Indicator de impact 3. Prevalența TB MDR printre cazurile de tuberculoză anterior tratate</t>
  </si>
  <si>
    <t xml:space="preserve">Indicator de impact 2. Prevalența TB MDR printre cazurile noi de tuberculoză </t>
  </si>
  <si>
    <t>Indicator de rezultat 1. Rata succesului tratamentului pacienților cu TB MDR</t>
  </si>
  <si>
    <t xml:space="preserve">Indicator de rezultat 2. Rata de notificare a cazurilor de tuberculoză (toate formele) per 100,000 populație        </t>
  </si>
  <si>
    <t>Indicator de rezultat 3. Rata de notificare a cazurilor de tuberculoză per 100,000 populație</t>
  </si>
  <si>
    <t>Indicator de rezultat 4. Rata succesului tratamentului cazurilor noi</t>
  </si>
  <si>
    <t>Indicator de proces 1. Numărul și procentul cazurilor retratamente de tuberculoză, care efectuează teste de diagnostic al sensibilității la preparatele de linia I (doar cazurile TB confirmate bacteriologic)</t>
  </si>
  <si>
    <t>Indicator de proces 2. Numărul de cazuri de TB DR (RR-TB și/sau MDR-TB), confirmate bacteriologic, notificate</t>
  </si>
  <si>
    <t xml:space="preserve">Indicator de proces 3. Numărul cazurilor cu tuberculoză drog-rezistentă (RR-TB și/sau MDR-TB), confirmate bacteriologic, care au demarat tratamentul DOTS-Plus în perioada raportată                 </t>
  </si>
  <si>
    <t>Indicator de proces 4. Rezultatul interimar de abandon al tratamentului cazurilor MDR-TB</t>
  </si>
  <si>
    <t xml:space="preserve">Impact 2 </t>
  </si>
  <si>
    <t xml:space="preserve">Rezultat 4 </t>
  </si>
  <si>
    <t>Definiție (din M&amp;E Plan, Ianuarie 2015)</t>
  </si>
  <si>
    <t xml:space="preserve">Formular de notificare a cazurilor MDR TB (090); Registrul cazurilor MDR TB (03MDR = registru categoria IV); Fișa de tratament a pacienților MDR TB (01)  
</t>
  </si>
  <si>
    <t xml:space="preserve">Formular de notificare a cazurilor MDR TB (090); Registrul cazurilor MDR TB (03MDR = registru categoria IV); Fișa de tratament a pacienților MDR TB (01)  
</t>
  </si>
  <si>
    <t>Numărător: Numărul cazurilor noi de tuberculoză cu cultura pozitivă, testate la sensibilitate pentru preparatele de linia I, diagnosticate cu MDR; Numitor: Numărul total de cazuri noi de tuberculoză cu cultura pozitivă, testate lasensibilitate pentru preparatele de linia I, pe parcursul anului</t>
  </si>
  <si>
    <t xml:space="preserve">Numărător: Numărul cazurilor de tuberculoză cu cultura pozitivă, anterior tratate, testate la sensibilitate pentru preparatele de linia I, diagnosticate cu MDR; Numitor: Numărul total de cazuri de tuberculoză cu cultura pozitivă, anterior tratate, testate la sensibilitate pentru preparatele de linia I, pe parcursul anului </t>
  </si>
  <si>
    <t>Proces 2</t>
  </si>
  <si>
    <t>Numărător: Toate cazurile de tuberculoză (bacteriologic confirmate și diagnosticate clinic, cazuri noi și recidive) notificate către autoritatea națională într-o perioadă anumită de timp per 100,000 populație; Numitor: Numărul total al populației în țară</t>
  </si>
  <si>
    <t>Numărător: Numărul cazurilor retratamente de tuberculoză cu rezultatele testelor la sensibilitate pentru preparatele isoniazid și rifampicin, înregistrate în perioada de raportare; Numitor: Numărul total de cazuri retratamente de tuberculoză confirmate bacteriologic, înregistrate în aceeași perioadă</t>
  </si>
  <si>
    <t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t>
  </si>
  <si>
    <t xml:space="preserve">Numărător: Numărul cazurilor cu tuberculoză drog-rezistentă (RR-TB și/sau MDR-TB), confirmate bacteriologic, care au demarat tratamentul DOTS-Plus în perioada raportată; Numitor: Nu este   </t>
  </si>
  <si>
    <t>Numărător: Cazurile de tuberculoză (bacteriologic confirmate, cazuri noi și recidive) notificate către autoritatea națională, într-o perioadă anumită de timp, per 100,000 populație; Numitor: Numărul total al populației în țară</t>
  </si>
  <si>
    <t xml:space="preserve">Numărător: Numărul de cazuri de TB DR (RR-TB și/sau MDR-TB), confirmate bacteriologic, notificate către autoritatea națională, în perioada raportată; Numitor: Nu este   </t>
  </si>
  <si>
    <t xml:space="preserve">Formular de notificare a cazurilor TB (089); Registrul cazurilor TB (03); Fișa de tratament a pacienților TB (01)
</t>
  </si>
  <si>
    <t>Sistemul R&amp;R TB; Rapoarte trimestriale; SYME TB</t>
  </si>
  <si>
    <t xml:space="preserve">Sistemul R&amp;R TB; Rapoarte trimestriale; SYME TB; Modul DOTS Plus </t>
  </si>
  <si>
    <t>Sistemul R&amp;R TB; Rapoarte trimestriale/ anuale; Rapoarte NTP; SYME TB; Modul DOTS Plus</t>
  </si>
  <si>
    <t xml:space="preserve">Sistemul R&amp;R TB; Rapoarte anuale; Supraveghere de rutină a DR (Drog Rezistenței); SYME TB
</t>
  </si>
  <si>
    <t>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t>
  </si>
  <si>
    <t>Numărător: Numărul cazurilor noi de tuberculoză confirmate bacteriologic, tratate cu succes (vindecate și cu tratamente încheiate); Numitor: Numărul total de cazuri noi cu tuberculoză confirmate bacteriologic, înregistrate într-un an</t>
  </si>
  <si>
    <t>MDA-T-PCIMU (#678)</t>
  </si>
  <si>
    <t>Period 1</t>
  </si>
  <si>
    <t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t>
  </si>
  <si>
    <t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t>
  </si>
  <si>
    <t>Două (axate pe procurarea medicamentelor antituberculoase de linia a doua pentru tratamentul pacienților cu TB DR) din cele trei condiții precedente stipulate în Acordul de Grant au fost îndeplinite în perioada raportată. Termenul limită pentru îndeplinirea celei de a treia condiție, de dezvoltare a planului de sustenabilitate, este de 31 decembrie 2016.</t>
  </si>
  <si>
    <t>Toate posturile în cadrul echipei ce gestionează Grantul TB al Noului Mecanism de Finanțare sunt ocupate.</t>
  </si>
  <si>
    <t>Contractul de Sub-recipient cu IMSP IFP ”Chiril Draganiuc” a fost semnat la 24 iulie 2015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t>
  </si>
  <si>
    <t>În perioada raportată Sub-Recipientul a prezentat în conformitate cu Acordul două rapoarte trimestriale.</t>
  </si>
  <si>
    <t>RP avea la 31 decembrie 2015 angajamente semnate pentru livrarea consumabilelor și reagenților in suma de 87 919,04 EUR.</t>
  </si>
  <si>
    <t>Analiza stocului (la data de 31 decembrie 2015) a medicamentelor de linia a II și a III, a numărului de pacienți în tratament la aceeași dată, precum si a livrarilor planificate arata prezența unui stock buffer între 4 și 23 de luni ce previne riscul lipsei de preparate.</t>
  </si>
  <si>
    <t>Rata mortalităţii  - Numărul de decese cauzate de TB (toate formele) pe an, la 100 000 persoane</t>
  </si>
  <si>
    <t xml:space="preserve">Rata de notificare a cazurilor de tuberculoză (toate formele) per 100 000 populație - Toate cazurile de tuberculoză (bacteriologic confirmate și diagnosticate clinic, cazuri noi și recidive) notificate către autoritatea națională într-o perioadă anumită de timp per 100 000 populație          </t>
  </si>
  <si>
    <t>Rata de notificare a cazurilor de tuberculoză (bacteriologic confirmate) per 100 000 populație - Cazurile de tuberculoză (bacteriologic confirmate, cazuri noi și recidive) notificate către autoritatea națională într-o perioadă anumită de timp per 100 000 populație</t>
  </si>
  <si>
    <r>
      <rPr>
        <b/>
        <sz val="8"/>
        <rFont val="Calibri"/>
        <family val="2"/>
      </rPr>
      <t>Date preliminare pentru anul 2015</t>
    </r>
    <r>
      <rPr>
        <sz val="8"/>
        <rFont val="Calibri"/>
        <family val="2"/>
      </rPr>
      <t xml:space="preserve">: 405 persoane au decedat de tuberculoză în anul 2015 (9,96 decese la 100 000 persoane). 
</t>
    </r>
    <r>
      <rPr>
        <b/>
        <sz val="8"/>
        <rFont val="Calibri"/>
        <family val="2"/>
      </rPr>
      <t>Notă</t>
    </r>
    <r>
      <rPr>
        <sz val="8"/>
        <rFont val="Calibri"/>
        <family val="2"/>
      </rPr>
      <t xml:space="preserve">: Se constată o micșorare cu 20,3% a ratei de mortalitate față de datele anului 2014 (508 cazuri de deces cauzate de tuberculoză) și cu 11,2% față de datele anului 2013 (456 cazuri de deces cauzate de tuberculoză).     </t>
    </r>
  </si>
  <si>
    <r>
      <rPr>
        <b/>
        <sz val="8"/>
        <rFont val="Calibri"/>
        <family val="2"/>
      </rPr>
      <t>Date preliminare pentru anul 2015:</t>
    </r>
    <r>
      <rPr>
        <sz val="8"/>
        <rFont val="Calibri"/>
        <family val="2"/>
      </rPr>
      <t xml:space="preserve"> 343 cazuri noi de tuberculoză cu cultura pozitivă, testate la sensibilitate pentru preparatele de linia I, din 1 262 investigate în 2015, au fost diagnosticate cu MDR.
</t>
    </r>
    <r>
      <rPr>
        <b/>
        <sz val="8"/>
        <rFont val="Calibri"/>
        <family val="2"/>
      </rPr>
      <t>Notă</t>
    </r>
    <r>
      <rPr>
        <sz val="8"/>
        <rFont val="Calibri"/>
        <family val="2"/>
      </rPr>
      <t xml:space="preserve">: Se constată menținerea unei rate înalte a TB MDR printre cazurile noi, situație caracteristică ultimilor ani.                                                                                                                                                                                                                                                                  </t>
    </r>
  </si>
  <si>
    <r>
      <rPr>
        <b/>
        <sz val="8"/>
        <rFont val="Calibri"/>
        <family val="2"/>
      </rPr>
      <t>Date preliminare pentru anul 2015</t>
    </r>
    <r>
      <rPr>
        <sz val="8"/>
        <rFont val="Calibri"/>
        <family val="2"/>
      </rPr>
      <t xml:space="preserve">: 407 cazuri de tuberculoză cu cultura pozitivă, anterior tratate, testate la sensibilitate pentru preparatele de linia I, din 623 investigate în 2015, au fost diagnosticate cu MDR.
</t>
    </r>
    <r>
      <rPr>
        <b/>
        <sz val="8"/>
        <rFont val="Calibri"/>
        <family val="2"/>
      </rPr>
      <t>Notă</t>
    </r>
    <r>
      <rPr>
        <sz val="8"/>
        <rFont val="Calibri"/>
        <family val="2"/>
      </rPr>
      <t xml:space="preserve">: Se constată menținerea unei rate înalte a TB MDR printre cazurile anterior tratate, situație caracteristică ultimilor ani.  </t>
    </r>
  </si>
  <si>
    <r>
      <rPr>
        <b/>
        <sz val="10"/>
        <rFont val="Calibri"/>
        <family val="2"/>
      </rPr>
      <t>Date finale pentru cohorta MDR-TB anul 2012</t>
    </r>
    <r>
      <rPr>
        <sz val="10"/>
        <rFont val="Calibri"/>
        <family val="2"/>
      </rPr>
      <t xml:space="preserve">: 505 cazuri confirmate de TB MDR au fost tratate cu succes (vindecate și cu tratamente încheiate) din 856 incluse în tratment DOTS Plus în 2012.                                                                                  
</t>
    </r>
    <r>
      <rPr>
        <b/>
        <sz val="10"/>
        <rFont val="Calibri"/>
        <family val="2"/>
      </rPr>
      <t>Notă</t>
    </r>
    <r>
      <rPr>
        <sz val="10"/>
        <rFont val="Calibri"/>
        <family val="2"/>
      </rPr>
      <t xml:space="preserve">: Datele finale pentru cohorta MDR-TB 2012 ne indică o tendință de creștere a ratei de succes de la 49,3% în 2010 la 54,27% în 2011 și 59% în 2012; o tendință de descreștere a ratei pierderii din supraveghere (de la 27,4% în 2010 la 23,1% în 2011 și 19,97% în 2012); și stabilizarea ratei de eșec (10,3% în 2010, 9,5% în 2011 și 10,16% în 2012).                                                                                                                                             </t>
    </r>
    <r>
      <rPr>
        <b/>
        <sz val="8"/>
        <rFont val="Calibri"/>
        <family val="2"/>
        <charset val="204"/>
      </rPr>
      <t/>
    </r>
  </si>
  <si>
    <r>
      <rPr>
        <b/>
        <sz val="10"/>
        <rFont val="Calibri"/>
        <family val="2"/>
      </rPr>
      <t>Date preliminare pentru anul 2015</t>
    </r>
    <r>
      <rPr>
        <sz val="10"/>
        <rFont val="Calibri"/>
        <family val="2"/>
      </rPr>
      <t xml:space="preserve">: 4 197 cazuri de tuberculoză (toate formele, bacteriologic confirmate și diagnosticate clinic, cazuri noi și recidive) au fost notificate către autoritatea națională în anul 2015.   </t>
    </r>
  </si>
  <si>
    <r>
      <rPr>
        <b/>
        <sz val="10"/>
        <rFont val="Calibri"/>
        <family val="2"/>
      </rPr>
      <t>Date preliminare pentru anul 2015</t>
    </r>
    <r>
      <rPr>
        <sz val="10"/>
        <rFont val="Calibri"/>
        <family val="2"/>
      </rPr>
      <t xml:space="preserve">: 2 110 cazuri de tuberculoză (bacteriologic confirmate, cazuri noi și recidive) au fost notificate către autoritatea națională în anul 2015.       </t>
    </r>
  </si>
  <si>
    <r>
      <rPr>
        <b/>
        <sz val="10"/>
        <rFont val="Calibri"/>
        <family val="2"/>
      </rPr>
      <t>Date preliminare pentru cohorta anului 2014</t>
    </r>
    <r>
      <rPr>
        <sz val="10"/>
        <rFont val="Calibri"/>
        <family val="2"/>
      </rPr>
      <t>: 1 010 cazuri noi de tuberculoză confirmate bacteriologic, din 1 402 diagnosticate în 2014, au fost tratate cu succes. Comparativ cu datele cohortelor anilor 2012 (62,56%), 2011 (62,2%) și 2010  (57,81%), se observă o creștere a valorii indicatorului pînă la 72% în cohorta anului 2014, dar și o scădere comparativ cu 75,8% înregistrate în cohorta anului 2013.</t>
    </r>
  </si>
  <si>
    <r>
      <rPr>
        <b/>
        <sz val="10"/>
        <rFont val="Calibri"/>
        <family val="2"/>
      </rPr>
      <t>Date preliminare pentru Sem.I.2015</t>
    </r>
    <r>
      <rPr>
        <sz val="10"/>
        <rFont val="Calibri"/>
        <family val="2"/>
      </rPr>
      <t xml:space="preserve">: 378 pacienți din 530 cazuri de retratamente cu tuberculoză, confirmate bacteriologic (prin microscopie, cultură și Xpert), au efectuat teste de sensibilitate la preparatele de linia I (prin cultură și Xpert) în aceeași perioadă.
</t>
    </r>
    <r>
      <rPr>
        <b/>
        <sz val="10"/>
        <rFont val="Calibri"/>
        <family val="2"/>
      </rPr>
      <t>Notă</t>
    </r>
    <r>
      <rPr>
        <sz val="10"/>
        <rFont val="Calibri"/>
        <family val="2"/>
      </rPr>
      <t>. Acest indicator se referă atît la sectorul civil, cît și la cel penitenciar.</t>
    </r>
  </si>
  <si>
    <r>
      <rPr>
        <b/>
        <sz val="10"/>
        <rFont val="Calibri"/>
        <family val="2"/>
      </rPr>
      <t>Date preliminare pentru Sem.I.2015</t>
    </r>
    <r>
      <rPr>
        <sz val="10"/>
        <rFont val="Calibri"/>
        <family val="2"/>
      </rPr>
      <t xml:space="preserve">: 427 pacienți cu tuberculoză drog-rezistentă (RR-TB și/sau MDR-TB), confirmate bacteriologic, au fost notificate, față de 456 cazuri estimate pentru perioada raportată.    </t>
    </r>
  </si>
  <si>
    <r>
      <rPr>
        <b/>
        <sz val="10"/>
        <rFont val="Calibri"/>
        <family val="2"/>
      </rPr>
      <t>Date preliminare pentru Sem.II.2015</t>
    </r>
    <r>
      <rPr>
        <sz val="10"/>
        <rFont val="Calibri"/>
        <family val="2"/>
      </rPr>
      <t xml:space="preserve">: 482 pacienți (240 în QIII.2015 și 242 în QIV.2014) cu tuberculoză drog-rezistentă (RR-TB și/sau MDR-TB), confirmate bacteriologic, au demarat tratamentul DOTS-Plus, față de 410 pacienți preconizați pentru perioada raportată.                                                                                                                                                            </t>
    </r>
    <r>
      <rPr>
        <b/>
        <sz val="10"/>
        <rFont val="Calibri"/>
        <family val="2"/>
      </rPr>
      <t>Notă</t>
    </r>
    <r>
      <rPr>
        <sz val="10"/>
        <rFont val="Calibri"/>
        <family val="2"/>
      </rPr>
      <t xml:space="preserve">. Ținta a fost depășită din cauza includerii în tratamentul DOTS Plus a unui număr adițional de pacienți MDR TB în locul cazurilor de eșec, mortalitate sau pierdute din supraveghere înregistrate.  </t>
    </r>
  </si>
  <si>
    <r>
      <rPr>
        <b/>
        <sz val="10"/>
        <rFont val="Calibri"/>
        <family val="2"/>
      </rPr>
      <t>Date finale pentru Sem.I.2014</t>
    </r>
    <r>
      <rPr>
        <sz val="10"/>
        <rFont val="Calibri"/>
        <family val="2"/>
      </rPr>
      <t xml:space="preserve">: 41 pacienți (25 în QI.2014 și 16 în QII.2014) din 470 incluși în tratamentul DOTS Plus în Sem.II.2014, au abandonat tratamentul după 6 luni de tratament DOTS Plus.                                                                                                                                       </t>
    </r>
    <r>
      <rPr>
        <b/>
        <sz val="10"/>
        <rFont val="Calibri"/>
        <family val="2"/>
      </rPr>
      <t>Notă</t>
    </r>
    <r>
      <rPr>
        <sz val="10"/>
        <rFont val="Calibri"/>
        <family val="2"/>
      </rPr>
      <t xml:space="preserve">. Se observă menținerea ratei interimare de abandon al tratamentului cazurilor MDR-TB pentru anul 2014 la același nivel, în comparație cu rata anului 2013 (8,3%) și rata anului 2012 (7,5%).     </t>
    </r>
  </si>
  <si>
    <t>Angajamente TB la 30.06.2015</t>
  </si>
  <si>
    <t>* Include numai AFR categoriile 4,5 și 6  (Produse medicale și Echipamente medicale &amp; Medicamente și Produse farmaceutice)</t>
  </si>
  <si>
    <t>Fondul Global a debursat în avans 2 488 378,00 EUR din suma grantului la data de 17 iulie 2015.</t>
  </si>
  <si>
    <t xml:space="preserve">Raportul de progres standard către Secretariatul Fondului Global pentru semestrul II.2015 si raportul AFR semi-anual (sem II.2015) au fost remise donatorului pentru analiză și aprobare la 12 Februarie 2016. </t>
  </si>
  <si>
    <t xml:space="preserve">
În cadrul activităților din Obiectivul I au fost valorificați                 248 005,81 EUR față de 724 392,08 EUR bugetați pentru perioada raportată (34,2%). 
În cadrul activităților din Obiectivul II au fost valorificați 
1 344 420,97 EUR față de 2 189 086,93 EUR bugetați pentru perioada raportată (61,4%).
În cadrul activităților din Obiectivul V au fost valorificați                 50 913,85 EUR față de 95 465,5 EUR bugetați pentru perioada raportată (53,3%).
Totodată au fost finalizate angajamentele pentru perioada II a Grantului consolidat în sumă de 11 710,80 EUR.
Analiza detaliată a cheltuielilor, inclusiv sumele restante și economiile obținute către 31 decembrie 2015 sunt prezentate în nota informativă narativă la dashboard.
</t>
  </si>
  <si>
    <t>În perioada 01 Iulie - 31 Decembrie 2015, au fost valorificați 
1 741 265,07 EUR față de 3 093 788,06 EUR bugetați pentru perioada raportată, ceea ce constituie 56,3%.
Variația pentru perioada cumulativă constituie suma de                   1 352 522,99 EUR, compusă din:  
(-) 35 171,29 EUR – cheltuieli peste nivelul planificat,
1 401 910,66 EUR – cheltuieli sub nivelul planificat, 
(-) 11,710.79 EUR – angajamente din perioada 2 a Grantului TB consolidat la data de 30 Iunie 2015 și 
(-) 2 505,59 EUR utilizarea dobânzii inițial ne bugetate. 
Analiza detaliată a cheltuielilor, inclusiv sumele restante și economiile obținute către 31 decembrie 2015 sunt prezentate în nota informativă narativă la dashboard.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</si>
</sst>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409]#,##0_);\([$$-409]#,##0\)"/>
    <numFmt numFmtId="170" formatCode="dd/mm/yy;@"/>
    <numFmt numFmtId="171" formatCode="_-[$€-2]\ * #,##0_-;\-[$€-2]\ * #,##0_-;_-[$€-2]\ * &quot;-&quot;_-;_-@_-"/>
    <numFmt numFmtId="172" formatCode="[$€-2]\ #,##0"/>
    <numFmt numFmtId="173" formatCode="#,##0.00_р_."/>
    <numFmt numFmtId="174" formatCode="#,##0.0"/>
    <numFmt numFmtId="175" formatCode="0.0%"/>
  </numFmts>
  <fonts count="136">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7"/>
      <color indexed="23"/>
      <name val="Verdana"/>
      <family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rgb="FF7030A0"/>
      <name val="Calibri"/>
      <family val="2"/>
    </font>
    <font>
      <sz val="11"/>
      <color theme="1"/>
      <name val="Calibri"/>
      <family val="2"/>
    </font>
    <font>
      <sz val="22"/>
      <color theme="0"/>
      <name val="Calibri"/>
      <family val="2"/>
      <charset val="204"/>
    </font>
    <font>
      <sz val="14"/>
      <color theme="0"/>
      <name val="Calibri"/>
      <family val="2"/>
    </font>
    <font>
      <i/>
      <sz val="11"/>
      <name val="Calibri"/>
      <family val="2"/>
    </font>
    <font>
      <b/>
      <sz val="10"/>
      <name val="Arial"/>
      <family val="2"/>
      <charset val="204"/>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0"/>
      <color rgb="FFFF0000"/>
      <name val="Arial"/>
      <family val="2"/>
      <charset val="204"/>
    </font>
    <font>
      <sz val="11"/>
      <color rgb="FF7030A0"/>
      <name val="Calibri"/>
      <family val="2"/>
      <scheme val="minor"/>
    </font>
    <font>
      <b/>
      <sz val="8"/>
      <name val="Calibri"/>
      <family val="2"/>
      <charset val="204"/>
    </font>
    <font>
      <sz val="11"/>
      <name val="Calibri"/>
      <family val="2"/>
      <charset val="204"/>
      <scheme val="minor"/>
    </font>
    <font>
      <sz val="11"/>
      <color theme="1"/>
      <name val="Arial"/>
      <family val="2"/>
    </font>
    <font>
      <sz val="11"/>
      <color rgb="FFFF0000"/>
      <name val="Calibri"/>
      <family val="2"/>
      <scheme val="minor"/>
    </font>
    <font>
      <b/>
      <sz val="10"/>
      <name val="Calibri"/>
      <family val="2"/>
    </font>
    <font>
      <sz val="7.7"/>
      <name val="Calibri"/>
      <family val="2"/>
    </font>
    <font>
      <sz val="7.7"/>
      <name val="Calibri"/>
      <family val="2"/>
      <scheme val="minor"/>
    </font>
    <font>
      <sz val="8"/>
      <name val="Calibri"/>
      <family val="2"/>
      <charset val="204"/>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65"/>
        <bgColor indexed="52"/>
      </patternFill>
    </fill>
    <fill>
      <patternFill patternType="solid">
        <fgColor indexed="65"/>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s>
  <borders count="231">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51"/>
      </left>
      <right style="medium">
        <color indexed="51"/>
      </right>
      <top style="medium">
        <color indexed="51"/>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right style="medium">
        <color indexed="51"/>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9"/>
      </left>
      <right/>
      <top/>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medium">
        <color indexed="51"/>
      </right>
      <top style="thin">
        <color indexed="64"/>
      </top>
      <bottom style="thin">
        <color theme="1"/>
      </bottom>
      <diagonal/>
    </border>
    <border>
      <left/>
      <right style="thin">
        <color indexed="64"/>
      </right>
      <top style="thin">
        <color indexed="64"/>
      </top>
      <bottom style="thin">
        <color theme="1"/>
      </bottom>
      <diagonal/>
    </border>
    <border>
      <left style="medium">
        <color indexed="51"/>
      </left>
      <right style="medium">
        <color indexed="51"/>
      </right>
      <top style="thin">
        <color theme="1"/>
      </top>
      <bottom style="thin">
        <color theme="1"/>
      </bottom>
      <diagonal/>
    </border>
    <border>
      <left/>
      <right style="thin">
        <color indexed="64"/>
      </right>
      <top style="thin">
        <color theme="1"/>
      </top>
      <bottom style="thin">
        <color theme="1"/>
      </bottom>
      <diagonal/>
    </border>
  </borders>
  <cellStyleXfs count="24">
    <xf numFmtId="169" fontId="0" fillId="0" borderId="0"/>
    <xf numFmtId="43" fontId="3" fillId="0" borderId="0" applyFont="0" applyFill="0" applyBorder="0" applyAlignment="0" applyProtection="0"/>
    <xf numFmtId="169" fontId="2" fillId="0" borderId="0" applyFont="0" applyFill="0" applyBorder="0" applyAlignment="0" applyProtection="0"/>
    <xf numFmtId="43" fontId="2" fillId="0" borderId="0" applyFill="0" applyBorder="0" applyAlignment="0" applyProtection="0"/>
    <xf numFmtId="43" fontId="106" fillId="0" borderId="0"/>
    <xf numFmtId="169" fontId="2" fillId="0" borderId="0"/>
    <xf numFmtId="169" fontId="2" fillId="0" borderId="0"/>
    <xf numFmtId="169" fontId="2" fillId="0" borderId="0"/>
    <xf numFmtId="169" fontId="2" fillId="0" borderId="0"/>
    <xf numFmtId="169" fontId="2" fillId="0" borderId="0"/>
    <xf numFmtId="169" fontId="2" fillId="0" borderId="0"/>
    <xf numFmtId="169" fontId="2" fillId="0" borderId="0"/>
    <xf numFmtId="43" fontId="1" fillId="0" borderId="0"/>
    <xf numFmtId="43" fontId="1" fillId="0" borderId="0"/>
    <xf numFmtId="43" fontId="106" fillId="0" borderId="0"/>
    <xf numFmtId="43" fontId="106" fillId="0" borderId="0"/>
    <xf numFmtId="43" fontId="106" fillId="0" borderId="0"/>
    <xf numFmtId="43" fontId="106" fillId="0" borderId="0"/>
    <xf numFmtId="169" fontId="46" fillId="0" borderId="0"/>
    <xf numFmtId="9" fontId="3" fillId="0" borderId="0" applyFont="0" applyFill="0" applyBorder="0" applyAlignment="0" applyProtection="0"/>
    <xf numFmtId="43" fontId="106" fillId="0" borderId="1" applyNumberFormat="0" applyFill="0" applyAlignment="0" applyProtection="0"/>
    <xf numFmtId="43" fontId="1" fillId="0" borderId="1" applyNumberFormat="0" applyFill="0" applyAlignment="0" applyProtection="0"/>
    <xf numFmtId="43" fontId="1" fillId="0" borderId="1" applyNumberFormat="0" applyFill="0" applyAlignment="0" applyProtection="0"/>
    <xf numFmtId="43" fontId="106" fillId="0" borderId="1" applyNumberFormat="0" applyFill="0" applyAlignment="0" applyProtection="0"/>
  </cellStyleXfs>
  <cellXfs count="988">
    <xf numFmtId="169" fontId="0" fillId="0" borderId="0" xfId="0"/>
    <xf numFmtId="43" fontId="9" fillId="0" borderId="0" xfId="4" applyFont="1" applyFill="1" applyAlignment="1">
      <alignment vertical="center"/>
    </xf>
    <xf numFmtId="169" fontId="0" fillId="0" borderId="0" xfId="0" applyBorder="1" applyProtection="1"/>
    <xf numFmtId="169" fontId="0" fillId="0" borderId="0" xfId="0" applyProtection="1"/>
    <xf numFmtId="43" fontId="15" fillId="0" borderId="0" xfId="4" applyFont="1" applyFill="1" applyAlignment="1" applyProtection="1">
      <alignment vertical="center"/>
    </xf>
    <xf numFmtId="169" fontId="14" fillId="0" borderId="0" xfId="0" applyFont="1" applyProtection="1"/>
    <xf numFmtId="43" fontId="12" fillId="0" borderId="0" xfId="15" applyFont="1" applyFill="1" applyAlignment="1" applyProtection="1"/>
    <xf numFmtId="43" fontId="12" fillId="0" borderId="0" xfId="15" applyFont="1" applyFill="1" applyAlignment="1" applyProtection="1">
      <alignment horizontal="center"/>
    </xf>
    <xf numFmtId="43" fontId="12" fillId="0" borderId="0" xfId="15" applyFont="1" applyFill="1" applyAlignment="1" applyProtection="1">
      <alignment horizontal="right"/>
    </xf>
    <xf numFmtId="43" fontId="12" fillId="0" borderId="0" xfId="15" applyFont="1" applyFill="1" applyBorder="1" applyAlignment="1" applyProtection="1">
      <alignment horizontal="center"/>
    </xf>
    <xf numFmtId="43" fontId="106" fillId="0" borderId="0" xfId="14" applyProtection="1"/>
    <xf numFmtId="43" fontId="8" fillId="0" borderId="0" xfId="14" applyFont="1" applyProtection="1"/>
    <xf numFmtId="169" fontId="11" fillId="0" borderId="0" xfId="14" applyNumberFormat="1" applyFont="1" applyBorder="1" applyProtection="1"/>
    <xf numFmtId="43" fontId="106" fillId="0" borderId="0" xfId="16" applyProtection="1"/>
    <xf numFmtId="43" fontId="106" fillId="0" borderId="0" xfId="16" applyFill="1" applyBorder="1" applyAlignment="1" applyProtection="1">
      <alignment horizontal="left"/>
    </xf>
    <xf numFmtId="169" fontId="0" fillId="0" borderId="0" xfId="0" applyFill="1" applyBorder="1" applyProtection="1"/>
    <xf numFmtId="43" fontId="106" fillId="0" borderId="0" xfId="16" applyFill="1" applyBorder="1" applyProtection="1"/>
    <xf numFmtId="169" fontId="8" fillId="0" borderId="0" xfId="0" applyFont="1" applyProtection="1"/>
    <xf numFmtId="43" fontId="8" fillId="0" borderId="0" xfId="16" applyFont="1" applyProtection="1"/>
    <xf numFmtId="169" fontId="0" fillId="0" borderId="0" xfId="0" applyBorder="1"/>
    <xf numFmtId="169" fontId="0" fillId="0" borderId="0" xfId="0" applyFill="1" applyBorder="1"/>
    <xf numFmtId="15" fontId="22" fillId="0" borderId="0" xfId="0" applyNumberFormat="1" applyFont="1" applyFill="1" applyBorder="1" applyAlignment="1" applyProtection="1">
      <alignment horizontal="center" vertical="center" wrapText="1"/>
      <protection locked="0"/>
    </xf>
    <xf numFmtId="43" fontId="21" fillId="0" borderId="0" xfId="0" applyNumberFormat="1" applyFont="1"/>
    <xf numFmtId="43" fontId="21" fillId="0" borderId="0" xfId="0" applyNumberFormat="1" applyFont="1" applyAlignment="1">
      <alignment horizontal="right"/>
    </xf>
    <xf numFmtId="165" fontId="21" fillId="0" borderId="0" xfId="1" applyNumberFormat="1" applyFont="1" applyAlignment="1">
      <alignment horizontal="left"/>
    </xf>
    <xf numFmtId="43" fontId="9" fillId="0" borderId="0" xfId="13" applyFont="1" applyFill="1" applyAlignment="1">
      <alignment vertical="center"/>
    </xf>
    <xf numFmtId="169" fontId="0" fillId="0" borderId="2" xfId="0" applyBorder="1" applyAlignment="1">
      <alignment horizontal="center"/>
    </xf>
    <xf numFmtId="169" fontId="7" fillId="0" borderId="0" xfId="0" applyFont="1" applyBorder="1" applyAlignment="1">
      <alignment horizontal="center"/>
    </xf>
    <xf numFmtId="169" fontId="1" fillId="0" borderId="0" xfId="0" applyFont="1" applyBorder="1" applyAlignment="1"/>
    <xf numFmtId="169" fontId="1" fillId="0" borderId="0" xfId="0" applyFont="1" applyFill="1" applyBorder="1" applyAlignment="1"/>
    <xf numFmtId="169" fontId="34" fillId="0" borderId="0" xfId="0" applyFont="1"/>
    <xf numFmtId="169" fontId="34" fillId="0" borderId="0" xfId="0" applyFont="1" applyAlignment="1">
      <alignment horizontal="right"/>
    </xf>
    <xf numFmtId="169" fontId="34" fillId="0" borderId="0" xfId="0" applyFont="1" applyBorder="1"/>
    <xf numFmtId="169" fontId="36" fillId="0" borderId="0" xfId="0" applyFont="1"/>
    <xf numFmtId="169" fontId="34" fillId="0" borderId="0" xfId="0" applyNumberFormat="1" applyFont="1" applyBorder="1"/>
    <xf numFmtId="169" fontId="0" fillId="0" borderId="0" xfId="0" applyFill="1"/>
    <xf numFmtId="10" fontId="4" fillId="0" borderId="0" xfId="19" applyNumberFormat="1" applyFont="1" applyFill="1" applyBorder="1" applyAlignment="1">
      <alignment horizontal="center"/>
    </xf>
    <xf numFmtId="10" fontId="4" fillId="0" borderId="0" xfId="19" applyNumberFormat="1" applyFont="1" applyFill="1" applyBorder="1" applyAlignment="1" applyProtection="1">
      <alignment horizontal="center"/>
      <protection locked="0"/>
    </xf>
    <xf numFmtId="43" fontId="21" fillId="0" borderId="0" xfId="0" applyNumberFormat="1" applyFont="1" applyFill="1" applyBorder="1" applyAlignment="1"/>
    <xf numFmtId="43" fontId="106" fillId="0" borderId="0" xfId="23" applyFill="1" applyBorder="1" applyAlignment="1" applyProtection="1">
      <alignment vertical="center"/>
      <protection locked="0"/>
    </xf>
    <xf numFmtId="164" fontId="25" fillId="0" borderId="0" xfId="0" applyNumberFormat="1" applyFont="1" applyFill="1" applyBorder="1" applyAlignment="1">
      <alignment horizontal="center"/>
    </xf>
    <xf numFmtId="169" fontId="19" fillId="0" borderId="0" xfId="0" applyFont="1" applyFill="1" applyBorder="1" applyAlignment="1">
      <alignment horizontal="centerContinuous"/>
    </xf>
    <xf numFmtId="169" fontId="0" fillId="0" borderId="0" xfId="0" applyFill="1" applyBorder="1" applyAlignment="1">
      <alignment horizontal="centerContinuous"/>
    </xf>
    <xf numFmtId="43" fontId="32" fillId="0" borderId="0" xfId="23" applyFont="1" applyFill="1" applyBorder="1" applyAlignment="1" applyProtection="1">
      <alignment vertical="center"/>
      <protection locked="0"/>
    </xf>
    <xf numFmtId="169" fontId="0" fillId="0" borderId="2" xfId="0" applyBorder="1"/>
    <xf numFmtId="169" fontId="0" fillId="0" borderId="0" xfId="0" applyFill="1" applyBorder="1" applyAlignment="1">
      <alignment horizontal="center"/>
    </xf>
    <xf numFmtId="22" fontId="0" fillId="0" borderId="0" xfId="0" applyNumberFormat="1"/>
    <xf numFmtId="2" fontId="0" fillId="0" borderId="0" xfId="0" applyNumberFormat="1" applyFill="1"/>
    <xf numFmtId="2" fontId="106" fillId="0" borderId="0" xfId="20" applyNumberFormat="1" applyFill="1" applyBorder="1" applyAlignment="1" applyProtection="1">
      <alignment horizontal="center"/>
      <protection locked="0"/>
    </xf>
    <xf numFmtId="169" fontId="8" fillId="0" borderId="0" xfId="0" applyFont="1" applyFill="1" applyBorder="1" applyAlignment="1" applyProtection="1">
      <alignment horizontal="center"/>
    </xf>
    <xf numFmtId="169" fontId="16" fillId="0" borderId="0" xfId="0" applyFont="1" applyFill="1" applyAlignment="1" applyProtection="1"/>
    <xf numFmtId="169" fontId="8" fillId="0" borderId="0" xfId="0" applyFont="1" applyAlignment="1" applyProtection="1">
      <alignment horizontal="left" indent="1"/>
    </xf>
    <xf numFmtId="169" fontId="11" fillId="0" borderId="0" xfId="0" applyFont="1" applyAlignment="1" applyProtection="1">
      <alignment horizontal="left" indent="1"/>
    </xf>
    <xf numFmtId="169" fontId="8" fillId="0" borderId="0" xfId="0" applyFont="1" applyFill="1" applyBorder="1" applyProtection="1"/>
    <xf numFmtId="43" fontId="48" fillId="0" borderId="0" xfId="14" applyFont="1" applyProtection="1"/>
    <xf numFmtId="43" fontId="48" fillId="0" borderId="0" xfId="16" applyFont="1" applyProtection="1"/>
    <xf numFmtId="169" fontId="48" fillId="0" borderId="2" xfId="0" applyFont="1" applyFill="1" applyBorder="1" applyAlignment="1" applyProtection="1">
      <alignment horizontal="center"/>
    </xf>
    <xf numFmtId="169" fontId="48" fillId="0" borderId="2" xfId="0" applyFont="1" applyFill="1" applyBorder="1" applyProtection="1"/>
    <xf numFmtId="43" fontId="48" fillId="0" borderId="2" xfId="16" applyFont="1" applyBorder="1" applyProtection="1"/>
    <xf numFmtId="169" fontId="49" fillId="0" borderId="2" xfId="0" applyFont="1" applyBorder="1" applyAlignment="1" applyProtection="1">
      <alignment horizontal="left" indent="1"/>
    </xf>
    <xf numFmtId="169" fontId="50" fillId="0" borderId="2" xfId="0" applyFont="1" applyBorder="1"/>
    <xf numFmtId="169" fontId="51" fillId="2" borderId="2" xfId="0" applyFont="1" applyFill="1" applyBorder="1" applyAlignment="1" applyProtection="1">
      <alignment horizontal="center"/>
    </xf>
    <xf numFmtId="169" fontId="51" fillId="2" borderId="2" xfId="0" applyFont="1" applyFill="1" applyBorder="1" applyAlignment="1">
      <alignment horizontal="center"/>
    </xf>
    <xf numFmtId="169" fontId="14" fillId="0" borderId="0" xfId="0" applyFont="1"/>
    <xf numFmtId="3" fontId="8" fillId="3" borderId="3" xfId="0" applyNumberFormat="1" applyFont="1" applyFill="1" applyBorder="1" applyAlignment="1">
      <alignment horizontal="right"/>
    </xf>
    <xf numFmtId="3" fontId="8" fillId="3" borderId="3" xfId="1" applyNumberFormat="1" applyFont="1" applyFill="1" applyBorder="1"/>
    <xf numFmtId="9" fontId="8" fillId="3" borderId="3" xfId="19" applyFont="1" applyFill="1" applyBorder="1"/>
    <xf numFmtId="9" fontId="8" fillId="3" borderId="3" xfId="19" applyNumberFormat="1" applyFont="1" applyFill="1" applyBorder="1"/>
    <xf numFmtId="169" fontId="8" fillId="3" borderId="3" xfId="0" applyFont="1" applyFill="1" applyBorder="1"/>
    <xf numFmtId="9" fontId="8" fillId="3" borderId="3" xfId="19" applyFont="1" applyFill="1" applyBorder="1" applyAlignment="1">
      <alignment horizontal="center"/>
    </xf>
    <xf numFmtId="169" fontId="8" fillId="0" borderId="0" xfId="0" applyFont="1"/>
    <xf numFmtId="169" fontId="26" fillId="0" borderId="0" xfId="0" applyFont="1" applyAlignment="1">
      <alignment horizontal="center"/>
    </xf>
    <xf numFmtId="43" fontId="43" fillId="0" borderId="0" xfId="13" applyFont="1" applyFill="1" applyAlignment="1">
      <alignment vertical="center"/>
    </xf>
    <xf numFmtId="169" fontId="7" fillId="0" borderId="0" xfId="0" applyFont="1"/>
    <xf numFmtId="169" fontId="36" fillId="0" borderId="0" xfId="0" applyFont="1" applyFill="1"/>
    <xf numFmtId="169" fontId="54" fillId="2" borderId="4" xfId="0" applyFont="1" applyFill="1" applyBorder="1" applyAlignment="1">
      <alignment vertical="center"/>
    </xf>
    <xf numFmtId="169" fontId="52" fillId="0" borderId="0" xfId="18" applyNumberFormat="1" applyFont="1" applyFill="1" applyBorder="1" applyAlignment="1">
      <alignment horizontal="center" vertical="center" wrapText="1"/>
    </xf>
    <xf numFmtId="169" fontId="52" fillId="4" borderId="5" xfId="18"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 fontId="55" fillId="3" borderId="0" xfId="0" applyNumberFormat="1" applyFont="1" applyFill="1" applyBorder="1" applyAlignment="1">
      <alignment horizontal="center"/>
    </xf>
    <xf numFmtId="169" fontId="55" fillId="0" borderId="0" xfId="0" applyFont="1" applyFill="1" applyBorder="1" applyAlignment="1" applyProtection="1">
      <alignment horizontal="left"/>
    </xf>
    <xf numFmtId="169" fontId="56" fillId="0" borderId="0" xfId="0" applyFont="1"/>
    <xf numFmtId="43" fontId="32" fillId="0" borderId="0" xfId="23" applyFont="1" applyFill="1" applyBorder="1" applyAlignment="1" applyProtection="1">
      <alignment horizontal="center" vertical="center"/>
      <protection locked="0"/>
    </xf>
    <xf numFmtId="15" fontId="0" fillId="0" borderId="0" xfId="0" applyNumberFormat="1"/>
    <xf numFmtId="169" fontId="0" fillId="0" borderId="2" xfId="0" quotePrefix="1" applyNumberFormat="1" applyBorder="1"/>
    <xf numFmtId="43" fontId="24" fillId="0" borderId="6" xfId="23" applyFont="1" applyBorder="1" applyAlignment="1" applyProtection="1"/>
    <xf numFmtId="43" fontId="106" fillId="0" borderId="6" xfId="23" applyFill="1" applyBorder="1" applyAlignment="1" applyProtection="1">
      <alignment vertical="center"/>
    </xf>
    <xf numFmtId="43" fontId="3" fillId="0" borderId="6" xfId="23" applyFont="1" applyFill="1" applyBorder="1" applyAlignment="1" applyProtection="1">
      <alignment vertical="center"/>
    </xf>
    <xf numFmtId="43" fontId="24" fillId="0" borderId="0" xfId="23" applyFont="1" applyBorder="1" applyAlignment="1" applyProtection="1"/>
    <xf numFmtId="43" fontId="106" fillId="0" borderId="0" xfId="23" applyFill="1" applyBorder="1" applyAlignment="1" applyProtection="1">
      <alignment vertical="center"/>
    </xf>
    <xf numFmtId="43" fontId="3" fillId="0" borderId="0" xfId="23" applyFont="1" applyFill="1" applyBorder="1" applyAlignment="1" applyProtection="1">
      <alignment vertical="center"/>
    </xf>
    <xf numFmtId="169"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69" fontId="25" fillId="0" borderId="9" xfId="0" applyFont="1" applyBorder="1" applyAlignment="1" applyProtection="1">
      <alignment horizontal="center"/>
    </xf>
    <xf numFmtId="165"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69" fontId="4" fillId="0" borderId="0" xfId="0" applyFont="1" applyFill="1" applyBorder="1" applyAlignment="1" applyProtection="1"/>
    <xf numFmtId="169" fontId="19" fillId="0" borderId="0" xfId="0" applyFont="1" applyFill="1" applyBorder="1" applyAlignment="1" applyProtection="1">
      <alignment horizontal="centerContinuous" wrapText="1"/>
    </xf>
    <xf numFmtId="169" fontId="19" fillId="0" borderId="0" xfId="0" applyFont="1" applyFill="1" applyBorder="1" applyAlignment="1" applyProtection="1">
      <alignment horizontal="centerContinuous"/>
    </xf>
    <xf numFmtId="169" fontId="0" fillId="0" borderId="0" xfId="0" applyFill="1" applyBorder="1" applyAlignment="1" applyProtection="1">
      <alignment horizontal="centerContinuous"/>
    </xf>
    <xf numFmtId="15" fontId="19" fillId="0" borderId="10" xfId="0" applyNumberFormat="1" applyFont="1" applyFill="1" applyBorder="1" applyAlignment="1" applyProtection="1"/>
    <xf numFmtId="169" fontId="19" fillId="0" borderId="10" xfId="0" applyFont="1" applyFill="1" applyBorder="1" applyProtection="1"/>
    <xf numFmtId="169" fontId="19" fillId="0" borderId="11" xfId="0" applyFont="1" applyFill="1" applyBorder="1" applyProtection="1"/>
    <xf numFmtId="43" fontId="31" fillId="0" borderId="12" xfId="23" applyFont="1" applyBorder="1" applyAlignment="1" applyProtection="1"/>
    <xf numFmtId="43" fontId="32" fillId="0" borderId="12" xfId="23" applyFont="1" applyFill="1" applyBorder="1" applyAlignment="1" applyProtection="1">
      <alignment vertical="center"/>
    </xf>
    <xf numFmtId="43" fontId="32" fillId="0" borderId="12" xfId="23" applyFont="1" applyFill="1" applyBorder="1" applyAlignment="1" applyProtection="1">
      <alignment horizontal="center" vertical="center"/>
    </xf>
    <xf numFmtId="43" fontId="32" fillId="0" borderId="0" xfId="23" applyFont="1" applyFill="1" applyBorder="1" applyAlignment="1" applyProtection="1">
      <alignment vertical="center"/>
    </xf>
    <xf numFmtId="43" fontId="31" fillId="0" borderId="0" xfId="23" applyFont="1" applyBorder="1" applyAlignment="1" applyProtection="1"/>
    <xf numFmtId="43" fontId="33" fillId="0" borderId="0" xfId="23" applyFont="1" applyFill="1" applyBorder="1" applyAlignment="1" applyProtection="1">
      <alignment vertical="center"/>
    </xf>
    <xf numFmtId="169" fontId="7" fillId="0" borderId="0" xfId="0" applyFont="1" applyBorder="1" applyAlignment="1" applyProtection="1">
      <alignment horizontal="center"/>
    </xf>
    <xf numFmtId="169" fontId="7" fillId="0" borderId="13" xfId="0" applyFont="1" applyBorder="1" applyAlignment="1" applyProtection="1">
      <alignment horizontal="center"/>
    </xf>
    <xf numFmtId="169" fontId="7" fillId="0" borderId="13" xfId="0" applyFont="1" applyBorder="1" applyAlignment="1" applyProtection="1">
      <alignment horizontal="center" wrapText="1"/>
    </xf>
    <xf numFmtId="169" fontId="7" fillId="0" borderId="14" xfId="0" applyFont="1" applyBorder="1" applyAlignment="1" applyProtection="1">
      <alignment horizontal="center"/>
    </xf>
    <xf numFmtId="169" fontId="7" fillId="0" borderId="15" xfId="0" applyFont="1" applyBorder="1" applyAlignment="1" applyProtection="1">
      <alignment horizontal="center"/>
    </xf>
    <xf numFmtId="169"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69" fontId="0" fillId="0" borderId="18" xfId="0" applyBorder="1" applyProtection="1"/>
    <xf numFmtId="169" fontId="0" fillId="0" borderId="14" xfId="0" applyBorder="1" applyAlignment="1" applyProtection="1">
      <alignment horizontal="center"/>
    </xf>
    <xf numFmtId="169" fontId="0" fillId="0" borderId="16" xfId="0" applyBorder="1" applyAlignment="1" applyProtection="1">
      <alignment horizontal="center"/>
    </xf>
    <xf numFmtId="169" fontId="25" fillId="0" borderId="13" xfId="0" applyFont="1" applyBorder="1" applyAlignment="1" applyProtection="1">
      <alignment horizontal="center"/>
    </xf>
    <xf numFmtId="169" fontId="25" fillId="0" borderId="14" xfId="0" applyFont="1" applyBorder="1" applyAlignment="1" applyProtection="1">
      <alignment horizontal="center"/>
    </xf>
    <xf numFmtId="169" fontId="0" fillId="0" borderId="0" xfId="0" applyFill="1" applyBorder="1" applyAlignment="1" applyProtection="1">
      <alignment horizontal="center" wrapText="1"/>
    </xf>
    <xf numFmtId="43" fontId="73" fillId="0" borderId="0" xfId="1" applyFont="1" applyFill="1" applyBorder="1" applyProtection="1"/>
    <xf numFmtId="43" fontId="0" fillId="0" borderId="0" xfId="0" applyNumberFormat="1" applyFill="1" applyBorder="1" applyProtection="1"/>
    <xf numFmtId="43" fontId="47" fillId="0" borderId="19" xfId="23" applyFont="1" applyFill="1" applyBorder="1" applyAlignment="1" applyProtection="1"/>
    <xf numFmtId="43" fontId="32" fillId="0" borderId="19" xfId="23" applyFont="1" applyFill="1" applyBorder="1" applyAlignment="1" applyProtection="1">
      <alignment vertical="center"/>
    </xf>
    <xf numFmtId="3" fontId="46" fillId="5" borderId="20" xfId="0" applyNumberFormat="1" applyFont="1" applyFill="1" applyBorder="1" applyAlignment="1" applyProtection="1">
      <alignment vertical="center"/>
      <protection locked="0"/>
    </xf>
    <xf numFmtId="43" fontId="21" fillId="0" borderId="0" xfId="0" applyNumberFormat="1" applyFont="1" applyAlignment="1" applyProtection="1">
      <alignment horizontal="right"/>
    </xf>
    <xf numFmtId="165" fontId="21" fillId="0" borderId="0" xfId="1" applyNumberFormat="1" applyFont="1" applyAlignment="1" applyProtection="1">
      <alignment horizontal="left"/>
    </xf>
    <xf numFmtId="15" fontId="21" fillId="0" borderId="0" xfId="0" applyNumberFormat="1" applyFont="1" applyAlignment="1" applyProtection="1">
      <alignment horizontal="left"/>
    </xf>
    <xf numFmtId="15" fontId="21" fillId="0" borderId="0" xfId="0" applyNumberFormat="1" applyFont="1" applyAlignment="1" applyProtection="1">
      <alignment horizontal="right"/>
    </xf>
    <xf numFmtId="43" fontId="21" fillId="0" borderId="0" xfId="0" applyNumberFormat="1" applyFont="1" applyProtection="1"/>
    <xf numFmtId="43" fontId="21" fillId="0" borderId="0" xfId="0" applyNumberFormat="1" applyFont="1" applyBorder="1" applyProtection="1"/>
    <xf numFmtId="43" fontId="21" fillId="0" borderId="0" xfId="0" applyNumberFormat="1" applyFont="1" applyBorder="1" applyAlignment="1" applyProtection="1">
      <alignment horizontal="right"/>
    </xf>
    <xf numFmtId="165" fontId="21" fillId="0" borderId="0" xfId="1" applyNumberFormat="1" applyFont="1" applyBorder="1" applyAlignment="1" applyProtection="1">
      <alignment horizontal="left"/>
    </xf>
    <xf numFmtId="169" fontId="12" fillId="0" borderId="0" xfId="0" applyFont="1" applyBorder="1" applyAlignment="1" applyProtection="1">
      <alignment horizontal="center"/>
    </xf>
    <xf numFmtId="169" fontId="12" fillId="0" borderId="0" xfId="0" applyFont="1" applyAlignment="1" applyProtection="1">
      <alignment horizontal="center"/>
    </xf>
    <xf numFmtId="169" fontId="27" fillId="0" borderId="2" xfId="0" applyFont="1" applyBorder="1" applyAlignment="1" applyProtection="1">
      <alignment horizontal="center" vertical="center" wrapText="1"/>
    </xf>
    <xf numFmtId="15" fontId="19" fillId="0" borderId="0" xfId="0" applyNumberFormat="1" applyFont="1" applyFill="1" applyBorder="1" applyAlignment="1" applyProtection="1"/>
    <xf numFmtId="15" fontId="19" fillId="0" borderId="0" xfId="0" applyNumberFormat="1" applyFont="1" applyFill="1" applyBorder="1" applyAlignment="1" applyProtection="1">
      <alignment horizontal="center" wrapText="1"/>
    </xf>
    <xf numFmtId="169" fontId="19" fillId="0" borderId="0" xfId="0" applyFont="1" applyFill="1" applyBorder="1" applyProtection="1"/>
    <xf numFmtId="169" fontId="0" fillId="0" borderId="0" xfId="0" applyFill="1" applyBorder="1" applyAlignment="1" applyProtection="1">
      <alignment horizontal="center"/>
    </xf>
    <xf numFmtId="169" fontId="19" fillId="0" borderId="0" xfId="0" applyFont="1" applyFill="1" applyBorder="1" applyAlignment="1" applyProtection="1"/>
    <xf numFmtId="169" fontId="0" fillId="0" borderId="14" xfId="0" applyBorder="1" applyAlignment="1" applyProtection="1">
      <alignment horizontal="center" wrapText="1"/>
    </xf>
    <xf numFmtId="169" fontId="34" fillId="0" borderId="0" xfId="0" applyFont="1" applyProtection="1"/>
    <xf numFmtId="169" fontId="34" fillId="0" borderId="0" xfId="0" applyFont="1" applyAlignment="1" applyProtection="1">
      <alignment horizontal="right"/>
    </xf>
    <xf numFmtId="169" fontId="34" fillId="0" borderId="0" xfId="0" applyFont="1" applyBorder="1" applyProtection="1"/>
    <xf numFmtId="169" fontId="35" fillId="0" borderId="0" xfId="0" applyFont="1" applyBorder="1" applyAlignment="1" applyProtection="1">
      <alignment horizontal="left" vertical="center"/>
    </xf>
    <xf numFmtId="169" fontId="35" fillId="0" borderId="0" xfId="0" applyFont="1" applyBorder="1" applyAlignment="1" applyProtection="1">
      <alignment horizontal="left"/>
    </xf>
    <xf numFmtId="166" fontId="35" fillId="0" borderId="0" xfId="0" applyNumberFormat="1" applyFont="1" applyBorder="1" applyAlignment="1" applyProtection="1">
      <alignment horizontal="left"/>
    </xf>
    <xf numFmtId="169" fontId="36" fillId="0" borderId="0" xfId="0" applyFont="1" applyProtection="1"/>
    <xf numFmtId="169" fontId="37" fillId="0" borderId="0" xfId="0" applyFont="1" applyFill="1" applyBorder="1" applyAlignment="1" applyProtection="1">
      <alignment horizontal="right"/>
    </xf>
    <xf numFmtId="3" fontId="41" fillId="0" borderId="0" xfId="0" applyNumberFormat="1" applyFont="1" applyFill="1" applyBorder="1" applyAlignment="1" applyProtection="1">
      <alignment horizontal="right" vertical="center"/>
    </xf>
    <xf numFmtId="169" fontId="38" fillId="3" borderId="0" xfId="0" applyNumberFormat="1" applyFont="1" applyFill="1" applyBorder="1" applyAlignment="1" applyProtection="1">
      <alignment horizontal="right"/>
    </xf>
    <xf numFmtId="169" fontId="40" fillId="3" borderId="0" xfId="0" applyFont="1" applyFill="1" applyBorder="1" applyAlignment="1" applyProtection="1">
      <alignment horizontal="center" vertical="center"/>
    </xf>
    <xf numFmtId="169" fontId="44" fillId="0" borderId="0" xfId="0" applyFont="1" applyFill="1" applyBorder="1" applyAlignment="1" applyProtection="1">
      <alignment horizontal="center"/>
    </xf>
    <xf numFmtId="169" fontId="38" fillId="0" borderId="0" xfId="0" applyNumberFormat="1" applyFont="1" applyFill="1" applyBorder="1" applyAlignment="1" applyProtection="1">
      <alignment horizontal="right"/>
    </xf>
    <xf numFmtId="9" fontId="39" fillId="0" borderId="0" xfId="0" applyNumberFormat="1" applyFont="1" applyFill="1" applyBorder="1" applyProtection="1"/>
    <xf numFmtId="169" fontId="27" fillId="0" borderId="23" xfId="0" applyNumberFormat="1" applyFont="1" applyFill="1" applyBorder="1" applyAlignment="1" applyProtection="1">
      <alignment vertical="center"/>
    </xf>
    <xf numFmtId="169" fontId="48" fillId="0" borderId="0" xfId="0" applyFont="1" applyFill="1" applyBorder="1" applyAlignment="1" applyProtection="1"/>
    <xf numFmtId="43" fontId="8" fillId="0" borderId="0" xfId="0" applyNumberFormat="1" applyFont="1"/>
    <xf numFmtId="169" fontId="21" fillId="0" borderId="0" xfId="0" applyNumberFormat="1" applyFont="1" applyAlignment="1" applyProtection="1">
      <alignment horizontal="center"/>
    </xf>
    <xf numFmtId="169" fontId="21" fillId="0" borderId="0" xfId="0" applyFont="1" applyAlignment="1" applyProtection="1">
      <alignment horizontal="center"/>
    </xf>
    <xf numFmtId="15" fontId="21"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0" fillId="0" borderId="0" xfId="0" applyNumberFormat="1" applyFont="1" applyBorder="1" applyProtection="1"/>
    <xf numFmtId="165" fontId="4" fillId="0" borderId="0" xfId="1" applyNumberFormat="1" applyFont="1" applyFill="1" applyBorder="1" applyAlignment="1" applyProtection="1">
      <protection locked="0"/>
    </xf>
    <xf numFmtId="165" fontId="4" fillId="0" borderId="0" xfId="1" applyNumberFormat="1" applyFont="1" applyFill="1" applyBorder="1" applyProtection="1">
      <protection locked="0"/>
    </xf>
    <xf numFmtId="169" fontId="0" fillId="0" borderId="0" xfId="0" applyBorder="1" applyAlignment="1">
      <alignment horizontal="center"/>
    </xf>
    <xf numFmtId="169" fontId="8" fillId="3" borderId="0" xfId="0" applyFont="1" applyFill="1"/>
    <xf numFmtId="164" fontId="8" fillId="3" borderId="0" xfId="0" applyNumberFormat="1" applyFont="1" applyFill="1"/>
    <xf numFmtId="165" fontId="8" fillId="3" borderId="0" xfId="0" applyNumberFormat="1" applyFont="1" applyFill="1"/>
    <xf numFmtId="3" fontId="8" fillId="3" borderId="0" xfId="0" applyNumberFormat="1" applyFont="1" applyFill="1" applyProtection="1"/>
    <xf numFmtId="164" fontId="8" fillId="3" borderId="0" xfId="0" applyNumberFormat="1" applyFont="1" applyFill="1" applyProtection="1"/>
    <xf numFmtId="169" fontId="27" fillId="0" borderId="0" xfId="0" applyFont="1" applyFill="1" applyAlignment="1" applyProtection="1">
      <alignment horizontal="left"/>
      <protection locked="0"/>
    </xf>
    <xf numFmtId="169" fontId="27" fillId="0" borderId="0" xfId="0" applyFont="1" applyFill="1" applyBorder="1" applyAlignment="1" applyProtection="1">
      <alignment horizontal="left"/>
      <protection locked="0"/>
    </xf>
    <xf numFmtId="169" fontId="21" fillId="0" borderId="0" xfId="0" applyFont="1" applyFill="1" applyBorder="1" applyAlignment="1">
      <alignment vertical="center" wrapText="1"/>
    </xf>
    <xf numFmtId="169" fontId="21" fillId="0" borderId="0" xfId="0" applyFont="1" applyFill="1" applyBorder="1" applyAlignment="1">
      <alignment horizontal="center"/>
    </xf>
    <xf numFmtId="169" fontId="0" fillId="3" borderId="0" xfId="0" applyFill="1" applyBorder="1" applyAlignment="1">
      <alignment horizontal="center"/>
    </xf>
    <xf numFmtId="169" fontId="21" fillId="0" borderId="24" xfId="0" applyFont="1" applyFill="1" applyBorder="1" applyAlignment="1" applyProtection="1">
      <alignment horizontal="center" wrapText="1"/>
    </xf>
    <xf numFmtId="169" fontId="0" fillId="0" borderId="25" xfId="0" applyBorder="1" applyProtection="1"/>
    <xf numFmtId="43" fontId="10" fillId="0" borderId="0" xfId="12" applyFont="1" applyFill="1" applyAlignment="1" applyProtection="1">
      <alignment horizontal="center" vertical="center"/>
    </xf>
    <xf numFmtId="43" fontId="9" fillId="0" borderId="0" xfId="12" applyFont="1" applyFill="1" applyAlignment="1" applyProtection="1">
      <alignment vertical="center"/>
    </xf>
    <xf numFmtId="169" fontId="57" fillId="0" borderId="0" xfId="0" applyFont="1"/>
    <xf numFmtId="43" fontId="7" fillId="0" borderId="0" xfId="0" applyNumberFormat="1" applyFont="1" applyAlignment="1" applyProtection="1">
      <alignment horizontal="center"/>
    </xf>
    <xf numFmtId="43" fontId="13" fillId="0" borderId="26" xfId="20" applyFont="1" applyBorder="1" applyAlignment="1" applyProtection="1">
      <alignment horizontal="right"/>
    </xf>
    <xf numFmtId="169" fontId="6" fillId="0" borderId="0" xfId="0" applyFont="1"/>
    <xf numFmtId="169" fontId="0" fillId="3" borderId="0" xfId="0" applyFill="1" applyProtection="1"/>
    <xf numFmtId="169" fontId="0" fillId="3" borderId="27" xfId="0" applyFill="1" applyBorder="1" applyProtection="1"/>
    <xf numFmtId="43" fontId="63" fillId="0" borderId="0" xfId="0" applyNumberFormat="1" applyFont="1"/>
    <xf numFmtId="169" fontId="63" fillId="0" borderId="0" xfId="0" applyFont="1"/>
    <xf numFmtId="43" fontId="0" fillId="0" borderId="0" xfId="0" quotePrefix="1" applyNumberFormat="1"/>
    <xf numFmtId="43" fontId="0" fillId="0" borderId="0" xfId="0" applyNumberFormat="1"/>
    <xf numFmtId="169" fontId="27" fillId="0" borderId="28" xfId="0" applyNumberFormat="1" applyFont="1" applyFill="1" applyBorder="1" applyAlignment="1" applyProtection="1">
      <alignment vertical="center"/>
    </xf>
    <xf numFmtId="43" fontId="106" fillId="0" borderId="0" xfId="17" applyFill="1" applyBorder="1" applyAlignment="1" applyProtection="1">
      <alignment horizontal="center"/>
    </xf>
    <xf numFmtId="169" fontId="27" fillId="0" borderId="0" xfId="0" quotePrefix="1" applyFont="1" applyProtection="1"/>
    <xf numFmtId="169" fontId="45" fillId="0" borderId="29" xfId="0" applyFont="1" applyBorder="1" applyAlignment="1">
      <alignment horizontal="justify" vertical="center" wrapText="1"/>
    </xf>
    <xf numFmtId="169" fontId="45" fillId="0" borderId="30" xfId="0" applyFont="1" applyBorder="1" applyAlignment="1">
      <alignment horizontal="justify" vertical="center" wrapText="1"/>
    </xf>
    <xf numFmtId="169" fontId="45" fillId="0" borderId="31" xfId="0" applyFont="1" applyBorder="1" applyAlignment="1">
      <alignment horizontal="justify" vertical="center" wrapText="1"/>
    </xf>
    <xf numFmtId="169" fontId="62" fillId="0" borderId="30" xfId="0" applyFont="1" applyBorder="1" applyAlignment="1">
      <alignment horizontal="justify" vertical="center" wrapText="1"/>
    </xf>
    <xf numFmtId="43" fontId="65" fillId="0" borderId="19" xfId="23" applyFont="1" applyFill="1" applyBorder="1" applyAlignment="1" applyProtection="1"/>
    <xf numFmtId="43" fontId="5" fillId="0" borderId="19" xfId="23" applyFont="1" applyFill="1" applyBorder="1" applyAlignment="1" applyProtection="1">
      <alignment vertical="center"/>
    </xf>
    <xf numFmtId="169" fontId="61" fillId="0" borderId="29" xfId="0" applyFont="1" applyBorder="1" applyAlignment="1">
      <alignment vertical="center" wrapText="1"/>
    </xf>
    <xf numFmtId="169" fontId="61" fillId="0" borderId="30" xfId="0" applyFont="1" applyBorder="1" applyAlignment="1">
      <alignment vertical="center" wrapText="1"/>
    </xf>
    <xf numFmtId="169" fontId="2" fillId="0" borderId="32" xfId="0" applyFont="1" applyFill="1" applyBorder="1" applyAlignment="1" applyProtection="1">
      <alignment horizontal="center"/>
    </xf>
    <xf numFmtId="169" fontId="1" fillId="0" borderId="0" xfId="0" applyFont="1"/>
    <xf numFmtId="169" fontId="68" fillId="0" borderId="0" xfId="0" applyFont="1"/>
    <xf numFmtId="43" fontId="70" fillId="0" borderId="19" xfId="23" applyFont="1" applyFill="1" applyBorder="1" applyAlignment="1" applyProtection="1">
      <alignment vertical="center"/>
    </xf>
    <xf numFmtId="169" fontId="69" fillId="0" borderId="0" xfId="0" applyFont="1" applyFill="1"/>
    <xf numFmtId="15" fontId="29" fillId="0" borderId="0" xfId="0" applyNumberFormat="1" applyFont="1" applyAlignment="1" applyProtection="1">
      <alignment horizontal="center"/>
    </xf>
    <xf numFmtId="1" fontId="14" fillId="6" borderId="2" xfId="0" applyNumberFormat="1" applyFont="1" applyFill="1" applyBorder="1" applyAlignment="1" applyProtection="1">
      <alignment horizontal="center"/>
      <protection locked="0"/>
    </xf>
    <xf numFmtId="1" fontId="14" fillId="6" borderId="33" xfId="0" applyNumberFormat="1" applyFont="1" applyFill="1" applyBorder="1" applyAlignment="1" applyProtection="1">
      <alignment horizontal="center"/>
      <protection locked="0"/>
    </xf>
    <xf numFmtId="165" fontId="0" fillId="0" borderId="0" xfId="0" applyNumberFormat="1" applyProtection="1"/>
    <xf numFmtId="43" fontId="13" fillId="0" borderId="0" xfId="15" applyFont="1" applyFill="1" applyAlignment="1" applyProtection="1">
      <alignment horizontal="right" vertical="center"/>
    </xf>
    <xf numFmtId="169" fontId="75" fillId="0" borderId="0" xfId="0" applyFont="1" applyFill="1" applyBorder="1" applyAlignment="1" applyProtection="1">
      <alignment horizontal="right"/>
    </xf>
    <xf numFmtId="43" fontId="76" fillId="0" borderId="6" xfId="23" applyFont="1" applyFill="1" applyBorder="1" applyAlignment="1" applyProtection="1">
      <alignment horizontal="left" vertical="center"/>
    </xf>
    <xf numFmtId="169" fontId="77" fillId="0" borderId="0" xfId="0" applyFont="1" applyFill="1" applyBorder="1" applyProtection="1"/>
    <xf numFmtId="169" fontId="75" fillId="0" borderId="0" xfId="0" applyFont="1" applyBorder="1" applyProtection="1"/>
    <xf numFmtId="3" fontId="4" fillId="0" borderId="0" xfId="0" applyNumberFormat="1" applyFont="1" applyAlignment="1" applyProtection="1">
      <alignment horizontal="right"/>
    </xf>
    <xf numFmtId="15" fontId="74" fillId="0" borderId="0" xfId="0" applyNumberFormat="1" applyFont="1" applyFill="1" applyBorder="1" applyAlignment="1" applyProtection="1">
      <alignment horizontal="left"/>
    </xf>
    <xf numFmtId="169" fontId="80" fillId="0" borderId="0" xfId="0" applyFont="1" applyFill="1" applyBorder="1" applyAlignment="1" applyProtection="1">
      <alignment horizontal="center" wrapText="1"/>
    </xf>
    <xf numFmtId="169" fontId="75" fillId="0" borderId="0" xfId="0" applyFont="1" applyFill="1" applyBorder="1" applyAlignment="1" applyProtection="1">
      <alignment horizontal="center"/>
    </xf>
    <xf numFmtId="169" fontId="0" fillId="0" borderId="0" xfId="0" quotePrefix="1" applyProtection="1"/>
    <xf numFmtId="15" fontId="25" fillId="0" borderId="34"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69" fontId="86" fillId="0" borderId="0" xfId="0" applyFont="1" applyBorder="1" applyAlignment="1" applyProtection="1">
      <alignment horizontal="right"/>
    </xf>
    <xf numFmtId="169" fontId="86" fillId="0" borderId="0" xfId="0" applyFont="1" applyAlignment="1" applyProtection="1">
      <alignment horizontal="right"/>
    </xf>
    <xf numFmtId="43" fontId="85" fillId="0" borderId="0" xfId="4" applyFont="1" applyFill="1" applyAlignment="1" applyProtection="1">
      <alignment vertical="center"/>
    </xf>
    <xf numFmtId="169" fontId="86" fillId="0" borderId="0" xfId="0" applyFont="1" applyProtection="1"/>
    <xf numFmtId="169" fontId="86" fillId="0" borderId="0" xfId="0" applyFont="1" applyBorder="1" applyProtection="1"/>
    <xf numFmtId="169" fontId="0" fillId="0" borderId="0" xfId="0" applyBorder="1" applyAlignment="1" applyProtection="1"/>
    <xf numFmtId="169" fontId="0" fillId="0" borderId="0" xfId="0" applyAlignment="1" applyProtection="1"/>
    <xf numFmtId="3" fontId="0" fillId="0" borderId="0" xfId="0" applyNumberFormat="1" applyFill="1" applyProtection="1"/>
    <xf numFmtId="169" fontId="0" fillId="0" borderId="0" xfId="0" applyFill="1" applyBorder="1" applyProtection="1">
      <protection locked="0"/>
    </xf>
    <xf numFmtId="169" fontId="72" fillId="0" borderId="0" xfId="0" applyFont="1" applyFill="1" applyBorder="1" applyAlignment="1" applyProtection="1">
      <alignment horizontal="center" vertical="center"/>
    </xf>
    <xf numFmtId="169" fontId="4" fillId="0" borderId="35" xfId="0" applyFont="1" applyBorder="1" applyAlignment="1" applyProtection="1"/>
    <xf numFmtId="169" fontId="4" fillId="0" borderId="36" xfId="0" applyFont="1" applyBorder="1" applyAlignment="1" applyProtection="1"/>
    <xf numFmtId="169" fontId="18" fillId="0" borderId="37" xfId="0" applyFont="1" applyBorder="1" applyAlignment="1" applyProtection="1">
      <alignment vertical="distributed"/>
    </xf>
    <xf numFmtId="15" fontId="20" fillId="0" borderId="38" xfId="0" applyNumberFormat="1" applyFont="1" applyFill="1" applyBorder="1" applyAlignment="1" applyProtection="1">
      <alignment horizontal="center" vertical="center" wrapText="1"/>
    </xf>
    <xf numFmtId="169" fontId="4" fillId="0" borderId="0" xfId="0" applyFont="1" applyFill="1" applyBorder="1" applyAlignment="1" applyProtection="1">
      <protection locked="0"/>
    </xf>
    <xf numFmtId="169" fontId="81" fillId="0" borderId="0" xfId="0" applyFont="1" applyFill="1" applyBorder="1" applyAlignment="1" applyProtection="1">
      <alignment horizontal="left"/>
      <protection locked="0"/>
    </xf>
    <xf numFmtId="169" fontId="19" fillId="0" borderId="39" xfId="0" applyFont="1" applyFill="1" applyBorder="1" applyAlignment="1" applyProtection="1"/>
    <xf numFmtId="15" fontId="19" fillId="0" borderId="2" xfId="0" applyNumberFormat="1" applyFont="1" applyFill="1" applyBorder="1" applyAlignment="1" applyProtection="1">
      <alignment horizontal="center"/>
    </xf>
    <xf numFmtId="15" fontId="19" fillId="0" borderId="40" xfId="0" applyNumberFormat="1" applyFont="1" applyFill="1" applyBorder="1" applyAlignment="1" applyProtection="1">
      <alignment horizontal="center"/>
    </xf>
    <xf numFmtId="15" fontId="82" fillId="0" borderId="25" xfId="0" applyNumberFormat="1" applyFont="1" applyFill="1" applyBorder="1" applyAlignment="1" applyProtection="1">
      <alignment horizontal="center" wrapText="1"/>
    </xf>
    <xf numFmtId="15" fontId="82" fillId="0" borderId="41" xfId="0" applyNumberFormat="1" applyFont="1" applyFill="1" applyBorder="1" applyAlignment="1" applyProtection="1">
      <alignment horizontal="center" wrapText="1"/>
    </xf>
    <xf numFmtId="169" fontId="0" fillId="0" borderId="0" xfId="0" applyFill="1" applyBorder="1" applyAlignment="1" applyProtection="1">
      <alignment horizontal="left" vertical="top"/>
      <protection locked="0"/>
    </xf>
    <xf numFmtId="169" fontId="74" fillId="0" borderId="0" xfId="0" applyFont="1" applyFill="1" applyBorder="1" applyAlignment="1" applyProtection="1">
      <alignment horizontal="center"/>
    </xf>
    <xf numFmtId="169" fontId="79"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4" fontId="0" fillId="0" borderId="2" xfId="0" applyNumberFormat="1" applyBorder="1" applyAlignment="1" applyProtection="1">
      <alignment horizontal="center"/>
      <protection locked="0"/>
    </xf>
    <xf numFmtId="169" fontId="0" fillId="0" borderId="42" xfId="0" applyBorder="1" applyAlignment="1" applyProtection="1">
      <alignment horizontal="center"/>
    </xf>
    <xf numFmtId="169" fontId="0" fillId="0" borderId="25" xfId="0" applyFill="1" applyBorder="1" applyAlignment="1" applyProtection="1">
      <alignment horizontal="center"/>
    </xf>
    <xf numFmtId="169" fontId="1" fillId="0" borderId="24" xfId="0" applyFont="1" applyFill="1" applyBorder="1" applyAlignment="1" applyProtection="1">
      <alignment horizontal="center" wrapText="1"/>
    </xf>
    <xf numFmtId="169" fontId="0" fillId="0" borderId="24" xfId="0" applyBorder="1" applyAlignment="1">
      <alignment horizontal="center" wrapText="1"/>
    </xf>
    <xf numFmtId="169" fontId="21" fillId="0" borderId="24" xfId="0" applyFont="1" applyBorder="1" applyAlignment="1">
      <alignment horizontal="center" wrapText="1"/>
    </xf>
    <xf numFmtId="169" fontId="1" fillId="0" borderId="41" xfId="0" applyFont="1" applyFill="1" applyBorder="1" applyAlignment="1" applyProtection="1">
      <alignment horizontal="center" wrapText="1"/>
    </xf>
    <xf numFmtId="3" fontId="46" fillId="7" borderId="20" xfId="0" applyNumberFormat="1" applyFont="1" applyFill="1" applyBorder="1" applyAlignment="1" applyProtection="1">
      <alignment vertical="center"/>
      <protection locked="0"/>
    </xf>
    <xf numFmtId="3" fontId="46" fillId="7" borderId="2" xfId="0" applyNumberFormat="1" applyFont="1" applyFill="1" applyBorder="1" applyAlignment="1" applyProtection="1">
      <alignment horizontal="right" vertical="center"/>
      <protection locked="0"/>
    </xf>
    <xf numFmtId="169" fontId="52" fillId="0" borderId="43" xfId="0" applyFont="1" applyFill="1" applyBorder="1" applyAlignment="1" applyProtection="1">
      <alignment horizontal="center" vertical="center"/>
    </xf>
    <xf numFmtId="169" fontId="17" fillId="0" borderId="0" xfId="0" applyFont="1" applyProtection="1"/>
    <xf numFmtId="43" fontId="82" fillId="0" borderId="0" xfId="0" applyNumberFormat="1" applyFont="1" applyBorder="1" applyAlignment="1" applyProtection="1">
      <alignment vertical="center" wrapText="1"/>
    </xf>
    <xf numFmtId="169" fontId="82" fillId="0" borderId="0" xfId="0" applyFont="1" applyFill="1" applyBorder="1" applyAlignment="1" applyProtection="1">
      <alignment wrapText="1"/>
    </xf>
    <xf numFmtId="43" fontId="13" fillId="0" borderId="26" xfId="20" applyFont="1" applyFill="1" applyBorder="1" applyAlignment="1" applyProtection="1">
      <alignment horizontal="right"/>
    </xf>
    <xf numFmtId="169" fontId="27" fillId="0" borderId="44" xfId="0" applyFont="1" applyFill="1" applyBorder="1" applyAlignment="1" applyProtection="1">
      <alignment horizontal="center" wrapText="1"/>
    </xf>
    <xf numFmtId="169" fontId="14" fillId="3" borderId="29" xfId="0" applyFont="1" applyFill="1" applyBorder="1" applyAlignment="1" applyProtection="1"/>
    <xf numFmtId="169" fontId="14" fillId="3" borderId="45" xfId="0" applyFont="1" applyFill="1" applyBorder="1" applyAlignment="1" applyProtection="1"/>
    <xf numFmtId="169" fontId="21" fillId="0" borderId="0" xfId="0" applyFont="1" applyFill="1" applyBorder="1" applyAlignment="1" applyProtection="1">
      <alignment wrapText="1"/>
    </xf>
    <xf numFmtId="9" fontId="84" fillId="8" borderId="2" xfId="19" applyFont="1" applyFill="1" applyBorder="1" applyAlignment="1" applyProtection="1">
      <alignment horizontal="center" vertical="center" wrapText="1"/>
    </xf>
    <xf numFmtId="43" fontId="21" fillId="0" borderId="0" xfId="0" applyNumberFormat="1" applyFont="1" applyAlignment="1" applyProtection="1"/>
    <xf numFmtId="169" fontId="0" fillId="0" borderId="19" xfId="0" applyFill="1" applyBorder="1" applyProtection="1"/>
    <xf numFmtId="43" fontId="87" fillId="0" borderId="19" xfId="23" applyFont="1" applyFill="1" applyBorder="1" applyAlignment="1" applyProtection="1">
      <alignment vertical="center"/>
    </xf>
    <xf numFmtId="169" fontId="0" fillId="0" borderId="19" xfId="0" applyBorder="1" applyProtection="1"/>
    <xf numFmtId="169" fontId="0" fillId="0" borderId="19" xfId="0" applyBorder="1"/>
    <xf numFmtId="9" fontId="8" fillId="0" borderId="0" xfId="19" applyFont="1" applyProtection="1"/>
    <xf numFmtId="14" fontId="17" fillId="6" borderId="26" xfId="20" applyNumberFormat="1" applyFont="1" applyFill="1" applyBorder="1" applyAlignment="1" applyProtection="1">
      <alignment horizontal="center" vertical="center"/>
    </xf>
    <xf numFmtId="43" fontId="17" fillId="6" borderId="26" xfId="20" applyFont="1" applyFill="1" applyBorder="1" applyAlignment="1" applyProtection="1">
      <alignment horizontal="center" vertical="center"/>
    </xf>
    <xf numFmtId="169" fontId="17" fillId="6" borderId="26" xfId="20" applyNumberFormat="1" applyFont="1" applyFill="1" applyBorder="1" applyAlignment="1" applyProtection="1">
      <alignment horizontal="center"/>
    </xf>
    <xf numFmtId="3" fontId="17" fillId="6" borderId="26" xfId="20" applyNumberFormat="1" applyFont="1" applyFill="1" applyBorder="1" applyAlignment="1" applyProtection="1">
      <alignment horizontal="center"/>
    </xf>
    <xf numFmtId="43" fontId="17" fillId="6" borderId="26" xfId="20" applyFont="1" applyFill="1" applyBorder="1" applyAlignment="1" applyProtection="1">
      <alignment horizontal="center"/>
    </xf>
    <xf numFmtId="43" fontId="63" fillId="0" borderId="0" xfId="0" applyNumberFormat="1" applyFont="1" applyAlignment="1"/>
    <xf numFmtId="169" fontId="27" fillId="0" borderId="24" xfId="0" applyFont="1" applyFill="1" applyBorder="1" applyAlignment="1" applyProtection="1">
      <alignment horizontal="center" wrapText="1"/>
    </xf>
    <xf numFmtId="169" fontId="23" fillId="5" borderId="0" xfId="0" applyFont="1" applyFill="1" applyBorder="1" applyAlignment="1" applyProtection="1">
      <alignment horizontal="left"/>
      <protection locked="0"/>
    </xf>
    <xf numFmtId="49" fontId="0" fillId="0" borderId="0" xfId="0" applyNumberFormat="1" applyProtection="1"/>
    <xf numFmtId="3" fontId="0" fillId="6" borderId="2" xfId="0" applyNumberFormat="1" applyFill="1" applyBorder="1" applyAlignment="1" applyProtection="1">
      <alignment horizontal="right" wrapText="1"/>
      <protection locked="0"/>
    </xf>
    <xf numFmtId="3" fontId="0" fillId="0" borderId="2" xfId="0" applyNumberFormat="1" applyBorder="1" applyAlignment="1" applyProtection="1">
      <alignment horizontal="right" wrapText="1"/>
    </xf>
    <xf numFmtId="3" fontId="0" fillId="6" borderId="2" xfId="0" applyNumberFormat="1" applyFill="1" applyBorder="1" applyProtection="1">
      <protection locked="0"/>
    </xf>
    <xf numFmtId="3" fontId="0" fillId="0" borderId="2" xfId="0" applyNumberFormat="1" applyFill="1" applyBorder="1" applyProtection="1"/>
    <xf numFmtId="3" fontId="0" fillId="6" borderId="46"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169" fontId="0" fillId="0" borderId="0" xfId="0" applyNumberFormat="1" applyFill="1" applyBorder="1" applyProtection="1">
      <protection locked="0"/>
    </xf>
    <xf numFmtId="164" fontId="25" fillId="2" borderId="47" xfId="0" applyNumberFormat="1" applyFont="1" applyFill="1" applyBorder="1" applyAlignment="1" applyProtection="1">
      <alignment horizontal="center"/>
      <protection locked="0"/>
    </xf>
    <xf numFmtId="164" fontId="25" fillId="2" borderId="48" xfId="0" applyNumberFormat="1" applyFont="1" applyFill="1" applyBorder="1" applyAlignment="1" applyProtection="1">
      <alignment horizontal="center"/>
      <protection locked="0"/>
    </xf>
    <xf numFmtId="164" fontId="25" fillId="2" borderId="49" xfId="0" applyNumberFormat="1" applyFont="1" applyFill="1" applyBorder="1" applyAlignment="1" applyProtection="1">
      <alignment horizontal="center"/>
      <protection locked="0"/>
    </xf>
    <xf numFmtId="164" fontId="25" fillId="2" borderId="50" xfId="0" applyNumberFormat="1" applyFont="1" applyFill="1" applyBorder="1" applyAlignment="1" applyProtection="1">
      <alignment horizontal="center"/>
      <protection locked="0"/>
    </xf>
    <xf numFmtId="164" fontId="25" fillId="2" borderId="51" xfId="0" applyNumberFormat="1" applyFont="1" applyFill="1" applyBorder="1" applyAlignment="1" applyProtection="1">
      <alignment horizontal="center"/>
      <protection locked="0"/>
    </xf>
    <xf numFmtId="169" fontId="0" fillId="0" borderId="52" xfId="0" applyFill="1" applyBorder="1" applyAlignment="1" applyProtection="1">
      <alignment horizontal="center"/>
    </xf>
    <xf numFmtId="43" fontId="1" fillId="0" borderId="26" xfId="20" applyFont="1" applyBorder="1" applyAlignment="1" applyProtection="1">
      <alignment horizontal="right"/>
    </xf>
    <xf numFmtId="43" fontId="95" fillId="0" borderId="0" xfId="16" applyFont="1" applyFill="1" applyBorder="1" applyProtection="1"/>
    <xf numFmtId="3" fontId="21" fillId="9" borderId="47" xfId="0" applyNumberFormat="1" applyFont="1" applyFill="1" applyBorder="1" applyAlignment="1" applyProtection="1">
      <protection locked="0"/>
    </xf>
    <xf numFmtId="3" fontId="21" fillId="9" borderId="53"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4" xfId="0" applyNumberFormat="1" applyFont="1" applyFill="1" applyBorder="1" applyAlignment="1" applyProtection="1"/>
    <xf numFmtId="164" fontId="7" fillId="2" borderId="57" xfId="0" applyNumberFormat="1" applyFont="1" applyFill="1" applyBorder="1" applyAlignment="1" applyProtection="1">
      <alignment horizontal="center"/>
      <protection locked="0"/>
    </xf>
    <xf numFmtId="164" fontId="7" fillId="2" borderId="58" xfId="0" applyNumberFormat="1" applyFont="1" applyFill="1" applyBorder="1" applyAlignment="1" applyProtection="1">
      <alignment horizontal="center"/>
      <protection locked="0"/>
    </xf>
    <xf numFmtId="169" fontId="0" fillId="9" borderId="2" xfId="0" applyFill="1" applyBorder="1" applyProtection="1"/>
    <xf numFmtId="169" fontId="0" fillId="6" borderId="2" xfId="0" applyFill="1" applyBorder="1" applyProtection="1"/>
    <xf numFmtId="49" fontId="18" fillId="0" borderId="59" xfId="0" applyNumberFormat="1" applyFont="1" applyFill="1" applyBorder="1" applyAlignment="1" applyProtection="1">
      <alignment vertical="center" wrapText="1"/>
    </xf>
    <xf numFmtId="169" fontId="64" fillId="0" borderId="60" xfId="0" applyNumberFormat="1" applyFont="1" applyFill="1" applyBorder="1" applyAlignment="1" applyProtection="1">
      <alignment horizontal="center" vertical="center" wrapText="1"/>
    </xf>
    <xf numFmtId="169" fontId="64" fillId="0" borderId="61" xfId="0" applyNumberFormat="1" applyFont="1" applyFill="1" applyBorder="1" applyAlignment="1" applyProtection="1">
      <alignment horizontal="center" vertical="center" wrapText="1"/>
    </xf>
    <xf numFmtId="169" fontId="19" fillId="0" borderId="62" xfId="0" applyFont="1" applyFill="1" applyBorder="1" applyAlignment="1" applyProtection="1">
      <alignment wrapText="1"/>
      <protection locked="0"/>
    </xf>
    <xf numFmtId="169" fontId="0" fillId="0" borderId="63" xfId="0" applyBorder="1" applyAlignment="1" applyProtection="1"/>
    <xf numFmtId="49" fontId="0" fillId="0" borderId="2" xfId="0" applyNumberFormat="1" applyBorder="1" applyAlignment="1" applyProtection="1">
      <alignment horizontal="center"/>
      <protection locked="0"/>
    </xf>
    <xf numFmtId="49" fontId="0" fillId="6" borderId="2" xfId="0" applyNumberFormat="1" applyFill="1" applyBorder="1" applyProtection="1">
      <protection locked="0"/>
    </xf>
    <xf numFmtId="169" fontId="0" fillId="6" borderId="2" xfId="0" applyNumberFormat="1" applyFill="1" applyBorder="1" applyProtection="1">
      <protection locked="0"/>
    </xf>
    <xf numFmtId="169" fontId="0" fillId="0" borderId="2" xfId="0" applyNumberFormat="1" applyFill="1" applyBorder="1" applyProtection="1"/>
    <xf numFmtId="169" fontId="0" fillId="6" borderId="2" xfId="0" applyNumberFormat="1" applyFill="1" applyBorder="1" applyAlignment="1" applyProtection="1">
      <alignment horizontal="center"/>
      <protection locked="0"/>
    </xf>
    <xf numFmtId="49" fontId="0" fillId="6" borderId="46" xfId="0" applyNumberFormat="1" applyFill="1" applyBorder="1" applyAlignment="1" applyProtection="1">
      <alignment horizontal="left"/>
      <protection locked="0"/>
    </xf>
    <xf numFmtId="169" fontId="0" fillId="6" borderId="46" xfId="0" applyNumberFormat="1" applyFill="1" applyBorder="1" applyProtection="1">
      <protection locked="0"/>
    </xf>
    <xf numFmtId="169" fontId="0" fillId="6" borderId="46" xfId="0" applyNumberFormat="1" applyFill="1" applyBorder="1" applyAlignment="1" applyProtection="1">
      <alignment horizontal="center"/>
      <protection locked="0"/>
    </xf>
    <xf numFmtId="43" fontId="106" fillId="9" borderId="64" xfId="23" applyFill="1" applyBorder="1" applyAlignment="1" applyProtection="1">
      <alignment vertical="center"/>
    </xf>
    <xf numFmtId="169" fontId="0" fillId="5" borderId="65" xfId="0" applyFill="1" applyBorder="1"/>
    <xf numFmtId="169" fontId="0" fillId="0" borderId="12" xfId="0" applyBorder="1" applyProtection="1"/>
    <xf numFmtId="43" fontId="32" fillId="6" borderId="66" xfId="23" applyFont="1" applyFill="1" applyBorder="1" applyAlignment="1" applyProtection="1">
      <alignment horizontal="center" vertical="center"/>
    </xf>
    <xf numFmtId="43" fontId="32" fillId="0" borderId="67" xfId="23" applyFont="1" applyFill="1" applyBorder="1" applyAlignment="1" applyProtection="1">
      <alignment vertical="center"/>
    </xf>
    <xf numFmtId="169" fontId="0" fillId="0" borderId="68" xfId="0" applyNumberFormat="1" applyFill="1" applyBorder="1"/>
    <xf numFmtId="15" fontId="20" fillId="0" borderId="69" xfId="0" applyNumberFormat="1" applyFont="1" applyFill="1" applyBorder="1" applyAlignment="1" applyProtection="1">
      <alignment horizontal="center" vertical="center" wrapText="1"/>
    </xf>
    <xf numFmtId="169" fontId="0" fillId="0" borderId="2" xfId="0" quotePrefix="1" applyNumberFormat="1" applyBorder="1" applyAlignment="1">
      <alignment horizontal="center"/>
    </xf>
    <xf numFmtId="3" fontId="0" fillId="0" borderId="0" xfId="0" applyNumberFormat="1" applyFill="1" applyBorder="1" applyProtection="1">
      <protection locked="0"/>
    </xf>
    <xf numFmtId="167" fontId="0" fillId="0" borderId="2" xfId="0" applyNumberFormat="1" applyFill="1" applyBorder="1" applyAlignment="1" applyProtection="1">
      <alignment horizontal="center"/>
    </xf>
    <xf numFmtId="167" fontId="8" fillId="10" borderId="70" xfId="0" applyNumberFormat="1" applyFont="1" applyFill="1" applyBorder="1" applyAlignment="1" applyProtection="1">
      <alignment horizontal="center"/>
    </xf>
    <xf numFmtId="167" fontId="14" fillId="10" borderId="70" xfId="0" applyNumberFormat="1" applyFont="1" applyFill="1" applyBorder="1" applyAlignment="1" applyProtection="1">
      <alignment horizontal="center"/>
    </xf>
    <xf numFmtId="43" fontId="48" fillId="0" borderId="2" xfId="16" applyFont="1" applyBorder="1" applyAlignment="1" applyProtection="1">
      <alignment horizontal="center"/>
    </xf>
    <xf numFmtId="169" fontId="48" fillId="0" borderId="2" xfId="0" applyFont="1" applyBorder="1" applyAlignment="1" applyProtection="1">
      <alignment horizontal="center"/>
    </xf>
    <xf numFmtId="167" fontId="0" fillId="3" borderId="2" xfId="0" applyNumberFormat="1" applyFill="1" applyBorder="1" applyAlignment="1" applyProtection="1">
      <alignment horizontal="center"/>
    </xf>
    <xf numFmtId="167" fontId="0" fillId="0" borderId="2" xfId="0" applyNumberFormat="1" applyBorder="1" applyAlignment="1" applyProtection="1">
      <alignment horizontal="center"/>
    </xf>
    <xf numFmtId="167" fontId="0" fillId="3" borderId="46" xfId="0" applyNumberFormat="1" applyFill="1" applyBorder="1" applyAlignment="1" applyProtection="1">
      <alignment horizontal="center"/>
    </xf>
    <xf numFmtId="167" fontId="0" fillId="0" borderId="46" xfId="0" applyNumberFormat="1" applyBorder="1" applyAlignment="1" applyProtection="1">
      <alignment horizontal="center"/>
    </xf>
    <xf numFmtId="169" fontId="46" fillId="11" borderId="2" xfId="0" applyFont="1" applyFill="1" applyBorder="1" applyAlignment="1" applyProtection="1">
      <alignment horizontal="center"/>
    </xf>
    <xf numFmtId="169" fontId="46" fillId="12" borderId="2" xfId="0" applyFont="1" applyFill="1" applyBorder="1" applyAlignment="1" applyProtection="1">
      <alignment horizontal="center"/>
    </xf>
    <xf numFmtId="3" fontId="46" fillId="13" borderId="2" xfId="0" applyNumberFormat="1" applyFont="1" applyFill="1" applyBorder="1" applyAlignment="1" applyProtection="1">
      <alignment vertical="center"/>
      <protection locked="0"/>
    </xf>
    <xf numFmtId="3" fontId="46" fillId="13" borderId="20" xfId="0" applyNumberFormat="1" applyFont="1" applyFill="1" applyBorder="1" applyAlignment="1" applyProtection="1">
      <alignment vertical="center"/>
      <protection locked="0"/>
    </xf>
    <xf numFmtId="3" fontId="46" fillId="7" borderId="20" xfId="0" applyNumberFormat="1" applyFont="1" applyFill="1" applyBorder="1" applyAlignment="1" applyProtection="1">
      <alignment horizontal="right" vertical="center"/>
      <protection locked="0"/>
    </xf>
    <xf numFmtId="169" fontId="0" fillId="0" borderId="82" xfId="0" applyBorder="1"/>
    <xf numFmtId="169" fontId="0" fillId="0" borderId="46" xfId="0" applyNumberFormat="1" applyFill="1" applyBorder="1" applyProtection="1"/>
    <xf numFmtId="3" fontId="0" fillId="0" borderId="46" xfId="0" applyNumberFormat="1" applyFill="1" applyBorder="1" applyProtection="1"/>
    <xf numFmtId="167" fontId="0" fillId="0" borderId="46" xfId="0" applyNumberFormat="1" applyFill="1" applyBorder="1" applyAlignment="1" applyProtection="1">
      <alignment horizontal="center"/>
    </xf>
    <xf numFmtId="169" fontId="0" fillId="0" borderId="83" xfId="0" applyBorder="1" applyAlignment="1" applyProtection="1">
      <alignment horizontal="center" wrapText="1"/>
    </xf>
    <xf numFmtId="3" fontId="0" fillId="0" borderId="46" xfId="0" applyNumberFormat="1" applyBorder="1" applyAlignment="1" applyProtection="1">
      <alignment horizontal="right" wrapText="1"/>
    </xf>
    <xf numFmtId="3" fontId="0" fillId="6" borderId="84" xfId="0" applyNumberFormat="1" applyFill="1" applyBorder="1" applyAlignment="1" applyProtection="1">
      <alignment horizontal="right" wrapText="1"/>
      <protection locked="0"/>
    </xf>
    <xf numFmtId="167" fontId="0" fillId="0" borderId="84" xfId="0" applyNumberFormat="1" applyFill="1" applyBorder="1" applyProtection="1"/>
    <xf numFmtId="167" fontId="0" fillId="0" borderId="85" xfId="0" applyNumberFormat="1" applyFill="1" applyBorder="1" applyProtection="1"/>
    <xf numFmtId="3" fontId="46" fillId="0" borderId="20" xfId="0" applyNumberFormat="1" applyFont="1" applyFill="1" applyBorder="1" applyAlignment="1" applyProtection="1">
      <alignment vertical="center"/>
    </xf>
    <xf numFmtId="3" fontId="46" fillId="11" borderId="20" xfId="0" applyNumberFormat="1" applyFont="1" applyFill="1" applyBorder="1" applyAlignment="1" applyProtection="1">
      <alignment vertical="center"/>
    </xf>
    <xf numFmtId="3" fontId="46" fillId="0" borderId="81" xfId="0" applyNumberFormat="1" applyFont="1" applyFill="1" applyBorder="1" applyAlignment="1" applyProtection="1">
      <alignment vertical="center"/>
    </xf>
    <xf numFmtId="169" fontId="27" fillId="5" borderId="0" xfId="0" applyFont="1" applyFill="1" applyBorder="1" applyAlignment="1" applyProtection="1">
      <alignment horizontal="left" vertical="top" wrapText="1"/>
      <protection locked="0"/>
    </xf>
    <xf numFmtId="3" fontId="102" fillId="7" borderId="2" xfId="0" applyNumberFormat="1" applyFont="1" applyFill="1" applyBorder="1" applyAlignment="1" applyProtection="1">
      <alignment vertical="center"/>
      <protection locked="0"/>
    </xf>
    <xf numFmtId="3" fontId="102" fillId="7" borderId="2" xfId="0" applyNumberFormat="1" applyFont="1" applyFill="1" applyBorder="1" applyAlignment="1" applyProtection="1">
      <alignment horizontal="right" vertical="center"/>
      <protection locked="0"/>
    </xf>
    <xf numFmtId="3" fontId="46" fillId="13" borderId="2" xfId="0" applyNumberFormat="1" applyFont="1" applyFill="1" applyBorder="1" applyAlignment="1" applyProtection="1">
      <alignment horizontal="right" vertical="center"/>
      <protection locked="0"/>
    </xf>
    <xf numFmtId="49" fontId="19" fillId="0" borderId="62" xfId="0" applyNumberFormat="1" applyFont="1" applyFill="1" applyBorder="1" applyAlignment="1" applyProtection="1">
      <alignment horizontal="justify" wrapText="1"/>
      <protection locked="0"/>
    </xf>
    <xf numFmtId="49" fontId="19" fillId="0" borderId="62" xfId="0" applyNumberFormat="1" applyFont="1" applyFill="1" applyBorder="1" applyAlignment="1" applyProtection="1">
      <alignment horizontal="justify"/>
      <protection locked="0"/>
    </xf>
    <xf numFmtId="169" fontId="102" fillId="0" borderId="2" xfId="0" applyFont="1" applyFill="1" applyBorder="1" applyAlignment="1" applyProtection="1">
      <alignment horizontal="center"/>
    </xf>
    <xf numFmtId="169" fontId="102" fillId="11" borderId="2" xfId="0" applyFont="1" applyFill="1" applyBorder="1" applyAlignment="1" applyProtection="1">
      <alignment horizontal="center"/>
    </xf>
    <xf numFmtId="169" fontId="0" fillId="0" borderId="13" xfId="0" applyBorder="1" applyAlignment="1" applyProtection="1">
      <alignment horizontal="center"/>
    </xf>
    <xf numFmtId="43" fontId="103" fillId="0" borderId="12" xfId="23" applyFont="1" applyFill="1" applyBorder="1" applyAlignment="1" applyProtection="1">
      <alignment vertical="center"/>
    </xf>
    <xf numFmtId="169" fontId="0" fillId="0" borderId="0" xfId="0" applyAlignment="1"/>
    <xf numFmtId="43" fontId="26" fillId="0" borderId="0" xfId="0" applyNumberFormat="1" applyFont="1" applyAlignment="1" applyProtection="1">
      <alignment horizontal="center"/>
    </xf>
    <xf numFmtId="169" fontId="52" fillId="0" borderId="86" xfId="0" applyFont="1" applyFill="1" applyBorder="1" applyAlignment="1" applyProtection="1">
      <alignment horizontal="center" vertical="center" wrapText="1"/>
    </xf>
    <xf numFmtId="169" fontId="102" fillId="0" borderId="80" xfId="0" applyFont="1" applyFill="1" applyBorder="1" applyAlignment="1" applyProtection="1">
      <alignment horizontal="center"/>
    </xf>
    <xf numFmtId="49" fontId="57" fillId="0" borderId="2" xfId="0" applyNumberFormat="1" applyFont="1" applyBorder="1" applyAlignment="1" applyProtection="1">
      <alignment horizontal="center" wrapText="1"/>
      <protection locked="0"/>
    </xf>
    <xf numFmtId="169" fontId="104" fillId="0" borderId="87" xfId="0" applyFont="1" applyFill="1" applyBorder="1" applyAlignment="1" applyProtection="1">
      <alignment wrapText="1"/>
    </xf>
    <xf numFmtId="169" fontId="27" fillId="0" borderId="25" xfId="0" applyFont="1" applyFill="1" applyBorder="1" applyAlignment="1" applyProtection="1">
      <alignment horizontal="center" wrapText="1"/>
    </xf>
    <xf numFmtId="169" fontId="0" fillId="0" borderId="0" xfId="0" applyFill="1" applyProtection="1"/>
    <xf numFmtId="169" fontId="86" fillId="0" borderId="0" xfId="0" applyFont="1" applyFill="1" applyAlignment="1" applyProtection="1">
      <alignment horizontal="right"/>
    </xf>
    <xf numFmtId="169" fontId="102" fillId="5" borderId="89" xfId="0" applyNumberFormat="1" applyFont="1" applyFill="1" applyBorder="1" applyAlignment="1" applyProtection="1">
      <alignment vertical="center" wrapText="1"/>
      <protection locked="0"/>
    </xf>
    <xf numFmtId="169" fontId="102" fillId="7" borderId="89" xfId="0" applyNumberFormat="1" applyFont="1" applyFill="1" applyBorder="1" applyAlignment="1" applyProtection="1">
      <alignment vertical="center" wrapText="1"/>
      <protection locked="0"/>
    </xf>
    <xf numFmtId="169" fontId="102" fillId="7" borderId="90" xfId="0" applyNumberFormat="1" applyFont="1" applyFill="1" applyBorder="1" applyAlignment="1" applyProtection="1">
      <alignment vertical="center" wrapText="1"/>
      <protection locked="0"/>
    </xf>
    <xf numFmtId="169" fontId="107" fillId="0" borderId="0" xfId="0" applyFont="1" applyAlignment="1" applyProtection="1">
      <alignment horizontal="left" vertical="center"/>
    </xf>
    <xf numFmtId="169" fontId="107" fillId="0" borderId="0" xfId="0" applyFont="1" applyAlignment="1">
      <alignment horizontal="left" vertical="center"/>
    </xf>
    <xf numFmtId="169" fontId="0" fillId="0" borderId="0" xfId="0" applyAlignment="1">
      <alignment horizontal="center"/>
    </xf>
    <xf numFmtId="169" fontId="0" fillId="0" borderId="0" xfId="0" applyAlignment="1" applyProtection="1">
      <alignment horizontal="center"/>
    </xf>
    <xf numFmtId="169" fontId="0" fillId="3" borderId="0" xfId="0" applyFill="1" applyAlignment="1" applyProtection="1">
      <alignment horizontal="center"/>
    </xf>
    <xf numFmtId="3" fontId="30" fillId="0" borderId="39" xfId="0" applyNumberFormat="1" applyFont="1" applyFill="1" applyBorder="1" applyAlignment="1" applyProtection="1">
      <alignment horizontal="center"/>
    </xf>
    <xf numFmtId="3" fontId="30" fillId="0" borderId="83" xfId="0" applyNumberFormat="1" applyFont="1" applyFill="1" applyBorder="1" applyAlignment="1" applyProtection="1">
      <alignment horizontal="center"/>
    </xf>
    <xf numFmtId="170" fontId="17" fillId="6" borderId="26" xfId="20" applyNumberFormat="1" applyFont="1" applyFill="1" applyBorder="1" applyAlignment="1" applyProtection="1">
      <alignment horizontal="center" vertical="center"/>
    </xf>
    <xf numFmtId="170" fontId="17" fillId="6" borderId="26" xfId="20" applyNumberFormat="1" applyFont="1" applyFill="1" applyBorder="1" applyAlignment="1" applyProtection="1">
      <alignment horizontal="center"/>
    </xf>
    <xf numFmtId="169" fontId="52" fillId="0" borderId="91" xfId="0" applyFont="1" applyFill="1" applyBorder="1" applyAlignment="1" applyProtection="1">
      <alignment horizontal="center" vertical="center" wrapText="1"/>
    </xf>
    <xf numFmtId="169" fontId="38" fillId="0" borderId="92" xfId="0" applyNumberFormat="1" applyFont="1" applyFill="1" applyBorder="1" applyAlignment="1" applyProtection="1">
      <alignment horizontal="right"/>
    </xf>
    <xf numFmtId="169" fontId="52" fillId="0" borderId="93" xfId="0" applyFont="1" applyFill="1" applyBorder="1" applyAlignment="1" applyProtection="1">
      <alignment horizontal="center"/>
    </xf>
    <xf numFmtId="169" fontId="38" fillId="0" borderId="94" xfId="0" applyNumberFormat="1" applyFont="1" applyFill="1" applyBorder="1" applyAlignment="1" applyProtection="1">
      <alignment horizontal="right"/>
    </xf>
    <xf numFmtId="169" fontId="52" fillId="0" borderId="95" xfId="0" applyFont="1" applyFill="1" applyBorder="1" applyAlignment="1" applyProtection="1">
      <alignment horizontal="center"/>
    </xf>
    <xf numFmtId="169" fontId="38" fillId="0" borderId="96" xfId="0" applyNumberFormat="1" applyFont="1" applyFill="1" applyBorder="1" applyAlignment="1" applyProtection="1">
      <alignment horizontal="right"/>
    </xf>
    <xf numFmtId="169" fontId="52" fillId="0" borderId="97" xfId="0" applyNumberFormat="1" applyFont="1" applyFill="1" applyBorder="1" applyAlignment="1" applyProtection="1">
      <alignment horizontal="center"/>
    </xf>
    <xf numFmtId="169" fontId="38" fillId="0" borderId="98" xfId="0" applyNumberFormat="1" applyFont="1" applyFill="1" applyBorder="1" applyAlignment="1" applyProtection="1">
      <alignment horizontal="right"/>
    </xf>
    <xf numFmtId="169" fontId="52" fillId="0" borderId="99" xfId="0" applyNumberFormat="1" applyFont="1" applyFill="1" applyBorder="1" applyAlignment="1" applyProtection="1">
      <alignment horizontal="center" vertical="center"/>
    </xf>
    <xf numFmtId="169" fontId="38" fillId="0" borderId="100" xfId="0" applyNumberFormat="1" applyFont="1" applyFill="1" applyBorder="1" applyAlignment="1" applyProtection="1">
      <alignment horizontal="right"/>
    </xf>
    <xf numFmtId="169" fontId="52" fillId="0" borderId="101" xfId="0" applyNumberFormat="1" applyFont="1" applyFill="1" applyBorder="1" applyAlignment="1" applyProtection="1">
      <alignment horizontal="center"/>
    </xf>
    <xf numFmtId="169" fontId="38" fillId="0" borderId="102" xfId="0" applyNumberFormat="1" applyFont="1" applyFill="1" applyBorder="1" applyAlignment="1" applyProtection="1">
      <alignment horizontal="right"/>
    </xf>
    <xf numFmtId="169" fontId="52" fillId="0" borderId="101" xfId="0" applyNumberFormat="1" applyFont="1" applyFill="1" applyBorder="1" applyAlignment="1" applyProtection="1">
      <alignment horizontal="center" vertical="center"/>
    </xf>
    <xf numFmtId="3" fontId="81" fillId="9" borderId="47" xfId="0" applyNumberFormat="1" applyFont="1" applyFill="1" applyBorder="1" applyAlignment="1" applyProtection="1">
      <protection locked="0"/>
    </xf>
    <xf numFmtId="3" fontId="81" fillId="9" borderId="53" xfId="0" applyNumberFormat="1" applyFont="1" applyFill="1" applyBorder="1" applyAlignment="1" applyProtection="1">
      <protection locked="0"/>
    </xf>
    <xf numFmtId="3" fontId="81" fillId="0" borderId="2" xfId="0" applyNumberFormat="1" applyFont="1" applyFill="1" applyBorder="1" applyAlignment="1" applyProtection="1"/>
    <xf numFmtId="3" fontId="81" fillId="0" borderId="54" xfId="0" applyNumberFormat="1" applyFont="1" applyFill="1" applyBorder="1" applyAlignment="1" applyProtection="1"/>
    <xf numFmtId="3" fontId="14" fillId="9" borderId="103" xfId="1" applyNumberFormat="1" applyFont="1" applyFill="1" applyBorder="1" applyAlignment="1" applyProtection="1">
      <protection locked="0"/>
    </xf>
    <xf numFmtId="3" fontId="14" fillId="9" borderId="104" xfId="1" applyNumberFormat="1" applyFont="1" applyFill="1" applyBorder="1" applyProtection="1">
      <protection locked="0"/>
    </xf>
    <xf numFmtId="3" fontId="14" fillId="9" borderId="103" xfId="1" applyNumberFormat="1" applyFont="1" applyFill="1" applyBorder="1" applyProtection="1">
      <protection locked="0"/>
    </xf>
    <xf numFmtId="3" fontId="108" fillId="0" borderId="105" xfId="0" applyNumberFormat="1" applyFont="1" applyBorder="1" applyProtection="1"/>
    <xf numFmtId="3" fontId="108" fillId="0" borderId="106" xfId="0" applyNumberFormat="1" applyFont="1" applyBorder="1" applyProtection="1"/>
    <xf numFmtId="3" fontId="14" fillId="9" borderId="2" xfId="1" applyNumberFormat="1" applyFont="1" applyFill="1" applyBorder="1" applyAlignment="1" applyProtection="1">
      <protection locked="0"/>
    </xf>
    <xf numFmtId="3" fontId="14" fillId="9" borderId="2" xfId="1" quotePrefix="1" applyNumberFormat="1" applyFont="1" applyFill="1" applyBorder="1" applyProtection="1">
      <protection locked="0"/>
    </xf>
    <xf numFmtId="3" fontId="14" fillId="9" borderId="107" xfId="1" applyNumberFormat="1" applyFont="1" applyFill="1" applyBorder="1" applyAlignment="1" applyProtection="1">
      <protection locked="0"/>
    </xf>
    <xf numFmtId="3" fontId="108" fillId="6" borderId="2" xfId="0" applyNumberFormat="1" applyFont="1" applyFill="1" applyBorder="1" applyAlignment="1" applyProtection="1">
      <alignment horizontal="right" wrapText="1"/>
      <protection locked="0"/>
    </xf>
    <xf numFmtId="3" fontId="108" fillId="0" borderId="2" xfId="0" applyNumberFormat="1" applyFont="1" applyBorder="1" applyAlignment="1" applyProtection="1">
      <alignment horizontal="right" wrapText="1"/>
    </xf>
    <xf numFmtId="3" fontId="108" fillId="0" borderId="46" xfId="0" applyNumberFormat="1" applyFont="1" applyBorder="1" applyAlignment="1" applyProtection="1">
      <alignment horizontal="right" wrapText="1"/>
    </xf>
    <xf numFmtId="3" fontId="109" fillId="9" borderId="84" xfId="0" applyNumberFormat="1" applyFont="1" applyFill="1" applyBorder="1" applyAlignment="1" applyProtection="1">
      <alignment horizontal="centerContinuous"/>
    </xf>
    <xf numFmtId="3" fontId="109" fillId="9" borderId="85" xfId="0" applyNumberFormat="1" applyFont="1" applyFill="1" applyBorder="1" applyAlignment="1" applyProtection="1">
      <alignment horizontal="centerContinuous"/>
    </xf>
    <xf numFmtId="0" fontId="110" fillId="0" borderId="0" xfId="0" applyNumberFormat="1" applyFont="1" applyAlignment="1" applyProtection="1">
      <alignment horizontal="center" vertical="center"/>
    </xf>
    <xf numFmtId="170" fontId="21" fillId="0" borderId="0" xfId="0" applyNumberFormat="1" applyFont="1" applyAlignment="1" applyProtection="1">
      <alignment horizontal="center"/>
    </xf>
    <xf numFmtId="170" fontId="21" fillId="0" borderId="0" xfId="0" applyNumberFormat="1" applyFont="1"/>
    <xf numFmtId="1" fontId="46" fillId="13" borderId="2" xfId="0" applyNumberFormat="1" applyFont="1" applyFill="1" applyBorder="1" applyAlignment="1" applyProtection="1">
      <alignment horizontal="right" vertical="center"/>
      <protection locked="0"/>
    </xf>
    <xf numFmtId="169" fontId="105" fillId="5" borderId="30" xfId="0" applyFont="1" applyFill="1" applyBorder="1" applyAlignment="1">
      <alignment horizontal="justify" vertical="center" wrapText="1"/>
    </xf>
    <xf numFmtId="169" fontId="105" fillId="5" borderId="31" xfId="0" applyFont="1" applyFill="1" applyBorder="1" applyAlignment="1">
      <alignment horizontal="justify" vertical="center" wrapText="1"/>
    </xf>
    <xf numFmtId="169" fontId="93" fillId="5" borderId="29" xfId="0" applyFont="1" applyFill="1" applyBorder="1" applyAlignment="1">
      <alignment horizontal="justify" vertical="center" wrapText="1"/>
    </xf>
    <xf numFmtId="169" fontId="93" fillId="5" borderId="30" xfId="0" applyFont="1" applyFill="1" applyBorder="1" applyAlignment="1">
      <alignment horizontal="justify" vertical="center" wrapText="1"/>
    </xf>
    <xf numFmtId="169" fontId="93" fillId="5" borderId="31" xfId="0" applyFont="1" applyFill="1" applyBorder="1" applyAlignment="1">
      <alignment horizontal="justify" vertical="center" wrapText="1"/>
    </xf>
    <xf numFmtId="169" fontId="102" fillId="22" borderId="2" xfId="0" applyFont="1" applyFill="1" applyBorder="1" applyAlignment="1" applyProtection="1">
      <alignment horizontal="center"/>
    </xf>
    <xf numFmtId="174" fontId="21" fillId="0" borderId="2" xfId="0" applyNumberFormat="1" applyFont="1" applyBorder="1" applyAlignment="1" applyProtection="1">
      <alignment horizontal="center" vertical="center" wrapText="1"/>
    </xf>
    <xf numFmtId="174" fontId="21" fillId="0" borderId="2" xfId="0" applyNumberFormat="1" applyFont="1" applyFill="1" applyBorder="1" applyAlignment="1" applyProtection="1">
      <alignment horizontal="center" vertical="center" wrapText="1"/>
    </xf>
    <xf numFmtId="169" fontId="102" fillId="14" borderId="2" xfId="0" applyFont="1" applyFill="1" applyBorder="1" applyAlignment="1" applyProtection="1">
      <alignment horizontal="center"/>
    </xf>
    <xf numFmtId="167" fontId="102" fillId="5" borderId="2" xfId="0" applyNumberFormat="1" applyFont="1" applyFill="1" applyBorder="1" applyAlignment="1" applyProtection="1">
      <alignment horizontal="right" vertical="center"/>
      <protection locked="0"/>
    </xf>
    <xf numFmtId="167" fontId="2" fillId="5" borderId="2" xfId="0" applyNumberFormat="1" applyFont="1" applyFill="1" applyBorder="1" applyAlignment="1" applyProtection="1">
      <alignment vertical="center"/>
      <protection locked="0"/>
    </xf>
    <xf numFmtId="167" fontId="46" fillId="5" borderId="2" xfId="0" applyNumberFormat="1" applyFont="1" applyFill="1" applyBorder="1" applyAlignment="1" applyProtection="1">
      <alignment vertical="center"/>
      <protection locked="0"/>
    </xf>
    <xf numFmtId="167" fontId="102" fillId="23" borderId="2" xfId="0" applyNumberFormat="1" applyFont="1" applyFill="1" applyBorder="1" applyAlignment="1" applyProtection="1">
      <alignment horizontal="right" vertical="center"/>
      <protection locked="0"/>
    </xf>
    <xf numFmtId="167" fontId="102" fillId="23" borderId="2" xfId="0" applyNumberFormat="1" applyFont="1" applyFill="1" applyBorder="1" applyAlignment="1" applyProtection="1">
      <alignment vertical="center"/>
      <protection locked="0"/>
    </xf>
    <xf numFmtId="167" fontId="46" fillId="23" borderId="2" xfId="0" applyNumberFormat="1" applyFont="1" applyFill="1" applyBorder="1" applyAlignment="1" applyProtection="1">
      <alignment horizontal="right" vertical="center"/>
      <protection locked="0"/>
    </xf>
    <xf numFmtId="167" fontId="46" fillId="23" borderId="2" xfId="0" applyNumberFormat="1" applyFont="1" applyFill="1" applyBorder="1" applyAlignment="1" applyProtection="1">
      <alignment vertical="center"/>
      <protection locked="0"/>
    </xf>
    <xf numFmtId="167" fontId="46" fillId="24" borderId="2" xfId="0" applyNumberFormat="1" applyFont="1" applyFill="1" applyBorder="1" applyAlignment="1" applyProtection="1">
      <alignment vertical="center"/>
      <protection locked="0"/>
    </xf>
    <xf numFmtId="167" fontId="46" fillId="24" borderId="2" xfId="0" applyNumberFormat="1" applyFont="1" applyFill="1" applyBorder="1" applyAlignment="1" applyProtection="1">
      <alignment horizontal="right" vertical="center"/>
      <protection locked="0"/>
    </xf>
    <xf numFmtId="167" fontId="2" fillId="24" borderId="2" xfId="0" applyNumberFormat="1" applyFont="1" applyFill="1" applyBorder="1" applyAlignment="1" applyProtection="1">
      <alignment vertical="center"/>
      <protection locked="0"/>
    </xf>
    <xf numFmtId="167" fontId="46" fillId="24" borderId="2" xfId="1" applyNumberFormat="1" applyFont="1" applyFill="1" applyBorder="1" applyAlignment="1" applyProtection="1">
      <alignment horizontal="right" vertical="center"/>
      <protection locked="0"/>
    </xf>
    <xf numFmtId="167" fontId="2" fillId="24" borderId="2" xfId="0" applyNumberFormat="1" applyFont="1" applyFill="1" applyBorder="1" applyAlignment="1" applyProtection="1">
      <alignment horizontal="right" vertical="center"/>
      <protection locked="0"/>
    </xf>
    <xf numFmtId="167" fontId="102" fillId="7" borderId="2" xfId="0" applyNumberFormat="1" applyFont="1" applyFill="1" applyBorder="1" applyAlignment="1" applyProtection="1">
      <alignment horizontal="right" vertical="center"/>
      <protection locked="0"/>
    </xf>
    <xf numFmtId="167" fontId="102" fillId="7" borderId="2" xfId="0" applyNumberFormat="1" applyFont="1" applyFill="1" applyBorder="1" applyAlignment="1" applyProtection="1">
      <alignment vertical="center"/>
      <protection locked="0"/>
    </xf>
    <xf numFmtId="167" fontId="2" fillId="13" borderId="2" xfId="0" applyNumberFormat="1" applyFont="1" applyFill="1" applyBorder="1" applyAlignment="1" applyProtection="1">
      <alignment vertical="center"/>
      <protection locked="0"/>
    </xf>
    <xf numFmtId="167" fontId="46" fillId="13" borderId="2" xfId="0" applyNumberFormat="1" applyFont="1" applyFill="1" applyBorder="1" applyAlignment="1" applyProtection="1">
      <alignment vertical="center"/>
      <protection locked="0"/>
    </xf>
    <xf numFmtId="167" fontId="102" fillId="13" borderId="2" xfId="0" applyNumberFormat="1" applyFont="1" applyFill="1" applyBorder="1" applyAlignment="1" applyProtection="1">
      <alignment vertical="center"/>
      <protection locked="0"/>
    </xf>
    <xf numFmtId="167" fontId="46" fillId="7" borderId="2" xfId="0" applyNumberFormat="1" applyFont="1" applyFill="1" applyBorder="1" applyAlignment="1" applyProtection="1">
      <alignment horizontal="right" vertical="center"/>
      <protection locked="0"/>
    </xf>
    <xf numFmtId="174" fontId="46" fillId="0" borderId="2" xfId="0" applyNumberFormat="1" applyFont="1" applyFill="1" applyBorder="1" applyAlignment="1" applyProtection="1">
      <alignment vertical="center"/>
    </xf>
    <xf numFmtId="174" fontId="46" fillId="11" borderId="2" xfId="0" applyNumberFormat="1" applyFont="1" applyFill="1" applyBorder="1" applyAlignment="1" applyProtection="1">
      <alignment vertical="center"/>
    </xf>
    <xf numFmtId="174" fontId="46" fillId="0" borderId="80" xfId="0" applyNumberFormat="1" applyFont="1" applyFill="1" applyBorder="1" applyAlignment="1" applyProtection="1">
      <alignment vertical="center"/>
    </xf>
    <xf numFmtId="167" fontId="2" fillId="7" borderId="2" xfId="0" applyNumberFormat="1" applyFont="1" applyFill="1" applyBorder="1" applyAlignment="1" applyProtection="1">
      <alignment vertical="center"/>
      <protection locked="0"/>
    </xf>
    <xf numFmtId="167" fontId="46" fillId="7" borderId="2" xfId="0" applyNumberFormat="1" applyFont="1" applyFill="1" applyBorder="1" applyAlignment="1" applyProtection="1">
      <alignment vertical="center"/>
      <protection locked="0"/>
    </xf>
    <xf numFmtId="169" fontId="102" fillId="15" borderId="2" xfId="0" applyFont="1" applyFill="1" applyBorder="1" applyAlignment="1" applyProtection="1">
      <alignment horizontal="center"/>
    </xf>
    <xf numFmtId="3" fontId="46" fillId="13" borderId="20" xfId="0" applyNumberFormat="1" applyFont="1" applyFill="1" applyBorder="1" applyAlignment="1" applyProtection="1">
      <alignment horizontal="right" vertical="center"/>
      <protection locked="0"/>
    </xf>
    <xf numFmtId="1" fontId="108" fillId="9" borderId="40" xfId="0" applyNumberFormat="1" applyFont="1" applyFill="1" applyBorder="1" applyAlignment="1" applyProtection="1">
      <alignment horizontal="center"/>
      <protection locked="0"/>
    </xf>
    <xf numFmtId="1" fontId="108" fillId="9" borderId="54" xfId="0" applyNumberFormat="1" applyFont="1" applyFill="1" applyBorder="1" applyAlignment="1" applyProtection="1">
      <alignment horizontal="center"/>
      <protection locked="0"/>
    </xf>
    <xf numFmtId="1" fontId="108" fillId="9" borderId="108" xfId="0" applyNumberFormat="1" applyFont="1" applyFill="1" applyBorder="1" applyAlignment="1" applyProtection="1">
      <alignment horizontal="center"/>
      <protection locked="0"/>
    </xf>
    <xf numFmtId="1" fontId="102" fillId="13" borderId="2" xfId="0" applyNumberFormat="1" applyFont="1" applyFill="1" applyBorder="1" applyAlignment="1" applyProtection="1">
      <alignment horizontal="right" vertical="center"/>
      <protection locked="0"/>
    </xf>
    <xf numFmtId="1" fontId="46" fillId="13" borderId="2" xfId="0" applyNumberFormat="1" applyFont="1" applyFill="1" applyBorder="1" applyAlignment="1" applyProtection="1">
      <alignment vertical="center"/>
      <protection locked="0"/>
    </xf>
    <xf numFmtId="164" fontId="8" fillId="0" borderId="0" xfId="0" applyNumberFormat="1" applyFont="1" applyFill="1"/>
    <xf numFmtId="164" fontId="8" fillId="0" borderId="0" xfId="0" applyNumberFormat="1" applyFont="1" applyFill="1" applyProtection="1"/>
    <xf numFmtId="169" fontId="78" fillId="0" borderId="0" xfId="0" applyFont="1" applyFill="1" applyBorder="1" applyAlignment="1" applyProtection="1">
      <alignment horizontal="center" vertical="center"/>
    </xf>
    <xf numFmtId="169"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3" fontId="108" fillId="0" borderId="84" xfId="0" applyNumberFormat="1" applyFont="1" applyBorder="1" applyAlignment="1" applyProtection="1">
      <alignment horizontal="right" wrapText="1"/>
    </xf>
    <xf numFmtId="3" fontId="108" fillId="0" borderId="85" xfId="0" applyNumberFormat="1" applyFont="1" applyBorder="1" applyAlignment="1" applyProtection="1">
      <alignment horizontal="right" wrapText="1"/>
    </xf>
    <xf numFmtId="3" fontId="0" fillId="0" borderId="0" xfId="0" applyNumberFormat="1" applyFill="1" applyBorder="1"/>
    <xf numFmtId="169" fontId="111" fillId="0" borderId="0" xfId="0" applyFont="1"/>
    <xf numFmtId="169" fontId="34" fillId="0" borderId="0" xfId="0" applyFont="1" applyAlignment="1">
      <alignment horizontal="center"/>
    </xf>
    <xf numFmtId="169" fontId="34" fillId="0" borderId="0" xfId="0" applyFont="1" applyBorder="1" applyAlignment="1">
      <alignment horizontal="center"/>
    </xf>
    <xf numFmtId="49" fontId="108" fillId="0" borderId="2" xfId="0" applyNumberFormat="1" applyFont="1" applyFill="1" applyBorder="1" applyAlignment="1" applyProtection="1">
      <alignment horizontal="center"/>
      <protection locked="0"/>
    </xf>
    <xf numFmtId="169" fontId="115" fillId="0" borderId="0" xfId="0" applyFont="1" applyFill="1" applyBorder="1" applyAlignment="1" applyProtection="1">
      <alignment horizontal="right"/>
    </xf>
    <xf numFmtId="170" fontId="14" fillId="0" borderId="2" xfId="20" applyNumberFormat="1" applyFont="1" applyFill="1" applyBorder="1" applyAlignment="1" applyProtection="1">
      <alignment horizontal="center"/>
      <protection locked="0"/>
    </xf>
    <xf numFmtId="169" fontId="115" fillId="0" borderId="88" xfId="0" applyFont="1" applyFill="1" applyBorder="1" applyAlignment="1" applyProtection="1">
      <alignment horizontal="right"/>
    </xf>
    <xf numFmtId="3" fontId="14" fillId="9" borderId="47" xfId="0" applyNumberFormat="1" applyFont="1" applyFill="1" applyBorder="1" applyAlignment="1" applyProtection="1">
      <protection locked="0"/>
    </xf>
    <xf numFmtId="3" fontId="14" fillId="0" borderId="2" xfId="0" applyNumberFormat="1" applyFont="1" applyFill="1" applyBorder="1" applyAlignment="1" applyProtection="1"/>
    <xf numFmtId="3" fontId="14" fillId="0" borderId="223" xfId="0" applyNumberFormat="1" applyFont="1" applyFill="1" applyBorder="1" applyAlignment="1" applyProtection="1"/>
    <xf numFmtId="1" fontId="14" fillId="3" borderId="109" xfId="0" applyNumberFormat="1" applyFont="1" applyFill="1" applyBorder="1" applyAlignment="1" applyProtection="1">
      <alignment horizontal="center"/>
    </xf>
    <xf numFmtId="1" fontId="108" fillId="9" borderId="2" xfId="0" applyNumberFormat="1" applyFont="1" applyFill="1" applyBorder="1" applyAlignment="1" applyProtection="1">
      <alignment horizontal="center"/>
      <protection locked="0"/>
    </xf>
    <xf numFmtId="3" fontId="108" fillId="6" borderId="33" xfId="0" applyNumberFormat="1" applyFont="1" applyFill="1" applyBorder="1" applyAlignment="1" applyProtection="1">
      <alignment horizontal="center"/>
      <protection locked="0"/>
    </xf>
    <xf numFmtId="3" fontId="108" fillId="0" borderId="17" xfId="0" applyNumberFormat="1" applyFont="1" applyFill="1" applyBorder="1" applyAlignment="1" applyProtection="1">
      <alignment horizontal="center"/>
    </xf>
    <xf numFmtId="3" fontId="108" fillId="6" borderId="17" xfId="0" applyNumberFormat="1" applyFont="1" applyFill="1" applyBorder="1" applyAlignment="1" applyProtection="1">
      <alignment horizontal="center"/>
      <protection locked="0"/>
    </xf>
    <xf numFmtId="169" fontId="108" fillId="0" borderId="0" xfId="0" applyFont="1" applyBorder="1" applyProtection="1"/>
    <xf numFmtId="1" fontId="108" fillId="6" borderId="2" xfId="0" applyNumberFormat="1" applyFont="1" applyFill="1" applyBorder="1" applyAlignment="1" applyProtection="1">
      <alignment horizontal="center"/>
      <protection locked="0"/>
    </xf>
    <xf numFmtId="1" fontId="108" fillId="0" borderId="109" xfId="0" applyNumberFormat="1" applyFont="1" applyFill="1" applyBorder="1" applyAlignment="1" applyProtection="1">
      <alignment horizontal="center"/>
    </xf>
    <xf numFmtId="1" fontId="108" fillId="6" borderId="33" xfId="0" applyNumberFormat="1" applyFont="1" applyFill="1" applyBorder="1" applyAlignment="1" applyProtection="1">
      <alignment horizontal="center"/>
      <protection locked="0"/>
    </xf>
    <xf numFmtId="3" fontId="108" fillId="3" borderId="17" xfId="0" applyNumberFormat="1" applyFont="1" applyFill="1" applyBorder="1" applyAlignment="1" applyProtection="1">
      <alignment horizontal="center"/>
      <protection locked="0"/>
    </xf>
    <xf numFmtId="3" fontId="108" fillId="0" borderId="2" xfId="0" applyNumberFormat="1" applyFont="1" applyFill="1" applyBorder="1"/>
    <xf numFmtId="3" fontId="108" fillId="0" borderId="46" xfId="0" applyNumberFormat="1" applyFont="1" applyFill="1" applyBorder="1"/>
    <xf numFmtId="167" fontId="116" fillId="5" borderId="2" xfId="0" applyNumberFormat="1" applyFont="1" applyFill="1" applyBorder="1" applyAlignment="1" applyProtection="1">
      <alignment vertical="center"/>
      <protection locked="0"/>
    </xf>
    <xf numFmtId="167" fontId="116" fillId="23" borderId="2" xfId="0" applyNumberFormat="1" applyFont="1" applyFill="1" applyBorder="1" applyAlignment="1" applyProtection="1">
      <alignment horizontal="right" vertical="center"/>
      <protection locked="0"/>
    </xf>
    <xf numFmtId="167" fontId="116" fillId="24" borderId="2" xfId="0" applyNumberFormat="1" applyFont="1" applyFill="1" applyBorder="1" applyAlignment="1" applyProtection="1">
      <alignment vertical="center"/>
      <protection locked="0"/>
    </xf>
    <xf numFmtId="167" fontId="116" fillId="7" borderId="2" xfId="0" applyNumberFormat="1" applyFont="1" applyFill="1" applyBorder="1" applyAlignment="1" applyProtection="1">
      <alignment horizontal="right" vertical="center"/>
      <protection locked="0"/>
    </xf>
    <xf numFmtId="1" fontId="116" fillId="13" borderId="2" xfId="0" applyNumberFormat="1" applyFont="1" applyFill="1" applyBorder="1" applyAlignment="1" applyProtection="1">
      <alignment vertical="center"/>
      <protection locked="0"/>
    </xf>
    <xf numFmtId="167" fontId="46" fillId="7" borderId="110" xfId="0" applyNumberFormat="1" applyFont="1" applyFill="1" applyBorder="1" applyAlignment="1" applyProtection="1">
      <alignment horizontal="right" vertical="center"/>
      <protection locked="0"/>
    </xf>
    <xf numFmtId="167" fontId="116" fillId="13" borderId="2" xfId="0" applyNumberFormat="1" applyFont="1" applyFill="1" applyBorder="1" applyAlignment="1" applyProtection="1">
      <alignment horizontal="right" vertical="center"/>
      <protection locked="0"/>
    </xf>
    <xf numFmtId="167" fontId="46" fillId="13" borderId="110" xfId="0" applyNumberFormat="1" applyFont="1" applyFill="1" applyBorder="1" applyAlignment="1" applyProtection="1">
      <alignment horizontal="right" vertical="center"/>
      <protection locked="0"/>
    </xf>
    <xf numFmtId="169" fontId="108" fillId="0" borderId="0" xfId="0" applyFont="1" applyBorder="1" applyAlignment="1">
      <alignment horizontal="left"/>
    </xf>
    <xf numFmtId="169" fontId="108" fillId="0" borderId="0" xfId="0" applyFont="1"/>
    <xf numFmtId="169" fontId="108" fillId="0" borderId="0" xfId="0" applyFont="1" applyBorder="1" applyAlignment="1">
      <alignment horizontal="left" wrapText="1"/>
    </xf>
    <xf numFmtId="9" fontId="117" fillId="0" borderId="0" xfId="0" applyNumberFormat="1" applyFont="1" applyFill="1" applyBorder="1" applyAlignment="1" applyProtection="1"/>
    <xf numFmtId="169" fontId="93" fillId="0" borderId="0" xfId="0" applyFont="1" applyFill="1" applyBorder="1" applyAlignment="1" applyProtection="1">
      <alignment horizontal="center" vertical="center"/>
    </xf>
    <xf numFmtId="9" fontId="117" fillId="0" borderId="0" xfId="0" applyNumberFormat="1" applyFont="1" applyFill="1" applyBorder="1" applyAlignment="1" applyProtection="1">
      <alignment horizontal="center"/>
    </xf>
    <xf numFmtId="168" fontId="41" fillId="3" borderId="0" xfId="0" applyNumberFormat="1" applyFont="1" applyFill="1" applyBorder="1" applyAlignment="1" applyProtection="1">
      <alignment vertical="center"/>
    </xf>
    <xf numFmtId="169" fontId="93" fillId="3" borderId="0" xfId="0" applyFont="1" applyFill="1" applyBorder="1" applyAlignment="1" applyProtection="1">
      <alignment horizontal="center" vertical="center"/>
    </xf>
    <xf numFmtId="169" fontId="118" fillId="3" borderId="0" xfId="0" applyFont="1" applyFill="1" applyBorder="1" applyAlignment="1" applyProtection="1">
      <alignment horizontal="center" vertical="center"/>
    </xf>
    <xf numFmtId="167" fontId="41" fillId="3" borderId="0" xfId="19" applyNumberFormat="1" applyFont="1" applyFill="1" applyBorder="1" applyAlignment="1" applyProtection="1">
      <alignment horizontal="right"/>
    </xf>
    <xf numFmtId="9" fontId="117" fillId="3" borderId="0" xfId="0" applyNumberFormat="1" applyFont="1" applyFill="1" applyBorder="1" applyProtection="1"/>
    <xf numFmtId="9" fontId="117" fillId="3" borderId="0" xfId="0" applyNumberFormat="1" applyFont="1" applyFill="1" applyBorder="1" applyAlignment="1" applyProtection="1">
      <alignment horizontal="left"/>
    </xf>
    <xf numFmtId="169" fontId="23" fillId="0" borderId="0" xfId="0" applyFont="1" applyBorder="1" applyAlignment="1" applyProtection="1">
      <alignment horizontal="center" vertical="center"/>
    </xf>
    <xf numFmtId="169" fontId="41" fillId="3" borderId="0" xfId="0" applyFont="1" applyFill="1" applyBorder="1" applyAlignment="1" applyProtection="1">
      <alignment horizontal="left" vertical="center"/>
    </xf>
    <xf numFmtId="169" fontId="119" fillId="3" borderId="0" xfId="0" applyFont="1" applyFill="1" applyBorder="1" applyAlignment="1" applyProtection="1">
      <alignment horizontal="left" vertical="center"/>
    </xf>
    <xf numFmtId="169" fontId="42" fillId="0" borderId="0" xfId="0" applyFont="1" applyFill="1" applyBorder="1" applyAlignment="1" applyProtection="1">
      <alignment horizontal="right"/>
    </xf>
    <xf numFmtId="9" fontId="117" fillId="0" borderId="0" xfId="0" applyNumberFormat="1" applyFont="1" applyFill="1" applyBorder="1" applyProtection="1"/>
    <xf numFmtId="169" fontId="42" fillId="0" borderId="0" xfId="0" applyFont="1" applyFill="1" applyBorder="1" applyProtection="1"/>
    <xf numFmtId="169" fontId="121" fillId="0" borderId="0" xfId="0" applyFont="1" applyFill="1" applyBorder="1" applyProtection="1"/>
    <xf numFmtId="169" fontId="122" fillId="0" borderId="0" xfId="0" applyFont="1" applyFill="1" applyBorder="1" applyAlignment="1" applyProtection="1">
      <alignment horizontal="center" vertical="center"/>
    </xf>
    <xf numFmtId="169" fontId="123" fillId="0" borderId="0" xfId="0" applyFont="1" applyFill="1" applyBorder="1" applyAlignment="1" applyProtection="1">
      <alignment horizontal="center" vertical="center"/>
    </xf>
    <xf numFmtId="169" fontId="123" fillId="0" borderId="0" xfId="0" applyFont="1" applyFill="1" applyBorder="1" applyAlignment="1" applyProtection="1">
      <alignment horizontal="right" vertical="center" indent="1"/>
    </xf>
    <xf numFmtId="169" fontId="124" fillId="0" borderId="0" xfId="0" applyFont="1" applyFill="1" applyBorder="1" applyAlignment="1" applyProtection="1">
      <alignment horizontal="center"/>
    </xf>
    <xf numFmtId="169" fontId="52" fillId="0" borderId="71" xfId="0" applyNumberFormat="1" applyFont="1" applyFill="1" applyBorder="1" applyAlignment="1" applyProtection="1">
      <alignment horizontal="center" vertical="center"/>
    </xf>
    <xf numFmtId="169" fontId="23" fillId="0" borderId="21" xfId="0" applyNumberFormat="1" applyFont="1" applyFill="1" applyBorder="1" applyAlignment="1" applyProtection="1">
      <alignment vertical="center"/>
    </xf>
    <xf numFmtId="169" fontId="52" fillId="0" borderId="72" xfId="0" applyNumberFormat="1" applyFont="1" applyFill="1" applyBorder="1" applyAlignment="1" applyProtection="1">
      <alignment horizontal="center" vertical="center"/>
    </xf>
    <xf numFmtId="169" fontId="23" fillId="0" borderId="22" xfId="0" applyNumberFormat="1" applyFont="1" applyFill="1" applyBorder="1" applyAlignment="1" applyProtection="1">
      <alignment vertical="center"/>
    </xf>
    <xf numFmtId="169" fontId="52" fillId="0" borderId="73" xfId="0" applyNumberFormat="1" applyFont="1" applyFill="1" applyBorder="1" applyAlignment="1" applyProtection="1">
      <alignment horizontal="center" vertical="center"/>
    </xf>
    <xf numFmtId="169" fontId="23" fillId="0" borderId="28" xfId="0" applyNumberFormat="1" applyFont="1" applyFill="1" applyBorder="1" applyAlignment="1" applyProtection="1">
      <alignment vertical="center"/>
    </xf>
    <xf numFmtId="169" fontId="125" fillId="0" borderId="0" xfId="0" applyFont="1"/>
    <xf numFmtId="167" fontId="46" fillId="5" borderId="2" xfId="0" applyNumberFormat="1" applyFont="1" applyFill="1" applyBorder="1" applyAlignment="1" applyProtection="1">
      <alignment horizontal="right" vertical="center"/>
      <protection locked="0"/>
    </xf>
    <xf numFmtId="169" fontId="8" fillId="0" borderId="0" xfId="0" applyFont="1" applyFill="1"/>
    <xf numFmtId="3" fontId="8" fillId="0" borderId="0" xfId="0" applyNumberFormat="1" applyFont="1" applyFill="1" applyProtection="1"/>
    <xf numFmtId="3" fontId="14" fillId="0" borderId="55" xfId="1" applyNumberFormat="1" applyFont="1" applyFill="1" applyBorder="1" applyAlignment="1" applyProtection="1"/>
    <xf numFmtId="3" fontId="14" fillId="0" borderId="56" xfId="1" applyNumberFormat="1" applyFont="1" applyFill="1" applyBorder="1" applyAlignment="1" applyProtection="1"/>
    <xf numFmtId="1" fontId="126" fillId="13" borderId="2" xfId="0" applyNumberFormat="1" applyFont="1" applyFill="1" applyBorder="1" applyAlignment="1" applyProtection="1">
      <alignment vertical="center"/>
      <protection locked="0"/>
    </xf>
    <xf numFmtId="169" fontId="127" fillId="0" borderId="0" xfId="0" applyFont="1"/>
    <xf numFmtId="169" fontId="105" fillId="5" borderId="30" xfId="0" applyFont="1" applyFill="1" applyBorder="1" applyAlignment="1">
      <alignment horizontal="justify" vertical="center" wrapText="1"/>
    </xf>
    <xf numFmtId="169" fontId="105" fillId="5" borderId="31" xfId="0" applyFont="1" applyFill="1" applyBorder="1" applyAlignment="1">
      <alignment horizontal="justify" vertical="center" wrapText="1"/>
    </xf>
    <xf numFmtId="174" fontId="46" fillId="13" borderId="2" xfId="0" applyNumberFormat="1" applyFont="1" applyFill="1" applyBorder="1" applyAlignment="1" applyProtection="1">
      <alignment vertical="center"/>
      <protection locked="0"/>
    </xf>
    <xf numFmtId="3" fontId="21" fillId="0" borderId="2" xfId="0" applyNumberFormat="1" applyFont="1" applyBorder="1" applyAlignment="1" applyProtection="1">
      <alignment horizontal="center" vertical="center" wrapText="1"/>
    </xf>
    <xf numFmtId="174" fontId="21" fillId="21" borderId="2" xfId="0" applyNumberFormat="1" applyFont="1" applyFill="1" applyBorder="1" applyAlignment="1" applyProtection="1">
      <alignment horizontal="center" vertical="center" wrapText="1"/>
    </xf>
    <xf numFmtId="174" fontId="81" fillId="21" borderId="2" xfId="0" applyNumberFormat="1" applyFont="1" applyFill="1" applyBorder="1" applyAlignment="1" applyProtection="1">
      <alignment horizontal="center" vertical="center" wrapText="1"/>
    </xf>
    <xf numFmtId="167" fontId="46" fillId="13" borderId="2" xfId="0" applyNumberFormat="1" applyFont="1" applyFill="1" applyBorder="1" applyAlignment="1" applyProtection="1">
      <alignment horizontal="right" vertical="center"/>
      <protection locked="0"/>
    </xf>
    <xf numFmtId="0" fontId="110" fillId="0" borderId="0" xfId="0" applyNumberFormat="1" applyFont="1" applyAlignment="1" applyProtection="1">
      <alignment horizontal="left" vertical="center"/>
    </xf>
    <xf numFmtId="2" fontId="46" fillId="5" borderId="2" xfId="0" applyNumberFormat="1" applyFont="1" applyFill="1" applyBorder="1" applyAlignment="1" applyProtection="1">
      <alignment vertical="center"/>
      <protection locked="0"/>
    </xf>
    <xf numFmtId="4" fontId="46" fillId="0" borderId="2" xfId="0" applyNumberFormat="1" applyFont="1" applyFill="1" applyBorder="1" applyAlignment="1" applyProtection="1">
      <alignment vertical="center"/>
    </xf>
    <xf numFmtId="4" fontId="21" fillId="0" borderId="2" xfId="0" applyNumberFormat="1" applyFont="1" applyBorder="1" applyAlignment="1" applyProtection="1">
      <alignment horizontal="center" vertical="center" wrapText="1"/>
    </xf>
    <xf numFmtId="169" fontId="8" fillId="25" borderId="0" xfId="0" applyFont="1" applyFill="1"/>
    <xf numFmtId="169" fontId="14" fillId="25" borderId="0" xfId="0" applyNumberFormat="1" applyFont="1" applyFill="1"/>
    <xf numFmtId="169" fontId="14" fillId="25" borderId="0" xfId="0" applyFont="1" applyFill="1"/>
    <xf numFmtId="169" fontId="131" fillId="0" borderId="0" xfId="0" applyFont="1" applyAlignment="1">
      <alignment horizontal="center"/>
    </xf>
    <xf numFmtId="169" fontId="131" fillId="0" borderId="0" xfId="0" applyFont="1"/>
    <xf numFmtId="169" fontId="23" fillId="5" borderId="0" xfId="0" applyFont="1" applyFill="1" applyBorder="1" applyAlignment="1" applyProtection="1">
      <alignment horizontal="center" vertical="top" wrapText="1"/>
      <protection locked="0"/>
    </xf>
    <xf numFmtId="169" fontId="23" fillId="5" borderId="0" xfId="0" applyFont="1" applyFill="1" applyBorder="1" applyAlignment="1" applyProtection="1">
      <alignment horizontal="left" vertical="top" wrapText="1"/>
      <protection locked="0"/>
    </xf>
    <xf numFmtId="15" fontId="80" fillId="0" borderId="0" xfId="0" applyNumberFormat="1" applyFont="1" applyFill="1" applyBorder="1" applyAlignment="1" applyProtection="1">
      <alignment horizontal="center"/>
    </xf>
    <xf numFmtId="169" fontId="129" fillId="0" borderId="0" xfId="0" applyFont="1" applyFill="1" applyBorder="1" applyProtection="1"/>
    <xf numFmtId="43" fontId="10" fillId="16" borderId="0" xfId="4" applyFont="1" applyFill="1" applyBorder="1" applyAlignment="1">
      <alignment horizontal="center" vertical="center"/>
    </xf>
    <xf numFmtId="43" fontId="26" fillId="0" borderId="0" xfId="0" applyNumberFormat="1" applyFont="1" applyAlignment="1">
      <alignment horizontal="center"/>
    </xf>
    <xf numFmtId="169" fontId="0" fillId="0" borderId="0" xfId="0" applyAlignment="1"/>
    <xf numFmtId="169" fontId="100" fillId="0" borderId="0" xfId="0" applyFont="1" applyAlignment="1">
      <alignment horizontal="center"/>
    </xf>
    <xf numFmtId="169" fontId="101" fillId="0" borderId="0" xfId="0" applyFont="1" applyAlignment="1">
      <alignment horizontal="center"/>
    </xf>
    <xf numFmtId="169" fontId="66" fillId="5" borderId="29" xfId="0" applyFont="1" applyFill="1" applyBorder="1" applyAlignment="1">
      <alignment horizontal="center" vertical="center"/>
    </xf>
    <xf numFmtId="169" fontId="66" fillId="5" borderId="30" xfId="0" applyFont="1" applyFill="1" applyBorder="1" applyAlignment="1">
      <alignment horizontal="center" vertical="center"/>
    </xf>
    <xf numFmtId="169" fontId="66" fillId="5" borderId="31" xfId="0" applyFont="1" applyFill="1" applyBorder="1" applyAlignment="1">
      <alignment horizontal="center" vertical="center"/>
    </xf>
    <xf numFmtId="169" fontId="93" fillId="21" borderId="29" xfId="0" applyFont="1" applyFill="1" applyBorder="1" applyAlignment="1" applyProtection="1">
      <alignment horizontal="justify" vertical="center" wrapText="1"/>
      <protection locked="0"/>
    </xf>
    <xf numFmtId="169" fontId="93" fillId="21" borderId="30" xfId="0" applyFont="1" applyFill="1" applyBorder="1" applyAlignment="1" applyProtection="1">
      <alignment horizontal="justify" vertical="center" wrapText="1"/>
      <protection locked="0"/>
    </xf>
    <xf numFmtId="169" fontId="93" fillId="21" borderId="31" xfId="0" applyFont="1" applyFill="1" applyBorder="1" applyAlignment="1" applyProtection="1">
      <alignment horizontal="justify" vertical="center" wrapText="1"/>
      <protection locked="0"/>
    </xf>
    <xf numFmtId="169" fontId="93" fillId="0" borderId="29" xfId="0" applyFont="1" applyFill="1" applyBorder="1" applyAlignment="1" applyProtection="1">
      <alignment horizontal="justify" vertical="center" wrapText="1"/>
      <protection locked="0"/>
    </xf>
    <xf numFmtId="169" fontId="105" fillId="0" borderId="30" xfId="0" applyFont="1" applyFill="1" applyBorder="1" applyAlignment="1" applyProtection="1">
      <alignment horizontal="justify" vertical="center" wrapText="1"/>
      <protection locked="0"/>
    </xf>
    <xf numFmtId="169" fontId="105" fillId="0" borderId="31" xfId="0" applyFont="1" applyFill="1" applyBorder="1" applyAlignment="1" applyProtection="1">
      <alignment horizontal="justify" vertical="center" wrapText="1"/>
      <protection locked="0"/>
    </xf>
    <xf numFmtId="169" fontId="105" fillId="0" borderId="29" xfId="0" applyFont="1" applyBorder="1" applyAlignment="1" applyProtection="1">
      <alignment horizontal="justify" vertical="center" wrapText="1"/>
      <protection locked="0"/>
    </xf>
    <xf numFmtId="169" fontId="105" fillId="0" borderId="30" xfId="0" applyFont="1" applyBorder="1" applyAlignment="1" applyProtection="1">
      <alignment horizontal="justify" vertical="center" wrapText="1"/>
      <protection locked="0"/>
    </xf>
    <xf numFmtId="169" fontId="105" fillId="0" borderId="31" xfId="0" applyFont="1" applyBorder="1" applyAlignment="1" applyProtection="1">
      <alignment horizontal="justify" vertical="center" wrapText="1"/>
      <protection locked="0"/>
    </xf>
    <xf numFmtId="169" fontId="93" fillId="21" borderId="29" xfId="0" applyFont="1" applyFill="1" applyBorder="1" applyAlignment="1" applyProtection="1">
      <alignment horizontal="justify" vertical="top" wrapText="1"/>
      <protection locked="0"/>
    </xf>
    <xf numFmtId="169" fontId="93" fillId="21" borderId="30" xfId="0" applyFont="1" applyFill="1" applyBorder="1" applyAlignment="1" applyProtection="1">
      <alignment horizontal="justify" vertical="top" wrapText="1"/>
      <protection locked="0"/>
    </xf>
    <xf numFmtId="169" fontId="93" fillId="21" borderId="31" xfId="0" applyFont="1" applyFill="1" applyBorder="1" applyAlignment="1" applyProtection="1">
      <alignment horizontal="justify" vertical="top" wrapText="1"/>
      <protection locked="0"/>
    </xf>
    <xf numFmtId="169" fontId="105" fillId="21" borderId="30" xfId="0" applyFont="1" applyFill="1" applyBorder="1" applyAlignment="1" applyProtection="1">
      <alignment horizontal="justify" vertical="center" wrapText="1"/>
      <protection locked="0"/>
    </xf>
    <xf numFmtId="169" fontId="105" fillId="21" borderId="31" xfId="0" applyFont="1" applyFill="1" applyBorder="1" applyAlignment="1" applyProtection="1">
      <alignment horizontal="justify" vertical="center" wrapText="1"/>
      <protection locked="0"/>
    </xf>
    <xf numFmtId="169" fontId="130" fillId="21" borderId="29" xfId="0" applyFont="1" applyFill="1" applyBorder="1" applyAlignment="1" applyProtection="1">
      <alignment horizontal="justify" vertical="center" wrapText="1"/>
      <protection locked="0"/>
    </xf>
    <xf numFmtId="169" fontId="130" fillId="21" borderId="30" xfId="0" applyFont="1" applyFill="1" applyBorder="1" applyAlignment="1" applyProtection="1">
      <alignment horizontal="justify" vertical="center" wrapText="1"/>
      <protection locked="0"/>
    </xf>
    <xf numFmtId="169" fontId="130" fillId="21" borderId="31" xfId="0" applyFont="1" applyFill="1" applyBorder="1" applyAlignment="1" applyProtection="1">
      <alignment horizontal="justify" vertical="center" wrapText="1"/>
      <protection locked="0"/>
    </xf>
    <xf numFmtId="169" fontId="105" fillId="5" borderId="29" xfId="0" applyFont="1" applyFill="1" applyBorder="1" applyAlignment="1">
      <alignment horizontal="justify" vertical="center" wrapText="1"/>
    </xf>
    <xf numFmtId="169" fontId="105" fillId="5" borderId="30" xfId="0" applyFont="1" applyFill="1" applyBorder="1" applyAlignment="1">
      <alignment horizontal="justify" vertical="center" wrapText="1"/>
    </xf>
    <xf numFmtId="169" fontId="105" fillId="5" borderId="31" xfId="0" applyFont="1" applyFill="1" applyBorder="1" applyAlignment="1">
      <alignment horizontal="justify" vertical="center" wrapText="1"/>
    </xf>
    <xf numFmtId="169" fontId="66" fillId="5" borderId="29" xfId="0" applyFont="1" applyFill="1" applyBorder="1" applyAlignment="1">
      <alignment horizontal="center"/>
    </xf>
    <xf numFmtId="169" fontId="66" fillId="5" borderId="30" xfId="0" applyFont="1" applyFill="1" applyBorder="1" applyAlignment="1">
      <alignment horizontal="center"/>
    </xf>
    <xf numFmtId="169" fontId="66" fillId="5" borderId="31" xfId="0" applyFont="1" applyFill="1" applyBorder="1" applyAlignment="1">
      <alignment horizontal="center"/>
    </xf>
    <xf numFmtId="169" fontId="0" fillId="0" borderId="29" xfId="0" applyBorder="1" applyAlignment="1">
      <alignment horizontal="center" vertical="center" wrapText="1"/>
    </xf>
    <xf numFmtId="169" fontId="0" fillId="0" borderId="30" xfId="0" applyBorder="1" applyAlignment="1">
      <alignment horizontal="center" vertical="center" wrapText="1"/>
    </xf>
    <xf numFmtId="169" fontId="0" fillId="0" borderId="31" xfId="0" applyBorder="1" applyAlignment="1">
      <alignment horizontal="center" vertical="center" wrapText="1"/>
    </xf>
    <xf numFmtId="169" fontId="59" fillId="0" borderId="0" xfId="0" applyFont="1" applyAlignment="1">
      <alignment horizontal="center"/>
    </xf>
    <xf numFmtId="169" fontId="67" fillId="5" borderId="29" xfId="0" applyFont="1" applyFill="1" applyBorder="1" applyAlignment="1">
      <alignment horizontal="center" vertical="center" wrapText="1"/>
    </xf>
    <xf numFmtId="169" fontId="67" fillId="5" borderId="30" xfId="0" applyFont="1" applyFill="1" applyBorder="1" applyAlignment="1">
      <alignment horizontal="center" vertical="center"/>
    </xf>
    <xf numFmtId="169" fontId="67" fillId="5" borderId="31" xfId="0" applyFont="1" applyFill="1" applyBorder="1" applyAlignment="1">
      <alignment horizontal="center" vertical="center"/>
    </xf>
    <xf numFmtId="169" fontId="17" fillId="0" borderId="29" xfId="0" applyFont="1" applyBorder="1" applyAlignment="1">
      <alignment horizontal="center" vertical="center" wrapText="1"/>
    </xf>
    <xf numFmtId="169" fontId="17" fillId="0" borderId="30" xfId="0" applyFont="1" applyBorder="1" applyAlignment="1">
      <alignment horizontal="center" vertical="center" wrapText="1"/>
    </xf>
    <xf numFmtId="169" fontId="17" fillId="0" borderId="31" xfId="0" applyFont="1" applyBorder="1" applyAlignment="1">
      <alignment horizontal="center" vertical="center" wrapText="1"/>
    </xf>
    <xf numFmtId="169" fontId="66" fillId="5" borderId="29" xfId="0" applyFont="1" applyFill="1" applyBorder="1" applyAlignment="1">
      <alignment horizontal="center" wrapText="1"/>
    </xf>
    <xf numFmtId="169" fontId="66" fillId="5" borderId="30" xfId="0" applyFont="1" applyFill="1" applyBorder="1" applyAlignment="1">
      <alignment horizontal="center" wrapText="1"/>
    </xf>
    <xf numFmtId="169" fontId="66" fillId="5" borderId="31" xfId="0" applyFont="1" applyFill="1" applyBorder="1" applyAlignment="1">
      <alignment horizontal="center" wrapText="1"/>
    </xf>
    <xf numFmtId="169" fontId="45" fillId="0" borderId="112" xfId="0" applyFont="1" applyBorder="1" applyAlignment="1">
      <alignment horizontal="justify" wrapText="1"/>
    </xf>
    <xf numFmtId="169" fontId="45" fillId="0" borderId="111" xfId="0" applyFont="1" applyBorder="1" applyAlignment="1">
      <alignment horizontal="justify" wrapText="1"/>
    </xf>
    <xf numFmtId="169" fontId="45" fillId="0" borderId="113" xfId="0" applyFont="1" applyBorder="1" applyAlignment="1">
      <alignment horizontal="justify" wrapText="1"/>
    </xf>
    <xf numFmtId="169" fontId="45" fillId="0" borderId="29" xfId="0" applyFont="1" applyBorder="1" applyAlignment="1">
      <alignment horizontal="left" vertical="center" wrapText="1"/>
    </xf>
    <xf numFmtId="169" fontId="45" fillId="0" borderId="30" xfId="0" applyFont="1" applyBorder="1" applyAlignment="1">
      <alignment horizontal="left" vertical="center" wrapText="1"/>
    </xf>
    <xf numFmtId="169" fontId="45" fillId="0" borderId="31" xfId="0" applyFont="1" applyBorder="1" applyAlignment="1">
      <alignment horizontal="left" vertical="center" wrapText="1"/>
    </xf>
    <xf numFmtId="43" fontId="61" fillId="0" borderId="29" xfId="0" applyNumberFormat="1" applyFont="1" applyBorder="1" applyAlignment="1">
      <alignment horizontal="justify" vertical="center" wrapText="1"/>
    </xf>
    <xf numFmtId="169" fontId="61" fillId="0" borderId="30" xfId="0" applyFont="1" applyBorder="1" applyAlignment="1">
      <alignment horizontal="justify" vertical="center" wrapText="1"/>
    </xf>
    <xf numFmtId="169" fontId="61" fillId="0" borderId="31" xfId="0" applyFont="1" applyBorder="1" applyAlignment="1">
      <alignment horizontal="justify" vertical="center" wrapText="1"/>
    </xf>
    <xf numFmtId="169" fontId="45" fillId="0" borderId="29" xfId="0" applyFont="1" applyBorder="1" applyAlignment="1">
      <alignment horizontal="justify" vertical="center" wrapText="1"/>
    </xf>
    <xf numFmtId="169" fontId="62" fillId="0" borderId="30" xfId="0" applyFont="1" applyBorder="1" applyAlignment="1">
      <alignment horizontal="justify" vertical="center" wrapText="1"/>
    </xf>
    <xf numFmtId="169" fontId="62" fillId="0" borderId="31" xfId="0" applyFont="1" applyBorder="1" applyAlignment="1">
      <alignment horizontal="justify" vertical="center" wrapText="1"/>
    </xf>
    <xf numFmtId="169" fontId="93" fillId="0" borderId="114" xfId="0" applyFont="1" applyBorder="1" applyAlignment="1">
      <alignment horizontal="justify" vertical="center" wrapText="1"/>
    </xf>
    <xf numFmtId="169" fontId="93" fillId="0" borderId="75" xfId="0" applyFont="1" applyBorder="1" applyAlignment="1">
      <alignment horizontal="justify" vertical="center" wrapText="1"/>
    </xf>
    <xf numFmtId="169" fontId="93" fillId="0" borderId="77" xfId="0" applyFont="1" applyBorder="1" applyAlignment="1">
      <alignment horizontal="justify" vertical="center" wrapText="1"/>
    </xf>
    <xf numFmtId="169" fontId="93" fillId="0" borderId="29" xfId="0" applyFont="1" applyBorder="1" applyAlignment="1">
      <alignment horizontal="left" vertical="center" wrapText="1"/>
    </xf>
    <xf numFmtId="169" fontId="90" fillId="0" borderId="30" xfId="0" applyFont="1" applyBorder="1" applyAlignment="1">
      <alignment horizontal="left" vertical="center" wrapText="1"/>
    </xf>
    <xf numFmtId="169" fontId="90" fillId="0" borderId="31" xfId="0" applyFont="1" applyBorder="1" applyAlignment="1">
      <alignment horizontal="left" vertical="center" wrapText="1"/>
    </xf>
    <xf numFmtId="169" fontId="93" fillId="0" borderId="29" xfId="0" applyFont="1" applyBorder="1" applyAlignment="1">
      <alignment horizontal="justify" vertical="center" wrapText="1"/>
    </xf>
    <xf numFmtId="169" fontId="93" fillId="0" borderId="30" xfId="0" applyFont="1" applyBorder="1" applyAlignment="1">
      <alignment horizontal="justify" vertical="center" wrapText="1"/>
    </xf>
    <xf numFmtId="169" fontId="93" fillId="0" borderId="31" xfId="0" applyFont="1" applyBorder="1" applyAlignment="1">
      <alignment horizontal="justify" vertical="center" wrapText="1"/>
    </xf>
    <xf numFmtId="43" fontId="61" fillId="0" borderId="112" xfId="0" applyNumberFormat="1" applyFont="1" applyBorder="1" applyAlignment="1">
      <alignment horizontal="left" vertical="center" wrapText="1"/>
    </xf>
    <xf numFmtId="169" fontId="61" fillId="0" borderId="111" xfId="0" applyFont="1" applyBorder="1" applyAlignment="1">
      <alignment horizontal="left" vertical="center" wrapText="1"/>
    </xf>
    <xf numFmtId="169" fontId="61" fillId="0" borderId="113" xfId="0" applyFont="1" applyBorder="1" applyAlignment="1">
      <alignment horizontal="left" vertical="center" wrapText="1"/>
    </xf>
    <xf numFmtId="169" fontId="61" fillId="0" borderId="114" xfId="0" applyFont="1" applyBorder="1" applyAlignment="1">
      <alignment horizontal="left" vertical="center" wrapText="1"/>
    </xf>
    <xf numFmtId="169" fontId="61" fillId="0" borderId="75" xfId="0" applyFont="1" applyBorder="1" applyAlignment="1">
      <alignment horizontal="left" vertical="center" wrapText="1"/>
    </xf>
    <xf numFmtId="169" fontId="61" fillId="0" borderId="77" xfId="0" applyFont="1" applyBorder="1" applyAlignment="1">
      <alignment horizontal="left" vertical="center" wrapText="1"/>
    </xf>
    <xf numFmtId="169" fontId="62" fillId="0" borderId="114" xfId="0" applyFont="1" applyBorder="1" applyAlignment="1">
      <alignment horizontal="justify" vertical="center" wrapText="1"/>
    </xf>
    <xf numFmtId="169" fontId="62" fillId="0" borderId="75" xfId="0" applyFont="1" applyBorder="1" applyAlignment="1">
      <alignment horizontal="justify" vertical="center" wrapText="1"/>
    </xf>
    <xf numFmtId="169" fontId="62" fillId="0" borderId="77" xfId="0" applyFont="1" applyBorder="1" applyAlignment="1">
      <alignment horizontal="justify" vertical="center" wrapText="1"/>
    </xf>
    <xf numFmtId="169" fontId="45" fillId="0" borderId="112" xfId="0" applyFont="1" applyBorder="1" applyAlignment="1">
      <alignment horizontal="left" vertical="center" wrapText="1"/>
    </xf>
    <xf numFmtId="169" fontId="45" fillId="0" borderId="111" xfId="0" applyFont="1" applyBorder="1" applyAlignment="1">
      <alignment horizontal="left" vertical="center" wrapText="1"/>
    </xf>
    <xf numFmtId="169" fontId="45" fillId="0" borderId="113" xfId="0" applyFont="1" applyBorder="1" applyAlignment="1">
      <alignment horizontal="left" vertical="center" wrapText="1"/>
    </xf>
    <xf numFmtId="169" fontId="45" fillId="0" borderId="114" xfId="0" applyFont="1" applyBorder="1" applyAlignment="1">
      <alignment horizontal="left" vertical="center" wrapText="1"/>
    </xf>
    <xf numFmtId="169" fontId="45" fillId="0" borderId="75" xfId="0" applyFont="1" applyBorder="1" applyAlignment="1">
      <alignment horizontal="left" vertical="center" wrapText="1"/>
    </xf>
    <xf numFmtId="169" fontId="45" fillId="0" borderId="77" xfId="0" applyFont="1" applyBorder="1" applyAlignment="1">
      <alignment horizontal="left" vertical="center" wrapText="1"/>
    </xf>
    <xf numFmtId="169" fontId="45" fillId="0" borderId="30" xfId="0" applyFont="1" applyBorder="1" applyAlignment="1">
      <alignment horizontal="justify" vertical="center" wrapText="1"/>
    </xf>
    <xf numFmtId="169" fontId="45" fillId="0" borderId="31" xfId="0" applyFont="1" applyBorder="1" applyAlignment="1">
      <alignment horizontal="justify" vertical="center" wrapText="1"/>
    </xf>
    <xf numFmtId="169" fontId="0" fillId="0" borderId="0" xfId="0" applyBorder="1" applyAlignment="1">
      <alignment horizontal="center" wrapText="1"/>
    </xf>
    <xf numFmtId="169" fontId="60" fillId="6" borderId="29" xfId="0" applyFont="1" applyFill="1" applyBorder="1" applyAlignment="1">
      <alignment horizontal="center"/>
    </xf>
    <xf numFmtId="169" fontId="60" fillId="6" borderId="30" xfId="0" applyFont="1" applyFill="1" applyBorder="1" applyAlignment="1">
      <alignment horizontal="center"/>
    </xf>
    <xf numFmtId="169" fontId="60" fillId="6" borderId="31" xfId="0" applyFont="1" applyFill="1" applyBorder="1" applyAlignment="1">
      <alignment horizontal="center"/>
    </xf>
    <xf numFmtId="169" fontId="0" fillId="0" borderId="0" xfId="0" applyBorder="1" applyAlignment="1">
      <alignment horizontal="center"/>
    </xf>
    <xf numFmtId="169" fontId="62" fillId="0" borderId="29" xfId="0" applyFont="1" applyBorder="1" applyAlignment="1">
      <alignment horizontal="justify" vertical="center" wrapText="1"/>
    </xf>
    <xf numFmtId="43" fontId="10" fillId="17" borderId="0" xfId="12" applyFont="1" applyFill="1" applyAlignment="1" applyProtection="1">
      <alignment horizontal="center" vertical="center"/>
    </xf>
    <xf numFmtId="169" fontId="60" fillId="9" borderId="29" xfId="0" applyFont="1" applyFill="1" applyBorder="1" applyAlignment="1">
      <alignment horizontal="center"/>
    </xf>
    <xf numFmtId="169" fontId="60" fillId="9" borderId="30" xfId="0" applyFont="1" applyFill="1" applyBorder="1" applyAlignment="1">
      <alignment horizontal="center"/>
    </xf>
    <xf numFmtId="169" fontId="60" fillId="9" borderId="31" xfId="0" applyFont="1" applyFill="1" applyBorder="1" applyAlignment="1">
      <alignment horizontal="center"/>
    </xf>
    <xf numFmtId="169" fontId="61" fillId="0" borderId="30" xfId="0" applyFont="1" applyBorder="1" applyAlignment="1">
      <alignment horizontal="justify" vertical="center"/>
    </xf>
    <xf numFmtId="169" fontId="61" fillId="0" borderId="31" xfId="0" applyFont="1" applyBorder="1" applyAlignment="1">
      <alignment horizontal="justify" vertical="center"/>
    </xf>
    <xf numFmtId="9" fontId="62" fillId="0" borderId="29" xfId="19" applyFont="1" applyBorder="1" applyAlignment="1">
      <alignment horizontal="justify" vertical="center" wrapText="1"/>
    </xf>
    <xf numFmtId="9" fontId="62" fillId="0" borderId="30" xfId="19" applyFont="1" applyBorder="1" applyAlignment="1">
      <alignment horizontal="justify" vertical="center" wrapText="1"/>
    </xf>
    <xf numFmtId="9" fontId="62" fillId="0" borderId="31" xfId="19" applyFont="1" applyBorder="1" applyAlignment="1">
      <alignment horizontal="justify" vertical="center" wrapText="1"/>
    </xf>
    <xf numFmtId="169" fontId="0" fillId="0" borderId="111" xfId="0" applyBorder="1" applyAlignment="1">
      <alignment horizontal="center" wrapText="1"/>
    </xf>
    <xf numFmtId="43" fontId="61" fillId="0" borderId="29" xfId="0" applyNumberFormat="1" applyFont="1" applyBorder="1" applyAlignment="1">
      <alignment horizontal="left" vertical="center" wrapText="1"/>
    </xf>
    <xf numFmtId="169" fontId="61" fillId="0" borderId="30" xfId="0" applyFont="1" applyBorder="1" applyAlignment="1">
      <alignment horizontal="left" vertical="center" wrapText="1"/>
    </xf>
    <xf numFmtId="169" fontId="61" fillId="0" borderId="31" xfId="0" applyFont="1" applyBorder="1" applyAlignment="1">
      <alignment horizontal="left" vertical="center" wrapText="1"/>
    </xf>
    <xf numFmtId="169" fontId="61" fillId="0" borderId="30" xfId="0" applyFont="1" applyBorder="1" applyAlignment="1">
      <alignment horizontal="left" vertical="center"/>
    </xf>
    <xf numFmtId="169" fontId="61" fillId="0" borderId="31" xfId="0" applyFont="1" applyBorder="1" applyAlignment="1">
      <alignment horizontal="left" vertical="center"/>
    </xf>
    <xf numFmtId="169" fontId="0" fillId="0" borderId="111" xfId="0" applyBorder="1" applyAlignment="1">
      <alignment horizontal="center"/>
    </xf>
    <xf numFmtId="169" fontId="46" fillId="5" borderId="31" xfId="0" applyNumberFormat="1" applyFont="1" applyFill="1" applyBorder="1" applyAlignment="1" applyProtection="1">
      <alignment horizontal="center" vertical="center" wrapText="1"/>
      <protection locked="0"/>
    </xf>
    <xf numFmtId="49" fontId="46" fillId="7" borderId="31" xfId="0" applyNumberFormat="1" applyFont="1" applyFill="1" applyBorder="1" applyAlignment="1" applyProtection="1">
      <alignment horizontal="center" vertical="center" wrapText="1"/>
      <protection locked="0"/>
    </xf>
    <xf numFmtId="49" fontId="46" fillId="13" borderId="118" xfId="0" applyNumberFormat="1" applyFont="1" applyFill="1" applyBorder="1" applyAlignment="1" applyProtection="1">
      <alignment horizontal="center" vertical="center" wrapText="1"/>
      <protection locked="0"/>
    </xf>
    <xf numFmtId="49" fontId="46" fillId="13" borderId="119" xfId="0" applyNumberFormat="1" applyFont="1" applyFill="1" applyBorder="1" applyAlignment="1" applyProtection="1">
      <alignment horizontal="center" vertical="center" wrapText="1"/>
      <protection locked="0"/>
    </xf>
    <xf numFmtId="49" fontId="46" fillId="5" borderId="138" xfId="0" applyNumberFormat="1" applyFont="1" applyFill="1" applyBorder="1" applyAlignment="1" applyProtection="1">
      <alignment horizontal="justify" vertical="center" wrapText="1"/>
      <protection locked="0"/>
    </xf>
    <xf numFmtId="169" fontId="108" fillId="0" borderId="111" xfId="0" applyFont="1" applyBorder="1" applyAlignment="1">
      <alignment horizontal="justify" vertical="center" wrapText="1"/>
    </xf>
    <xf numFmtId="169" fontId="108" fillId="0" borderId="139" xfId="0" applyFont="1" applyBorder="1" applyAlignment="1">
      <alignment horizontal="justify" vertical="center" wrapText="1"/>
    </xf>
    <xf numFmtId="169" fontId="108" fillId="0" borderId="74" xfId="0" applyFont="1" applyBorder="1" applyAlignment="1">
      <alignment horizontal="justify" vertical="center" wrapText="1"/>
    </xf>
    <xf numFmtId="169" fontId="108" fillId="0" borderId="75" xfId="0" applyFont="1" applyBorder="1" applyAlignment="1">
      <alignment horizontal="justify" vertical="center" wrapText="1"/>
    </xf>
    <xf numFmtId="169" fontId="108" fillId="0" borderId="79" xfId="0" applyFont="1" applyBorder="1" applyAlignment="1">
      <alignment horizontal="justify" vertical="center" wrapText="1"/>
    </xf>
    <xf numFmtId="169" fontId="46" fillId="5" borderId="123" xfId="0" applyNumberFormat="1" applyFont="1" applyFill="1" applyBorder="1" applyAlignment="1" applyProtection="1">
      <alignment horizontal="center" vertical="center" wrapText="1"/>
      <protection locked="0"/>
    </xf>
    <xf numFmtId="49" fontId="46" fillId="7" borderId="228" xfId="0" applyNumberFormat="1" applyFont="1" applyFill="1" applyBorder="1" applyAlignment="1" applyProtection="1">
      <alignment horizontal="center" vertical="center" wrapText="1"/>
      <protection locked="0"/>
    </xf>
    <xf numFmtId="49" fontId="46" fillId="7" borderId="230" xfId="0" applyNumberFormat="1" applyFont="1" applyFill="1" applyBorder="1" applyAlignment="1" applyProtection="1">
      <alignment horizontal="center" vertical="center" wrapText="1"/>
      <protection locked="0"/>
    </xf>
    <xf numFmtId="0" fontId="46" fillId="7" borderId="123" xfId="0" applyNumberFormat="1" applyFont="1" applyFill="1" applyBorder="1" applyAlignment="1" applyProtection="1">
      <alignment horizontal="center" vertical="center" wrapText="1"/>
      <protection locked="0"/>
    </xf>
    <xf numFmtId="0" fontId="102" fillId="7" borderId="123" xfId="0" applyNumberFormat="1" applyFont="1" applyFill="1" applyBorder="1" applyAlignment="1" applyProtection="1">
      <alignment horizontal="center" vertical="center" wrapText="1"/>
      <protection locked="0"/>
    </xf>
    <xf numFmtId="169" fontId="0" fillId="2" borderId="143" xfId="0" applyFill="1" applyBorder="1" applyAlignment="1" applyProtection="1">
      <alignment horizontal="center" vertical="center" textRotation="90"/>
    </xf>
    <xf numFmtId="0" fontId="46" fillId="13" borderId="89" xfId="0" applyNumberFormat="1" applyFont="1" applyFill="1" applyBorder="1" applyAlignment="1" applyProtection="1">
      <alignment horizontal="center" vertical="center" wrapText="1"/>
      <protection locked="0"/>
    </xf>
    <xf numFmtId="0" fontId="102" fillId="13" borderId="76" xfId="0" applyNumberFormat="1" applyFont="1" applyFill="1" applyBorder="1" applyAlignment="1" applyProtection="1">
      <alignment horizontal="center" vertical="center" wrapText="1"/>
      <protection locked="0"/>
    </xf>
    <xf numFmtId="43" fontId="43" fillId="17" borderId="0" xfId="4" applyFont="1" applyFill="1" applyAlignment="1" applyProtection="1">
      <alignment horizontal="center" vertical="center"/>
    </xf>
    <xf numFmtId="49" fontId="0" fillId="0" borderId="29" xfId="0" applyNumberFormat="1" applyBorder="1" applyAlignment="1" applyProtection="1">
      <alignment horizontal="center"/>
      <protection locked="0"/>
    </xf>
    <xf numFmtId="49" fontId="0" fillId="0" borderId="31" xfId="0" applyNumberFormat="1" applyBorder="1" applyAlignment="1" applyProtection="1">
      <alignment horizontal="center"/>
      <protection locked="0"/>
    </xf>
    <xf numFmtId="169" fontId="86" fillId="0" borderId="0" xfId="0" applyFont="1" applyAlignment="1" applyProtection="1">
      <alignment horizontal="right"/>
    </xf>
    <xf numFmtId="49" fontId="0" fillId="0" borderId="29" xfId="0" applyNumberFormat="1" applyBorder="1" applyAlignment="1" applyProtection="1">
      <alignment horizontal="justify" wrapText="1"/>
      <protection locked="0"/>
    </xf>
    <xf numFmtId="49" fontId="0" fillId="0" borderId="30" xfId="0" applyNumberFormat="1" applyBorder="1" applyAlignment="1" applyProtection="1">
      <alignment horizontal="justify" wrapText="1"/>
      <protection locked="0"/>
    </xf>
    <xf numFmtId="49" fontId="0" fillId="0" borderId="31" xfId="0" applyNumberFormat="1" applyBorder="1" applyAlignment="1" applyProtection="1">
      <alignment horizontal="justify" wrapText="1"/>
      <protection locked="0"/>
    </xf>
    <xf numFmtId="169" fontId="115" fillId="0" borderId="88" xfId="0" applyFont="1" applyFill="1" applyBorder="1" applyAlignment="1" applyProtection="1">
      <alignment horizontal="right" wrapText="1"/>
    </xf>
    <xf numFmtId="169" fontId="115" fillId="0" borderId="132" xfId="0" applyFont="1" applyFill="1" applyBorder="1" applyAlignment="1" applyProtection="1">
      <alignment horizontal="right" wrapText="1"/>
    </xf>
    <xf numFmtId="170" fontId="98" fillId="0" borderId="2" xfId="20" applyNumberFormat="1" applyFont="1" applyFill="1" applyBorder="1" applyAlignment="1" applyProtection="1">
      <alignment horizontal="center"/>
      <protection locked="0"/>
    </xf>
    <xf numFmtId="170" fontId="106" fillId="0" borderId="2" xfId="20" applyNumberFormat="1" applyFill="1" applyBorder="1" applyAlignment="1" applyProtection="1">
      <alignment horizontal="center"/>
      <protection locked="0"/>
    </xf>
    <xf numFmtId="169" fontId="86" fillId="0" borderId="88" xfId="0" applyFont="1" applyBorder="1" applyAlignment="1" applyProtection="1">
      <alignment horizontal="right"/>
    </xf>
    <xf numFmtId="171" fontId="108" fillId="0" borderId="29" xfId="0" applyNumberFormat="1" applyFont="1" applyFill="1" applyBorder="1" applyAlignment="1" applyProtection="1">
      <alignment horizontal="center"/>
      <protection locked="0"/>
    </xf>
    <xf numFmtId="171" fontId="108" fillId="0" borderId="31" xfId="0" applyNumberFormat="1" applyFont="1" applyFill="1" applyBorder="1" applyAlignment="1" applyProtection="1">
      <alignment horizontal="center"/>
      <protection locked="0"/>
    </xf>
    <xf numFmtId="49" fontId="112" fillId="0" borderId="2" xfId="0" applyNumberFormat="1" applyFont="1" applyBorder="1" applyAlignment="1" applyProtection="1">
      <alignment horizontal="center"/>
      <protection locked="0"/>
    </xf>
    <xf numFmtId="49" fontId="0" fillId="0" borderId="30" xfId="0" applyNumberFormat="1" applyBorder="1" applyAlignment="1" applyProtection="1">
      <alignment horizontal="center"/>
      <protection locked="0"/>
    </xf>
    <xf numFmtId="169" fontId="86" fillId="0" borderId="0" xfId="0" applyFont="1" applyBorder="1" applyAlignment="1" applyProtection="1">
      <alignment horizontal="right"/>
    </xf>
    <xf numFmtId="169" fontId="86" fillId="0" borderId="132" xfId="0" applyFont="1" applyBorder="1" applyAlignment="1" applyProtection="1">
      <alignment horizontal="right"/>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69" fontId="52" fillId="0" borderId="124" xfId="0" applyFont="1" applyFill="1" applyBorder="1" applyAlignment="1" applyProtection="1">
      <alignment horizontal="center" vertical="center"/>
    </xf>
    <xf numFmtId="169" fontId="52" fillId="0" borderId="125" xfId="0" applyFont="1" applyFill="1" applyBorder="1" applyAlignment="1" applyProtection="1">
      <alignment horizontal="center" vertical="center"/>
    </xf>
    <xf numFmtId="169" fontId="52" fillId="0" borderId="126" xfId="0" applyFont="1" applyFill="1" applyBorder="1" applyAlignment="1" applyProtection="1">
      <alignment horizontal="center" vertical="center"/>
    </xf>
    <xf numFmtId="169" fontId="0" fillId="0" borderId="129" xfId="0" applyFill="1" applyBorder="1" applyAlignment="1" applyProtection="1">
      <alignment horizontal="center" vertical="center"/>
      <protection locked="0"/>
    </xf>
    <xf numFmtId="169" fontId="0" fillId="0" borderId="130" xfId="0" applyFill="1" applyBorder="1" applyAlignment="1" applyProtection="1">
      <alignment horizontal="center" vertical="center"/>
      <protection locked="0"/>
    </xf>
    <xf numFmtId="169" fontId="0" fillId="0" borderId="131" xfId="0" applyFill="1" applyBorder="1" applyAlignment="1" applyProtection="1">
      <alignment horizontal="center" vertical="center"/>
      <protection locked="0"/>
    </xf>
    <xf numFmtId="49" fontId="46" fillId="7" borderId="118" xfId="0" applyNumberFormat="1" applyFont="1" applyFill="1" applyBorder="1" applyAlignment="1" applyProtection="1">
      <alignment horizontal="center" vertical="center" wrapText="1"/>
      <protection locked="0"/>
    </xf>
    <xf numFmtId="49" fontId="46" fillId="7" borderId="119" xfId="0" applyNumberFormat="1" applyFont="1" applyFill="1" applyBorder="1" applyAlignment="1" applyProtection="1">
      <alignment horizontal="center" vertical="center" wrapText="1"/>
      <protection locked="0"/>
    </xf>
    <xf numFmtId="49" fontId="46" fillId="5" borderId="118" xfId="0" applyNumberFormat="1" applyFont="1" applyFill="1" applyBorder="1" applyAlignment="1" applyProtection="1">
      <alignment horizontal="center" vertical="center" wrapText="1"/>
      <protection locked="0"/>
    </xf>
    <xf numFmtId="49" fontId="46" fillId="5" borderId="119" xfId="0" applyNumberFormat="1" applyFont="1" applyFill="1" applyBorder="1" applyAlignment="1" applyProtection="1">
      <alignment horizontal="center" vertical="center" wrapText="1"/>
      <protection locked="0"/>
    </xf>
    <xf numFmtId="49" fontId="46" fillId="23" borderId="138" xfId="0" applyNumberFormat="1" applyFont="1" applyFill="1" applyBorder="1" applyAlignment="1" applyProtection="1">
      <alignment horizontal="justify" vertical="center" wrapText="1"/>
      <protection locked="0"/>
    </xf>
    <xf numFmtId="0" fontId="46" fillId="5" borderId="89" xfId="0" applyNumberFormat="1" applyFont="1" applyFill="1" applyBorder="1" applyAlignment="1" applyProtection="1">
      <alignment horizontal="center" vertical="center" wrapText="1"/>
      <protection locked="0"/>
    </xf>
    <xf numFmtId="0" fontId="102" fillId="5" borderId="76" xfId="0" applyNumberFormat="1" applyFont="1" applyFill="1" applyBorder="1" applyAlignment="1" applyProtection="1">
      <alignment horizontal="center" vertical="center" wrapText="1"/>
      <protection locked="0"/>
    </xf>
    <xf numFmtId="49" fontId="7" fillId="0" borderId="16" xfId="0" applyNumberFormat="1" applyFont="1" applyBorder="1" applyAlignment="1" applyProtection="1">
      <alignment horizontal="center"/>
    </xf>
    <xf numFmtId="49" fontId="7" fillId="0" borderId="33" xfId="0" applyNumberFormat="1" applyFont="1" applyBorder="1" applyAlignment="1" applyProtection="1">
      <alignment horizontal="center"/>
    </xf>
    <xf numFmtId="169" fontId="0" fillId="0" borderId="133" xfId="0" applyBorder="1" applyAlignment="1" applyProtection="1">
      <alignment horizontal="center"/>
    </xf>
    <xf numFmtId="169" fontId="0" fillId="0" borderId="13" xfId="0" applyBorder="1" applyAlignment="1" applyProtection="1">
      <alignment horizontal="center"/>
    </xf>
    <xf numFmtId="169" fontId="57" fillId="0" borderId="134" xfId="0" applyFont="1" applyBorder="1" applyAlignment="1" applyProtection="1">
      <alignment horizontal="right"/>
    </xf>
    <xf numFmtId="169" fontId="94" fillId="0" borderId="134" xfId="0" applyFont="1" applyBorder="1" applyAlignment="1"/>
    <xf numFmtId="43" fontId="7" fillId="0" borderId="135" xfId="0" applyNumberFormat="1" applyFont="1" applyBorder="1" applyAlignment="1" applyProtection="1">
      <alignment horizontal="center"/>
    </xf>
    <xf numFmtId="169" fontId="7" fillId="0" borderId="136" xfId="0" applyFont="1" applyBorder="1" applyAlignment="1" applyProtection="1">
      <alignment horizontal="center"/>
    </xf>
    <xf numFmtId="169" fontId="7" fillId="0" borderId="137" xfId="0" applyFont="1" applyBorder="1" applyAlignment="1" applyProtection="1">
      <alignment horizontal="center"/>
    </xf>
    <xf numFmtId="169" fontId="19" fillId="0" borderId="140" xfId="0" applyFont="1" applyBorder="1" applyAlignment="1" applyProtection="1">
      <alignment horizontal="center" wrapText="1"/>
    </xf>
    <xf numFmtId="169" fontId="19" fillId="0" borderId="141" xfId="0" applyFont="1" applyBorder="1" applyAlignment="1" applyProtection="1">
      <alignment horizontal="center" wrapText="1"/>
    </xf>
    <xf numFmtId="169" fontId="19" fillId="0" borderId="142" xfId="0" applyFont="1" applyBorder="1" applyAlignment="1" applyProtection="1">
      <alignment horizontal="center" wrapText="1"/>
    </xf>
    <xf numFmtId="169" fontId="0" fillId="5" borderId="29" xfId="0" applyFill="1" applyBorder="1" applyAlignment="1" applyProtection="1">
      <alignment horizontal="center"/>
    </xf>
    <xf numFmtId="169" fontId="0" fillId="5" borderId="31" xfId="0" applyFill="1" applyBorder="1" applyAlignment="1" applyProtection="1">
      <alignment horizontal="center"/>
    </xf>
    <xf numFmtId="43" fontId="8" fillId="19" borderId="2" xfId="20" applyFont="1" applyFill="1" applyBorder="1" applyAlignment="1" applyProtection="1">
      <alignment horizontal="center"/>
      <protection locked="0"/>
    </xf>
    <xf numFmtId="49" fontId="0" fillId="0" borderId="2" xfId="0" applyNumberFormat="1" applyBorder="1" applyAlignment="1" applyProtection="1">
      <alignment horizontal="center"/>
      <protection locked="0"/>
    </xf>
    <xf numFmtId="169" fontId="46" fillId="11" borderId="31" xfId="0" applyFont="1" applyFill="1" applyBorder="1" applyAlignment="1" applyProtection="1">
      <alignment horizontal="center" vertical="center" wrapText="1"/>
    </xf>
    <xf numFmtId="0" fontId="46" fillId="0" borderId="123" xfId="0" applyNumberFormat="1" applyFont="1" applyFill="1" applyBorder="1" applyAlignment="1" applyProtection="1">
      <alignment horizontal="center" vertical="center" wrapText="1"/>
    </xf>
    <xf numFmtId="0" fontId="46" fillId="0" borderId="127" xfId="0" applyNumberFormat="1" applyFont="1" applyFill="1" applyBorder="1" applyAlignment="1" applyProtection="1">
      <alignment horizontal="center" vertical="center" wrapText="1"/>
    </xf>
    <xf numFmtId="169" fontId="46" fillId="0" borderId="31" xfId="0" applyFont="1" applyFill="1" applyBorder="1" applyAlignment="1" applyProtection="1">
      <alignment horizontal="center" vertical="center" wrapText="1"/>
    </xf>
    <xf numFmtId="169" fontId="46" fillId="0" borderId="128" xfId="0" applyFont="1" applyFill="1" applyBorder="1" applyAlignment="1" applyProtection="1">
      <alignment horizontal="center" vertical="center" wrapText="1"/>
    </xf>
    <xf numFmtId="49" fontId="46" fillId="0" borderId="138" xfId="0" applyNumberFormat="1" applyFont="1" applyFill="1" applyBorder="1" applyAlignment="1" applyProtection="1">
      <alignment horizontal="justify" vertical="center" wrapText="1"/>
      <protection locked="0"/>
    </xf>
    <xf numFmtId="169" fontId="108" fillId="0" borderId="111" xfId="0" applyFont="1" applyFill="1" applyBorder="1" applyAlignment="1">
      <alignment horizontal="justify" vertical="center" wrapText="1"/>
    </xf>
    <xf numFmtId="169" fontId="108" fillId="0" borderId="139" xfId="0" applyFont="1" applyFill="1" applyBorder="1" applyAlignment="1">
      <alignment horizontal="justify" vertical="center" wrapText="1"/>
    </xf>
    <xf numFmtId="169" fontId="108" fillId="0" borderId="74" xfId="0" applyFont="1" applyFill="1" applyBorder="1" applyAlignment="1">
      <alignment horizontal="justify" vertical="center" wrapText="1"/>
    </xf>
    <xf numFmtId="169" fontId="108" fillId="0" borderId="75" xfId="0" applyFont="1" applyFill="1" applyBorder="1" applyAlignment="1">
      <alignment horizontal="justify" vertical="center" wrapText="1"/>
    </xf>
    <xf numFmtId="169" fontId="108" fillId="0" borderId="79" xfId="0" applyFont="1" applyFill="1" applyBorder="1" applyAlignment="1">
      <alignment horizontal="justify" vertical="center" wrapText="1"/>
    </xf>
    <xf numFmtId="0" fontId="46" fillId="11" borderId="123" xfId="0" applyNumberFormat="1" applyFont="1" applyFill="1" applyBorder="1" applyAlignment="1" applyProtection="1">
      <alignment horizontal="center" vertical="center" wrapText="1"/>
    </xf>
    <xf numFmtId="169" fontId="46" fillId="11" borderId="138" xfId="0" applyFont="1" applyFill="1" applyBorder="1" applyAlignment="1" applyProtection="1">
      <alignment horizontal="justify" vertical="center" wrapText="1"/>
    </xf>
    <xf numFmtId="169" fontId="46" fillId="11" borderId="111" xfId="0" applyFont="1" applyFill="1" applyBorder="1" applyAlignment="1" applyProtection="1">
      <alignment horizontal="justify" vertical="center" wrapText="1"/>
    </xf>
    <xf numFmtId="169" fontId="46" fillId="11" borderId="139" xfId="0" applyFont="1" applyFill="1" applyBorder="1" applyAlignment="1" applyProtection="1">
      <alignment horizontal="justify" vertical="center" wrapText="1"/>
    </xf>
    <xf numFmtId="169" fontId="46" fillId="11" borderId="74" xfId="0" applyFont="1" applyFill="1" applyBorder="1" applyAlignment="1" applyProtection="1">
      <alignment horizontal="justify" vertical="center" wrapText="1"/>
    </xf>
    <xf numFmtId="169" fontId="46" fillId="11" borderId="75" xfId="0" applyFont="1" applyFill="1" applyBorder="1" applyAlignment="1" applyProtection="1">
      <alignment horizontal="justify" vertical="center" wrapText="1"/>
    </xf>
    <xf numFmtId="169" fontId="46" fillId="11" borderId="79" xfId="0" applyFont="1" applyFill="1" applyBorder="1" applyAlignment="1" applyProtection="1">
      <alignment horizontal="justify" vertical="center" wrapText="1"/>
    </xf>
    <xf numFmtId="0" fontId="46" fillId="5" borderId="123" xfId="0" applyNumberFormat="1" applyFont="1" applyFill="1" applyBorder="1" applyAlignment="1" applyProtection="1">
      <alignment horizontal="center" vertical="center" wrapText="1"/>
      <protection locked="0"/>
    </xf>
    <xf numFmtId="0" fontId="102" fillId="5" borderId="123" xfId="0" applyNumberFormat="1" applyFont="1" applyFill="1" applyBorder="1" applyAlignment="1" applyProtection="1">
      <alignment horizontal="center" vertical="center" wrapText="1"/>
      <protection locked="0"/>
    </xf>
    <xf numFmtId="169" fontId="46" fillId="7" borderId="227" xfId="0" applyNumberFormat="1" applyFont="1" applyFill="1" applyBorder="1" applyAlignment="1" applyProtection="1">
      <alignment horizontal="center" vertical="center" wrapText="1"/>
      <protection locked="0"/>
    </xf>
    <xf numFmtId="169" fontId="46" fillId="7" borderId="229" xfId="0" applyNumberFormat="1" applyFont="1" applyFill="1" applyBorder="1" applyAlignment="1" applyProtection="1">
      <alignment horizontal="center" vertical="center" wrapText="1"/>
      <protection locked="0"/>
    </xf>
    <xf numFmtId="10" fontId="26" fillId="0" borderId="115" xfId="19" applyNumberFormat="1" applyFont="1" applyFill="1" applyBorder="1" applyAlignment="1" applyProtection="1">
      <alignment horizontal="center" vertical="center"/>
    </xf>
    <xf numFmtId="10" fontId="26" fillId="0" borderId="116" xfId="19" applyNumberFormat="1" applyFont="1" applyFill="1" applyBorder="1" applyAlignment="1" applyProtection="1">
      <alignment horizontal="center" vertical="center"/>
    </xf>
    <xf numFmtId="10" fontId="26" fillId="0" borderId="117" xfId="19" applyNumberFormat="1" applyFont="1" applyFill="1" applyBorder="1" applyAlignment="1" applyProtection="1">
      <alignment horizontal="center" vertical="center"/>
    </xf>
    <xf numFmtId="0" fontId="46" fillId="5" borderId="76" xfId="0" applyNumberFormat="1" applyFont="1" applyFill="1" applyBorder="1" applyAlignment="1" applyProtection="1">
      <alignment horizontal="center" vertical="center" wrapText="1"/>
      <protection locked="0"/>
    </xf>
    <xf numFmtId="49" fontId="46" fillId="23" borderId="118" xfId="0" applyNumberFormat="1" applyFont="1" applyFill="1" applyBorder="1" applyAlignment="1" applyProtection="1">
      <alignment horizontal="center" vertical="center" wrapText="1"/>
      <protection locked="0"/>
    </xf>
    <xf numFmtId="49" fontId="46" fillId="23" borderId="119" xfId="0" applyNumberFormat="1" applyFont="1" applyFill="1" applyBorder="1" applyAlignment="1" applyProtection="1">
      <alignment horizontal="center" vertical="center" wrapText="1"/>
      <protection locked="0"/>
    </xf>
    <xf numFmtId="0" fontId="46" fillId="23" borderId="89" xfId="0" applyNumberFormat="1" applyFont="1" applyFill="1" applyBorder="1" applyAlignment="1" applyProtection="1">
      <alignment horizontal="center" vertical="center" wrapText="1"/>
      <protection locked="0"/>
    </xf>
    <xf numFmtId="0" fontId="102" fillId="23" borderId="76" xfId="0" applyNumberFormat="1" applyFont="1" applyFill="1" applyBorder="1" applyAlignment="1" applyProtection="1">
      <alignment horizontal="center" vertical="center" wrapText="1"/>
      <protection locked="0"/>
    </xf>
    <xf numFmtId="169" fontId="0" fillId="18" borderId="120" xfId="0" applyFill="1" applyBorder="1" applyAlignment="1" applyProtection="1">
      <alignment horizontal="center"/>
    </xf>
    <xf numFmtId="169" fontId="0" fillId="18" borderId="121" xfId="0" applyFill="1" applyBorder="1" applyAlignment="1" applyProtection="1">
      <alignment horizontal="center"/>
    </xf>
    <xf numFmtId="169" fontId="0" fillId="18" borderId="122" xfId="0" applyFill="1" applyBorder="1" applyAlignment="1" applyProtection="1">
      <alignment horizontal="center"/>
    </xf>
    <xf numFmtId="43" fontId="113" fillId="17" borderId="0" xfId="4" applyFont="1" applyFill="1" applyAlignment="1" applyProtection="1">
      <alignment horizontal="center" vertical="center"/>
    </xf>
    <xf numFmtId="43" fontId="17" fillId="6" borderId="26" xfId="20" applyFont="1" applyFill="1" applyBorder="1" applyAlignment="1" applyProtection="1">
      <alignment horizontal="center"/>
    </xf>
    <xf numFmtId="43" fontId="26" fillId="6" borderId="0" xfId="15" applyFont="1" applyFill="1" applyAlignment="1" applyProtection="1">
      <alignment horizontal="center" vertical="center" wrapText="1"/>
    </xf>
    <xf numFmtId="172" fontId="17" fillId="6" borderId="26" xfId="20" applyNumberFormat="1" applyFont="1" applyFill="1" applyBorder="1" applyAlignment="1" applyProtection="1">
      <alignment horizontal="center" vertical="center"/>
    </xf>
    <xf numFmtId="43" fontId="1" fillId="0" borderId="26" xfId="20" applyFont="1" applyBorder="1" applyAlignment="1" applyProtection="1">
      <alignment horizontal="right"/>
    </xf>
    <xf numFmtId="43" fontId="1" fillId="0" borderId="26" xfId="20" applyFont="1" applyFill="1" applyBorder="1" applyAlignment="1" applyProtection="1">
      <alignment horizontal="right"/>
    </xf>
    <xf numFmtId="43" fontId="13" fillId="0" borderId="0" xfId="15" applyFont="1" applyFill="1" applyAlignment="1" applyProtection="1">
      <alignment horizontal="right" vertical="center"/>
    </xf>
    <xf numFmtId="43" fontId="17" fillId="6" borderId="0" xfId="15" applyFont="1" applyFill="1" applyAlignment="1" applyProtection="1">
      <alignment horizontal="center" vertical="center" wrapText="1"/>
    </xf>
    <xf numFmtId="43" fontId="88" fillId="16" borderId="26" xfId="20" applyFont="1" applyFill="1" applyBorder="1" applyAlignment="1" applyProtection="1">
      <alignment horizontal="center"/>
    </xf>
    <xf numFmtId="43" fontId="1" fillId="0" borderId="26" xfId="20" applyFont="1" applyFill="1" applyBorder="1" applyAlignment="1" applyProtection="1">
      <alignment horizontal="right" wrapText="1"/>
    </xf>
    <xf numFmtId="170" fontId="17" fillId="6" borderId="26" xfId="20" applyNumberFormat="1" applyFont="1" applyFill="1" applyBorder="1" applyAlignment="1" applyProtection="1">
      <alignment horizontal="center"/>
    </xf>
    <xf numFmtId="170" fontId="0" fillId="0" borderId="26" xfId="0" applyNumberFormat="1" applyBorder="1" applyAlignment="1"/>
    <xf numFmtId="43" fontId="28" fillId="0" borderId="0" xfId="0" applyNumberFormat="1" applyFont="1" applyFill="1" applyAlignment="1">
      <alignment wrapText="1"/>
    </xf>
    <xf numFmtId="169" fontId="0" fillId="0" borderId="0" xfId="0" applyFill="1" applyAlignment="1">
      <alignment wrapText="1"/>
    </xf>
    <xf numFmtId="43" fontId="28" fillId="0" borderId="0" xfId="0" applyNumberFormat="1" applyFont="1" applyAlignment="1">
      <alignment wrapText="1"/>
    </xf>
    <xf numFmtId="169" fontId="0" fillId="0" borderId="0" xfId="0" applyAlignment="1">
      <alignment wrapText="1"/>
    </xf>
    <xf numFmtId="169" fontId="58" fillId="0" borderId="0" xfId="0" applyFont="1" applyAlignment="1">
      <alignment horizontal="left" wrapText="1"/>
    </xf>
    <xf numFmtId="169" fontId="23" fillId="5" borderId="29" xfId="0" applyFont="1" applyFill="1" applyBorder="1" applyAlignment="1" applyProtection="1">
      <alignment horizontal="justify" vertical="center" wrapText="1"/>
      <protection locked="0"/>
    </xf>
    <xf numFmtId="169" fontId="108" fillId="0" borderId="30" xfId="0" applyFont="1" applyBorder="1" applyAlignment="1">
      <alignment horizontal="justify" vertical="center" wrapText="1"/>
    </xf>
    <xf numFmtId="169" fontId="108" fillId="0" borderId="31" xfId="0" applyFont="1" applyBorder="1" applyAlignment="1">
      <alignment horizontal="justify" vertical="center" wrapText="1"/>
    </xf>
    <xf numFmtId="169" fontId="23" fillId="5" borderId="30" xfId="0" applyFont="1" applyFill="1" applyBorder="1" applyAlignment="1" applyProtection="1">
      <alignment horizontal="justify" vertical="center" wrapText="1"/>
      <protection locked="0"/>
    </xf>
    <xf numFmtId="169" fontId="23" fillId="5" borderId="31" xfId="0" applyFont="1" applyFill="1" applyBorder="1" applyAlignment="1" applyProtection="1">
      <alignment horizontal="justify" vertical="center" wrapText="1"/>
      <protection locked="0"/>
    </xf>
    <xf numFmtId="169" fontId="0" fillId="0" borderId="129" xfId="0" applyFill="1" applyBorder="1" applyAlignment="1" applyProtection="1">
      <alignment horizontal="center" vertical="center"/>
    </xf>
    <xf numFmtId="169" fontId="0" fillId="0" borderId="130" xfId="0" applyFill="1" applyBorder="1" applyAlignment="1" applyProtection="1">
      <alignment horizontal="center" vertical="center"/>
    </xf>
    <xf numFmtId="169" fontId="0" fillId="0" borderId="131" xfId="0" applyFill="1" applyBorder="1" applyAlignment="1" applyProtection="1">
      <alignment horizontal="center" vertical="center"/>
    </xf>
    <xf numFmtId="43" fontId="7" fillId="0" borderId="0" xfId="0" applyNumberFormat="1" applyFont="1" applyAlignment="1">
      <alignment horizontal="center"/>
    </xf>
    <xf numFmtId="169" fontId="7" fillId="0" borderId="0" xfId="0" applyFont="1" applyBorder="1" applyAlignment="1">
      <alignment horizontal="center"/>
    </xf>
    <xf numFmtId="43" fontId="43" fillId="17" borderId="0" xfId="13" applyFont="1" applyFill="1" applyAlignment="1">
      <alignment horizontal="center" vertical="center"/>
    </xf>
    <xf numFmtId="43" fontId="8" fillId="16" borderId="0" xfId="20" applyFont="1" applyFill="1" applyBorder="1" applyAlignment="1" applyProtection="1">
      <alignment horizontal="center"/>
    </xf>
    <xf numFmtId="169" fontId="83" fillId="0" borderId="0" xfId="0" applyFont="1" applyAlignment="1">
      <alignment horizontal="center"/>
    </xf>
    <xf numFmtId="43" fontId="21" fillId="0" borderId="0" xfId="0" applyNumberFormat="1" applyFont="1" applyAlignment="1">
      <alignment horizontal="right"/>
    </xf>
    <xf numFmtId="43" fontId="21" fillId="0" borderId="0" xfId="0" applyNumberFormat="1" applyFont="1" applyAlignment="1">
      <alignment horizontal="left"/>
    </xf>
    <xf numFmtId="15" fontId="21" fillId="0" borderId="0" xfId="0" applyNumberFormat="1" applyFont="1" applyAlignment="1">
      <alignment horizontal="right"/>
    </xf>
    <xf numFmtId="169" fontId="0" fillId="0" borderId="144" xfId="0" applyBorder="1" applyAlignment="1" applyProtection="1">
      <alignment horizontal="center"/>
    </xf>
    <xf numFmtId="169" fontId="0" fillId="0" borderId="44" xfId="0" applyBorder="1" applyAlignment="1" applyProtection="1">
      <alignment horizontal="center"/>
    </xf>
    <xf numFmtId="169" fontId="89" fillId="0" borderId="145" xfId="0" applyFont="1" applyFill="1" applyBorder="1" applyAlignment="1" applyProtection="1">
      <alignment horizontal="left" wrapText="1"/>
    </xf>
    <xf numFmtId="169" fontId="89" fillId="0" borderId="146" xfId="0" applyFont="1" applyFill="1" applyBorder="1" applyAlignment="1" applyProtection="1">
      <alignment horizontal="left" wrapText="1"/>
    </xf>
    <xf numFmtId="43" fontId="30" fillId="0" borderId="0" xfId="0" applyNumberFormat="1" applyFont="1" applyAlignment="1" applyProtection="1">
      <alignment wrapText="1"/>
    </xf>
    <xf numFmtId="169" fontId="83" fillId="0" borderId="0" xfId="0" applyFont="1" applyAlignment="1" applyProtection="1">
      <alignment horizontal="center"/>
    </xf>
    <xf numFmtId="169" fontId="89" fillId="0" borderId="147" xfId="0" applyFont="1" applyFill="1" applyBorder="1" applyAlignment="1" applyProtection="1">
      <alignment horizontal="left" wrapText="1"/>
    </xf>
    <xf numFmtId="169" fontId="89" fillId="0" borderId="70" xfId="0" applyFont="1" applyFill="1" applyBorder="1" applyAlignment="1" applyProtection="1">
      <alignment horizontal="left" wrapText="1"/>
    </xf>
    <xf numFmtId="43" fontId="30" fillId="0" borderId="0" xfId="0" applyNumberFormat="1" applyFont="1" applyBorder="1" applyAlignment="1" applyProtection="1">
      <alignment wrapText="1"/>
    </xf>
    <xf numFmtId="43" fontId="82" fillId="0" borderId="120" xfId="0" applyNumberFormat="1" applyFont="1" applyBorder="1" applyAlignment="1" applyProtection="1">
      <alignment horizontal="center" vertical="center" wrapText="1"/>
    </xf>
    <xf numFmtId="43" fontId="82" fillId="0" borderId="121" xfId="0" applyNumberFormat="1" applyFont="1" applyBorder="1" applyAlignment="1" applyProtection="1">
      <alignment horizontal="center" vertical="center" wrapText="1"/>
    </xf>
    <xf numFmtId="43" fontId="82" fillId="0" borderId="122" xfId="0" applyNumberFormat="1" applyFont="1" applyBorder="1" applyAlignment="1" applyProtection="1">
      <alignment horizontal="center" vertical="center" wrapText="1"/>
    </xf>
    <xf numFmtId="169" fontId="108" fillId="0" borderId="30" xfId="0" applyFont="1" applyBorder="1" applyAlignment="1" applyProtection="1">
      <alignment horizontal="justify" vertical="center" wrapText="1"/>
      <protection locked="0"/>
    </xf>
    <xf numFmtId="169" fontId="108" fillId="0" borderId="31" xfId="0" applyFont="1" applyBorder="1" applyAlignment="1" applyProtection="1">
      <alignment horizontal="justify" vertical="center" wrapText="1"/>
      <protection locked="0"/>
    </xf>
    <xf numFmtId="169" fontId="135" fillId="5" borderId="29" xfId="0" applyFont="1" applyFill="1" applyBorder="1" applyAlignment="1" applyProtection="1">
      <alignment horizontal="justify" vertical="center" wrapText="1"/>
      <protection locked="0"/>
    </xf>
    <xf numFmtId="169" fontId="131" fillId="0" borderId="30" xfId="0" applyFont="1" applyBorder="1" applyAlignment="1" applyProtection="1">
      <alignment horizontal="justify" vertical="center" wrapText="1"/>
      <protection locked="0"/>
    </xf>
    <xf numFmtId="169" fontId="131" fillId="0" borderId="31" xfId="0" applyFont="1" applyBorder="1" applyAlignment="1" applyProtection="1">
      <alignment horizontal="justify" vertical="center" wrapText="1"/>
      <protection locked="0"/>
    </xf>
    <xf numFmtId="169" fontId="133" fillId="5" borderId="29" xfId="0" applyFont="1" applyFill="1" applyBorder="1" applyAlignment="1" applyProtection="1">
      <alignment horizontal="justify" vertical="center" wrapText="1"/>
      <protection locked="0"/>
    </xf>
    <xf numFmtId="169" fontId="134" fillId="0" borderId="30" xfId="0" applyFont="1" applyBorder="1" applyAlignment="1" applyProtection="1">
      <alignment horizontal="justify" vertical="center" wrapText="1"/>
      <protection locked="0"/>
    </xf>
    <xf numFmtId="169" fontId="134" fillId="0" borderId="31" xfId="0" applyFont="1" applyBorder="1" applyAlignment="1" applyProtection="1">
      <alignment horizontal="justify" vertical="center" wrapText="1"/>
      <protection locked="0"/>
    </xf>
    <xf numFmtId="43" fontId="114" fillId="17" borderId="0" xfId="4" applyFont="1" applyFill="1" applyAlignment="1" applyProtection="1">
      <alignment horizontal="center" vertical="center"/>
    </xf>
    <xf numFmtId="43" fontId="7" fillId="0" borderId="0" xfId="0" applyNumberFormat="1" applyFont="1" applyAlignment="1" applyProtection="1">
      <alignment horizontal="center" wrapText="1"/>
    </xf>
    <xf numFmtId="43" fontId="21" fillId="0" borderId="0" xfId="0" applyNumberFormat="1" applyFont="1" applyAlignment="1" applyProtection="1">
      <alignment horizontal="right"/>
    </xf>
    <xf numFmtId="15" fontId="21" fillId="0" borderId="0" xfId="0" applyNumberFormat="1" applyFont="1" applyAlignment="1" applyProtection="1">
      <alignment horizontal="right"/>
    </xf>
    <xf numFmtId="43" fontId="7" fillId="0" borderId="0" xfId="0" applyNumberFormat="1" applyFont="1" applyAlignment="1" applyProtection="1">
      <alignment horizontal="center"/>
    </xf>
    <xf numFmtId="43" fontId="21" fillId="0" borderId="0" xfId="0" applyNumberFormat="1" applyFont="1" applyAlignment="1" applyProtection="1">
      <alignment horizontal="left"/>
    </xf>
    <xf numFmtId="169" fontId="23" fillId="5" borderId="29" xfId="0" applyFont="1" applyFill="1" applyBorder="1" applyAlignment="1" applyProtection="1">
      <alignment horizontal="justify" vertical="top" wrapText="1"/>
      <protection locked="0"/>
    </xf>
    <xf numFmtId="169" fontId="108" fillId="0" borderId="30" xfId="0" applyFont="1" applyBorder="1" applyAlignment="1">
      <alignment horizontal="justify" vertical="top" wrapText="1"/>
    </xf>
    <xf numFmtId="169" fontId="108" fillId="0" borderId="31" xfId="0" applyFont="1" applyBorder="1" applyAlignment="1">
      <alignment horizontal="justify" vertical="top" wrapText="1"/>
    </xf>
    <xf numFmtId="169" fontId="23" fillId="5" borderId="30" xfId="0" applyFont="1" applyFill="1" applyBorder="1" applyAlignment="1" applyProtection="1">
      <alignment horizontal="justify" vertical="top" wrapText="1"/>
      <protection locked="0"/>
    </xf>
    <xf numFmtId="169" fontId="23" fillId="5" borderId="31" xfId="0" applyFont="1" applyFill="1" applyBorder="1" applyAlignment="1" applyProtection="1">
      <alignment horizontal="justify" vertical="top" wrapText="1"/>
      <protection locked="0"/>
    </xf>
    <xf numFmtId="43" fontId="21" fillId="0" borderId="0" xfId="0" applyNumberFormat="1" applyFont="1" applyAlignment="1" applyProtection="1">
      <alignment horizontal="right" wrapText="1"/>
    </xf>
    <xf numFmtId="173" fontId="23" fillId="0" borderId="30" xfId="0" applyNumberFormat="1" applyFont="1" applyBorder="1" applyAlignment="1" applyProtection="1">
      <alignment horizontal="justify" vertical="center" wrapText="1"/>
    </xf>
    <xf numFmtId="169" fontId="23" fillId="0" borderId="30" xfId="0" applyFont="1" applyBorder="1" applyAlignment="1" applyProtection="1">
      <alignment horizontal="justify" vertical="center" wrapText="1"/>
    </xf>
    <xf numFmtId="169" fontId="27" fillId="3" borderId="0" xfId="0" applyFont="1" applyFill="1" applyBorder="1" applyAlignment="1" applyProtection="1">
      <alignment horizontal="left"/>
    </xf>
    <xf numFmtId="169" fontId="27" fillId="3" borderId="0" xfId="0" applyFont="1" applyFill="1" applyBorder="1" applyAlignment="1" applyProtection="1">
      <alignment horizontal="left" vertical="center" wrapText="1"/>
    </xf>
    <xf numFmtId="169" fontId="81" fillId="0" borderId="29" xfId="0" applyFont="1" applyBorder="1" applyAlignment="1" applyProtection="1">
      <alignment horizontal="justify" vertical="center" wrapText="1"/>
    </xf>
    <xf numFmtId="169" fontId="81" fillId="0" borderId="30" xfId="0" applyFont="1" applyBorder="1" applyAlignment="1" applyProtection="1">
      <alignment horizontal="justify" vertical="center" wrapText="1"/>
    </xf>
    <xf numFmtId="169" fontId="81" fillId="0" borderId="31" xfId="0" applyFont="1" applyBorder="1" applyAlignment="1" applyProtection="1">
      <alignment horizontal="justify" vertical="center" wrapText="1"/>
    </xf>
    <xf numFmtId="175" fontId="21" fillId="0" borderId="29" xfId="19" applyNumberFormat="1" applyFont="1" applyBorder="1" applyAlignment="1" applyProtection="1">
      <alignment horizontal="center" vertical="center" wrapText="1"/>
    </xf>
    <xf numFmtId="175" fontId="21" fillId="0" borderId="30" xfId="19" applyNumberFormat="1" applyFont="1" applyBorder="1" applyAlignment="1" applyProtection="1">
      <alignment horizontal="center" vertical="center" wrapText="1"/>
    </xf>
    <xf numFmtId="175" fontId="21" fillId="0" borderId="31" xfId="19" applyNumberFormat="1" applyFont="1" applyBorder="1" applyAlignment="1" applyProtection="1">
      <alignment horizontal="center" vertical="center" wrapText="1"/>
    </xf>
    <xf numFmtId="169" fontId="81" fillId="0" borderId="2" xfId="0" applyFont="1" applyBorder="1" applyAlignment="1" applyProtection="1">
      <alignment horizontal="justify" vertical="center" wrapText="1"/>
    </xf>
    <xf numFmtId="9" fontId="21" fillId="0" borderId="29" xfId="19" applyFont="1" applyBorder="1" applyAlignment="1" applyProtection="1">
      <alignment horizontal="center" vertical="center" wrapText="1"/>
    </xf>
    <xf numFmtId="9" fontId="21" fillId="0" borderId="30" xfId="19" applyFont="1" applyBorder="1" applyAlignment="1" applyProtection="1">
      <alignment horizontal="center" vertical="center" wrapText="1"/>
    </xf>
    <xf numFmtId="9" fontId="21" fillId="0" borderId="31" xfId="19" applyFont="1" applyBorder="1" applyAlignment="1" applyProtection="1">
      <alignment horizontal="center" vertical="center" wrapText="1"/>
    </xf>
    <xf numFmtId="169" fontId="27" fillId="3" borderId="148" xfId="0" applyFont="1" applyFill="1" applyBorder="1" applyAlignment="1" applyProtection="1">
      <alignment horizontal="left"/>
      <protection locked="0"/>
    </xf>
    <xf numFmtId="169" fontId="27" fillId="3" borderId="0" xfId="0" applyFont="1" applyFill="1" applyBorder="1" applyAlignment="1" applyProtection="1">
      <alignment horizontal="left"/>
      <protection locked="0"/>
    </xf>
    <xf numFmtId="169" fontId="81" fillId="5" borderId="29" xfId="19" applyNumberFormat="1" applyFont="1" applyFill="1" applyBorder="1" applyAlignment="1" applyProtection="1">
      <alignment horizontal="justify" vertical="center" wrapText="1"/>
      <protection locked="0"/>
    </xf>
    <xf numFmtId="9" fontId="81" fillId="5" borderId="30" xfId="19" applyFont="1" applyFill="1" applyBorder="1" applyAlignment="1" applyProtection="1">
      <alignment horizontal="justify" vertical="center" wrapText="1"/>
      <protection locked="0"/>
    </xf>
    <xf numFmtId="9" fontId="81" fillId="5" borderId="31" xfId="19" applyFont="1" applyFill="1" applyBorder="1" applyAlignment="1" applyProtection="1">
      <alignment horizontal="justify" vertical="center" wrapText="1"/>
      <protection locked="0"/>
    </xf>
    <xf numFmtId="9" fontId="81" fillId="5" borderId="2" xfId="19" applyFont="1" applyFill="1" applyBorder="1" applyAlignment="1" applyProtection="1">
      <alignment horizontal="justify" vertical="center" wrapText="1"/>
      <protection locked="0"/>
    </xf>
    <xf numFmtId="169" fontId="23" fillId="3" borderId="0" xfId="0" applyFont="1" applyFill="1" applyBorder="1" applyAlignment="1" applyProtection="1">
      <alignment horizontal="left"/>
    </xf>
    <xf numFmtId="9" fontId="81" fillId="5" borderId="29" xfId="19" applyFont="1" applyFill="1" applyBorder="1" applyAlignment="1" applyProtection="1">
      <alignment horizontal="justify" vertical="center" wrapText="1"/>
      <protection locked="0"/>
    </xf>
    <xf numFmtId="169" fontId="26" fillId="0" borderId="75" xfId="0" applyFont="1" applyBorder="1" applyAlignment="1" applyProtection="1">
      <alignment horizontal="center"/>
    </xf>
    <xf numFmtId="169" fontId="27" fillId="0" borderId="2" xfId="0" applyFont="1" applyBorder="1" applyAlignment="1" applyProtection="1">
      <alignment horizontal="center" vertical="center" wrapText="1"/>
    </xf>
    <xf numFmtId="169" fontId="27" fillId="3" borderId="0" xfId="0" applyFont="1" applyFill="1" applyAlignment="1" applyProtection="1">
      <alignment horizontal="center" vertical="center" wrapText="1"/>
    </xf>
    <xf numFmtId="169" fontId="27" fillId="3" borderId="0" xfId="0" applyFont="1" applyFill="1" applyAlignment="1" applyProtection="1">
      <alignment horizontal="left"/>
      <protection locked="0"/>
    </xf>
    <xf numFmtId="169" fontId="27" fillId="3" borderId="27" xfId="0" applyFont="1" applyFill="1" applyBorder="1" applyAlignment="1" applyProtection="1">
      <alignment horizontal="left"/>
      <protection locked="0"/>
    </xf>
    <xf numFmtId="169" fontId="27" fillId="0" borderId="29" xfId="0" applyFont="1" applyBorder="1" applyAlignment="1" applyProtection="1">
      <alignment horizontal="center" vertical="center"/>
    </xf>
    <xf numFmtId="169" fontId="27" fillId="0" borderId="30" xfId="0" applyFont="1" applyBorder="1" applyAlignment="1" applyProtection="1">
      <alignment horizontal="center" vertical="center"/>
    </xf>
    <xf numFmtId="169" fontId="27" fillId="0" borderId="31" xfId="0" applyFont="1" applyBorder="1" applyAlignment="1" applyProtection="1">
      <alignment horizontal="center" vertical="center"/>
    </xf>
    <xf numFmtId="9" fontId="30" fillId="18" borderId="29" xfId="19" applyFont="1" applyFill="1" applyBorder="1" applyAlignment="1" applyProtection="1">
      <alignment horizontal="center" vertical="center" wrapText="1"/>
    </xf>
    <xf numFmtId="9" fontId="30" fillId="18" borderId="31" xfId="19" applyFont="1" applyFill="1" applyBorder="1" applyAlignment="1" applyProtection="1">
      <alignment horizontal="center" vertical="center" wrapText="1"/>
    </xf>
    <xf numFmtId="9" fontId="30" fillId="20" borderId="29" xfId="19" applyFont="1" applyFill="1" applyBorder="1" applyAlignment="1" applyProtection="1">
      <alignment horizontal="center" vertical="center" wrapText="1"/>
    </xf>
    <xf numFmtId="9" fontId="30" fillId="20" borderId="31" xfId="19" applyFont="1" applyFill="1" applyBorder="1" applyAlignment="1" applyProtection="1">
      <alignment horizontal="center" vertical="center" wrapText="1"/>
    </xf>
    <xf numFmtId="43" fontId="43" fillId="17" borderId="0" xfId="13" applyFont="1" applyFill="1" applyAlignment="1" applyProtection="1">
      <alignment horizontal="center" vertical="center"/>
    </xf>
    <xf numFmtId="43" fontId="83" fillId="0" borderId="0" xfId="0" applyNumberFormat="1" applyFont="1" applyAlignment="1" applyProtection="1">
      <alignment horizontal="center"/>
    </xf>
    <xf numFmtId="43" fontId="26" fillId="0" borderId="0" xfId="0" applyNumberFormat="1" applyFont="1" applyAlignment="1" applyProtection="1">
      <alignment horizontal="center"/>
    </xf>
    <xf numFmtId="43" fontId="8" fillId="16" borderId="0" xfId="21" applyFont="1" applyFill="1" applyBorder="1" applyAlignment="1" applyProtection="1">
      <alignment horizontal="center"/>
    </xf>
    <xf numFmtId="9" fontId="2" fillId="0" borderId="184" xfId="19" applyNumberFormat="1" applyFont="1" applyFill="1" applyBorder="1" applyAlignment="1" applyProtection="1">
      <alignment horizontal="justify" vertical="center" wrapText="1"/>
    </xf>
    <xf numFmtId="169" fontId="2" fillId="0" borderId="169" xfId="19" applyNumberFormat="1" applyFont="1" applyFill="1" applyBorder="1" applyAlignment="1" applyProtection="1">
      <alignment horizontal="justify" vertical="center" wrapText="1"/>
    </xf>
    <xf numFmtId="169" fontId="2" fillId="0" borderId="185" xfId="19" applyNumberFormat="1" applyFont="1" applyFill="1" applyBorder="1" applyAlignment="1" applyProtection="1">
      <alignment horizontal="justify" vertical="center" wrapText="1"/>
    </xf>
    <xf numFmtId="169" fontId="2" fillId="5" borderId="224" xfId="0" applyFont="1" applyFill="1" applyBorder="1" applyAlignment="1" applyProtection="1">
      <alignment horizontal="justify" vertical="top" wrapText="1"/>
      <protection locked="0"/>
    </xf>
    <xf numFmtId="169" fontId="108" fillId="0" borderId="225" xfId="0" applyFont="1" applyBorder="1" applyAlignment="1">
      <alignment horizontal="justify" vertical="top" wrapText="1"/>
    </xf>
    <xf numFmtId="169" fontId="108" fillId="0" borderId="226" xfId="0" applyFont="1" applyBorder="1" applyAlignment="1">
      <alignment horizontal="justify" vertical="top" wrapText="1"/>
    </xf>
    <xf numFmtId="169" fontId="42" fillId="5" borderId="186" xfId="0" applyFont="1" applyFill="1" applyBorder="1" applyAlignment="1" applyProtection="1">
      <alignment horizontal="center" vertical="center"/>
    </xf>
    <xf numFmtId="169" fontId="42" fillId="5" borderId="187" xfId="0" applyFont="1" applyFill="1" applyBorder="1" applyAlignment="1" applyProtection="1">
      <alignment horizontal="center" vertical="center"/>
    </xf>
    <xf numFmtId="169" fontId="42" fillId="5" borderId="188" xfId="0" applyFont="1" applyFill="1" applyBorder="1" applyAlignment="1" applyProtection="1">
      <alignment horizontal="center" vertical="center"/>
    </xf>
    <xf numFmtId="169" fontId="2" fillId="0" borderId="189" xfId="0" applyNumberFormat="1" applyFont="1" applyFill="1" applyBorder="1" applyAlignment="1" applyProtection="1">
      <alignment horizontal="justify" vertical="center" wrapText="1"/>
    </xf>
    <xf numFmtId="169" fontId="2" fillId="0" borderId="190" xfId="0" applyNumberFormat="1" applyFont="1" applyFill="1" applyBorder="1" applyAlignment="1" applyProtection="1">
      <alignment horizontal="justify" vertical="center" wrapText="1"/>
    </xf>
    <xf numFmtId="169" fontId="2" fillId="0" borderId="191" xfId="0" applyNumberFormat="1" applyFont="1" applyFill="1" applyBorder="1" applyAlignment="1" applyProtection="1">
      <alignment horizontal="justify" vertical="center" wrapText="1"/>
    </xf>
    <xf numFmtId="169" fontId="2" fillId="5" borderId="151" xfId="0" applyFont="1" applyFill="1" applyBorder="1" applyAlignment="1" applyProtection="1">
      <alignment horizontal="justify" vertical="top" wrapText="1"/>
      <protection locked="0"/>
    </xf>
    <xf numFmtId="169" fontId="108" fillId="0" borderId="82" xfId="0" applyFont="1" applyBorder="1" applyAlignment="1">
      <alignment horizontal="justify" vertical="top" wrapText="1"/>
    </xf>
    <xf numFmtId="169" fontId="108" fillId="0" borderId="152" xfId="0" applyFont="1" applyBorder="1" applyAlignment="1">
      <alignment horizontal="justify" vertical="top" wrapText="1"/>
    </xf>
    <xf numFmtId="169" fontId="2" fillId="0" borderId="184" xfId="19" applyNumberFormat="1" applyFont="1" applyFill="1" applyBorder="1" applyAlignment="1" applyProtection="1">
      <alignment horizontal="justify" vertical="center" wrapText="1"/>
    </xf>
    <xf numFmtId="169" fontId="96" fillId="6" borderId="177" xfId="0" applyFont="1" applyFill="1" applyBorder="1" applyAlignment="1" applyProtection="1">
      <alignment horizontal="center" vertical="center"/>
    </xf>
    <xf numFmtId="169" fontId="96" fillId="6" borderId="178" xfId="0" applyFont="1" applyFill="1" applyBorder="1" applyAlignment="1" applyProtection="1">
      <alignment horizontal="center" vertical="center"/>
    </xf>
    <xf numFmtId="169" fontId="96" fillId="6" borderId="179" xfId="0" applyFont="1" applyFill="1" applyBorder="1" applyAlignment="1" applyProtection="1">
      <alignment horizontal="center" vertical="center"/>
    </xf>
    <xf numFmtId="169" fontId="2" fillId="0" borderId="30" xfId="0" applyNumberFormat="1" applyFont="1" applyFill="1" applyBorder="1" applyAlignment="1" applyProtection="1">
      <alignment horizontal="justify" vertical="center" wrapText="1"/>
    </xf>
    <xf numFmtId="169" fontId="2" fillId="0" borderId="174" xfId="0" applyNumberFormat="1" applyFont="1" applyFill="1" applyBorder="1" applyAlignment="1" applyProtection="1">
      <alignment horizontal="justify" vertical="center" wrapText="1"/>
    </xf>
    <xf numFmtId="169" fontId="2" fillId="0" borderId="182" xfId="0" applyNumberFormat="1" applyFont="1" applyFill="1" applyBorder="1" applyAlignment="1" applyProtection="1">
      <alignment horizontal="justify" vertical="center" wrapText="1"/>
    </xf>
    <xf numFmtId="169" fontId="2" fillId="0" borderId="183" xfId="0" applyNumberFormat="1" applyFont="1" applyFill="1" applyBorder="1" applyAlignment="1" applyProtection="1">
      <alignment horizontal="justify" vertical="center" wrapText="1"/>
    </xf>
    <xf numFmtId="169" fontId="120" fillId="0" borderId="0" xfId="0" applyFont="1" applyFill="1" applyBorder="1" applyAlignment="1" applyProtection="1">
      <alignment horizontal="center"/>
    </xf>
    <xf numFmtId="169" fontId="120" fillId="0" borderId="168" xfId="0" applyFont="1" applyFill="1" applyBorder="1" applyAlignment="1" applyProtection="1">
      <alignment horizontal="center"/>
    </xf>
    <xf numFmtId="169" fontId="2" fillId="0" borderId="153" xfId="0" applyNumberFormat="1" applyFont="1" applyFill="1" applyBorder="1" applyAlignment="1" applyProtection="1">
      <alignment horizontal="justify" vertical="center" wrapText="1"/>
    </xf>
    <xf numFmtId="169" fontId="2" fillId="0" borderId="154" xfId="0" applyNumberFormat="1" applyFont="1" applyFill="1" applyBorder="1" applyAlignment="1" applyProtection="1">
      <alignment horizontal="justify" vertical="center" wrapText="1"/>
    </xf>
    <xf numFmtId="169" fontId="54" fillId="2" borderId="4" xfId="0" applyFont="1" applyFill="1" applyBorder="1" applyAlignment="1" applyProtection="1">
      <alignment horizontal="center" vertical="center"/>
    </xf>
    <xf numFmtId="169" fontId="83" fillId="0" borderId="0" xfId="0" applyFont="1" applyBorder="1" applyAlignment="1" applyProtection="1">
      <alignment horizontal="center"/>
    </xf>
    <xf numFmtId="49" fontId="2" fillId="9" borderId="180"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81" xfId="0" applyNumberFormat="1" applyFont="1" applyFill="1" applyBorder="1" applyAlignment="1" applyProtection="1">
      <alignment horizontal="center" vertical="center"/>
      <protection locked="0"/>
    </xf>
    <xf numFmtId="169" fontId="2" fillId="6" borderId="164" xfId="0" applyFont="1" applyFill="1" applyBorder="1" applyAlignment="1" applyProtection="1">
      <alignment horizontal="center" vertical="center" wrapText="1"/>
      <protection locked="0"/>
    </xf>
    <xf numFmtId="169" fontId="2" fillId="6" borderId="165" xfId="0" applyFont="1" applyFill="1" applyBorder="1" applyAlignment="1" applyProtection="1">
      <alignment horizontal="center" vertical="center" wrapText="1"/>
      <protection locked="0"/>
    </xf>
    <xf numFmtId="169" fontId="2" fillId="6" borderId="166" xfId="0" applyFont="1" applyFill="1" applyBorder="1" applyAlignment="1" applyProtection="1">
      <alignment horizontal="center" vertical="center" wrapText="1"/>
      <protection locked="0"/>
    </xf>
    <xf numFmtId="169" fontId="42" fillId="9" borderId="155" xfId="0" applyFont="1" applyFill="1" applyBorder="1" applyAlignment="1" applyProtection="1">
      <alignment horizontal="center" vertical="center"/>
    </xf>
    <xf numFmtId="169" fontId="42" fillId="9" borderId="156" xfId="0" applyFont="1" applyFill="1" applyBorder="1" applyAlignment="1" applyProtection="1">
      <alignment horizontal="center" vertical="center"/>
    </xf>
    <xf numFmtId="169" fontId="42" fillId="9" borderId="157" xfId="0" applyFont="1" applyFill="1" applyBorder="1" applyAlignment="1" applyProtection="1">
      <alignment horizontal="center" vertical="center"/>
    </xf>
    <xf numFmtId="169" fontId="2" fillId="6" borderId="158" xfId="0" applyFont="1" applyFill="1" applyBorder="1" applyAlignment="1" applyProtection="1">
      <alignment horizontal="center" vertical="center" wrapText="1"/>
      <protection locked="0"/>
    </xf>
    <xf numFmtId="169" fontId="2" fillId="6" borderId="159" xfId="0" applyFont="1" applyFill="1" applyBorder="1" applyAlignment="1" applyProtection="1">
      <alignment horizontal="center" vertical="center" wrapText="1"/>
      <protection locked="0"/>
    </xf>
    <xf numFmtId="169" fontId="2" fillId="6" borderId="160" xfId="0" applyFont="1" applyFill="1" applyBorder="1" applyAlignment="1" applyProtection="1">
      <alignment horizontal="center" vertical="center" wrapText="1"/>
      <protection locked="0"/>
    </xf>
    <xf numFmtId="169" fontId="2" fillId="6" borderId="161" xfId="0" applyFont="1" applyFill="1" applyBorder="1" applyAlignment="1" applyProtection="1">
      <alignment horizontal="center" vertical="center" wrapText="1"/>
      <protection locked="0"/>
    </xf>
    <xf numFmtId="169" fontId="2" fillId="6" borderId="162" xfId="0" applyFont="1" applyFill="1" applyBorder="1" applyAlignment="1" applyProtection="1">
      <alignment horizontal="center" vertical="center" wrapText="1"/>
      <protection locked="0"/>
    </xf>
    <xf numFmtId="169" fontId="2" fillId="6" borderId="163" xfId="0" applyFont="1" applyFill="1" applyBorder="1" applyAlignment="1" applyProtection="1">
      <alignment horizontal="center" vertical="center" wrapText="1"/>
      <protection locked="0"/>
    </xf>
    <xf numFmtId="169" fontId="120" fillId="0" borderId="167" xfId="0" applyFont="1" applyFill="1" applyBorder="1" applyAlignment="1" applyProtection="1">
      <alignment horizontal="center"/>
    </xf>
    <xf numFmtId="169" fontId="53" fillId="0" borderId="0" xfId="0" applyFont="1" applyFill="1" applyBorder="1" applyAlignment="1" applyProtection="1">
      <alignment horizontal="center"/>
    </xf>
    <xf numFmtId="169" fontId="53" fillId="0" borderId="167" xfId="0" applyFont="1" applyFill="1" applyBorder="1" applyAlignment="1" applyProtection="1">
      <alignment horizontal="center"/>
    </xf>
    <xf numFmtId="49" fontId="2" fillId="9" borderId="171" xfId="0" applyNumberFormat="1" applyFont="1" applyFill="1" applyBorder="1" applyAlignment="1" applyProtection="1">
      <alignment horizontal="center" vertical="center"/>
      <protection locked="0"/>
    </xf>
    <xf numFmtId="49" fontId="2" fillId="9" borderId="172" xfId="0" applyNumberFormat="1" applyFont="1" applyFill="1" applyBorder="1" applyAlignment="1" applyProtection="1">
      <alignment horizontal="center" vertical="center"/>
      <protection locked="0"/>
    </xf>
    <xf numFmtId="49" fontId="2" fillId="9" borderId="173" xfId="0" applyNumberFormat="1" applyFont="1" applyFill="1" applyBorder="1" applyAlignment="1" applyProtection="1">
      <alignment horizontal="center" vertical="center"/>
      <protection locked="0"/>
    </xf>
    <xf numFmtId="169" fontId="2" fillId="0" borderId="170" xfId="0" applyNumberFormat="1" applyFont="1" applyFill="1" applyBorder="1" applyAlignment="1" applyProtection="1">
      <alignment horizontal="justify" vertical="center" wrapText="1"/>
    </xf>
    <xf numFmtId="169" fontId="96" fillId="6" borderId="175" xfId="0" applyFont="1" applyFill="1" applyBorder="1" applyAlignment="1" applyProtection="1">
      <alignment horizontal="center" vertical="center"/>
    </xf>
    <xf numFmtId="169" fontId="96" fillId="6" borderId="176" xfId="0" applyFont="1" applyFill="1" applyBorder="1" applyAlignment="1" applyProtection="1">
      <alignment horizontal="center" vertical="center"/>
    </xf>
    <xf numFmtId="169" fontId="108" fillId="0" borderId="176" xfId="0" applyFont="1" applyBorder="1" applyAlignment="1">
      <alignment horizontal="center" vertical="center"/>
    </xf>
    <xf numFmtId="169" fontId="2" fillId="0" borderId="149" xfId="0" applyNumberFormat="1" applyFont="1" applyFill="1" applyBorder="1" applyAlignment="1" applyProtection="1">
      <alignment horizontal="justify" vertical="center" wrapText="1"/>
    </xf>
    <xf numFmtId="169" fontId="2" fillId="0" borderId="150" xfId="0" applyNumberFormat="1" applyFont="1" applyFill="1" applyBorder="1" applyAlignment="1" applyProtection="1">
      <alignment horizontal="justify" vertical="center" wrapText="1"/>
    </xf>
    <xf numFmtId="169" fontId="2" fillId="0" borderId="6" xfId="0" applyNumberFormat="1" applyFont="1" applyFill="1" applyBorder="1" applyAlignment="1" applyProtection="1">
      <alignment horizontal="justify" vertical="center" wrapText="1"/>
    </xf>
    <xf numFmtId="169" fontId="2" fillId="0" borderId="181" xfId="0" applyNumberFormat="1" applyFont="1" applyFill="1" applyBorder="1" applyAlignment="1" applyProtection="1">
      <alignment horizontal="justify" vertical="center" wrapText="1"/>
    </xf>
    <xf numFmtId="169" fontId="108" fillId="5" borderId="112" xfId="0" applyFont="1" applyFill="1" applyBorder="1" applyAlignment="1" applyProtection="1">
      <alignment horizontal="justify" vertical="top" wrapText="1"/>
      <protection locked="0"/>
    </xf>
    <xf numFmtId="169" fontId="108" fillId="5" borderId="111" xfId="0" applyFont="1" applyFill="1" applyBorder="1" applyAlignment="1" applyProtection="1">
      <alignment horizontal="justify" vertical="top" wrapText="1"/>
      <protection locked="0"/>
    </xf>
    <xf numFmtId="169" fontId="108" fillId="5" borderId="113" xfId="0" applyFont="1" applyFill="1" applyBorder="1" applyAlignment="1" applyProtection="1">
      <alignment horizontal="justify" vertical="top" wrapText="1"/>
      <protection locked="0"/>
    </xf>
    <xf numFmtId="169" fontId="108" fillId="5" borderId="114" xfId="0" applyFont="1" applyFill="1" applyBorder="1" applyAlignment="1" applyProtection="1">
      <alignment horizontal="justify" vertical="top" wrapText="1"/>
      <protection locked="0"/>
    </xf>
    <xf numFmtId="169" fontId="108" fillId="5" borderId="75" xfId="0" applyFont="1" applyFill="1" applyBorder="1" applyAlignment="1" applyProtection="1">
      <alignment horizontal="justify" vertical="top" wrapText="1"/>
      <protection locked="0"/>
    </xf>
    <xf numFmtId="169" fontId="108" fillId="5" borderId="77" xfId="0" applyFont="1" applyFill="1" applyBorder="1" applyAlignment="1" applyProtection="1">
      <alignment horizontal="justify" vertical="top" wrapText="1"/>
      <protection locked="0"/>
    </xf>
    <xf numFmtId="169" fontId="52" fillId="4" borderId="5" xfId="18" applyNumberFormat="1" applyFont="1" applyFill="1" applyBorder="1" applyAlignment="1">
      <alignment horizontal="center" vertical="center" wrapText="1"/>
    </xf>
    <xf numFmtId="169" fontId="52" fillId="4" borderId="221" xfId="18" applyNumberFormat="1" applyFont="1" applyFill="1" applyBorder="1" applyAlignment="1">
      <alignment horizontal="center" vertical="center" wrapText="1"/>
    </xf>
    <xf numFmtId="169" fontId="52" fillId="4" borderId="211" xfId="18" applyNumberFormat="1" applyFont="1" applyFill="1" applyBorder="1" applyAlignment="1">
      <alignment horizontal="center" vertical="center" wrapText="1"/>
    </xf>
    <xf numFmtId="169" fontId="14" fillId="0" borderId="198" xfId="0" applyFont="1" applyFill="1" applyBorder="1" applyAlignment="1" applyProtection="1">
      <alignment horizontal="left"/>
      <protection locked="0"/>
    </xf>
    <xf numFmtId="169" fontId="14" fillId="0" borderId="192" xfId="0" applyFont="1" applyFill="1" applyBorder="1" applyAlignment="1" applyProtection="1">
      <alignment horizontal="left"/>
      <protection locked="0"/>
    </xf>
    <xf numFmtId="169" fontId="14" fillId="0" borderId="199" xfId="0" applyFont="1" applyFill="1" applyBorder="1" applyAlignment="1" applyProtection="1">
      <alignment horizontal="left"/>
      <protection locked="0"/>
    </xf>
    <xf numFmtId="169" fontId="14" fillId="0" borderId="200" xfId="0" applyFont="1" applyFill="1" applyBorder="1" applyAlignment="1" applyProtection="1">
      <alignment horizontal="left"/>
      <protection locked="0"/>
    </xf>
    <xf numFmtId="169" fontId="26" fillId="0" borderId="0" xfId="0" applyFont="1" applyAlignment="1">
      <alignment horizontal="center"/>
    </xf>
    <xf numFmtId="169" fontId="52" fillId="4" borderId="195" xfId="18" applyNumberFormat="1" applyFont="1" applyFill="1" applyBorder="1" applyAlignment="1">
      <alignment horizontal="center" vertical="center" wrapText="1"/>
    </xf>
    <xf numFmtId="169" fontId="52" fillId="4" borderId="196" xfId="18" applyNumberFormat="1" applyFont="1" applyFill="1" applyBorder="1" applyAlignment="1">
      <alignment horizontal="center" vertical="center" wrapText="1"/>
    </xf>
    <xf numFmtId="169" fontId="52" fillId="4" borderId="197" xfId="18" applyNumberFormat="1" applyFont="1" applyFill="1" applyBorder="1" applyAlignment="1">
      <alignment horizontal="center" vertical="center" wrapText="1"/>
    </xf>
    <xf numFmtId="169" fontId="14" fillId="0" borderId="192" xfId="0" applyFont="1" applyBorder="1" applyAlignment="1" applyProtection="1">
      <alignment horizontal="left"/>
      <protection locked="0"/>
    </xf>
    <xf numFmtId="43" fontId="8" fillId="16" borderId="0" xfId="22" applyFont="1" applyFill="1" applyBorder="1" applyAlignment="1" applyProtection="1">
      <alignment horizontal="center"/>
      <protection locked="0"/>
    </xf>
    <xf numFmtId="169" fontId="14" fillId="0" borderId="22" xfId="0" applyFont="1" applyFill="1" applyBorder="1" applyAlignment="1" applyProtection="1">
      <alignment horizontal="left"/>
      <protection locked="0"/>
    </xf>
    <xf numFmtId="169" fontId="14" fillId="0" borderId="194" xfId="0" applyFont="1" applyFill="1" applyBorder="1" applyAlignment="1" applyProtection="1">
      <alignment horizontal="left"/>
      <protection locked="0"/>
    </xf>
    <xf numFmtId="169" fontId="14" fillId="0" borderId="193" xfId="0" applyFont="1" applyFill="1" applyBorder="1" applyAlignment="1" applyProtection="1">
      <alignment horizontal="left"/>
      <protection locked="0"/>
    </xf>
    <xf numFmtId="169" fontId="14" fillId="0" borderId="209" xfId="0" applyFont="1" applyBorder="1" applyAlignment="1" applyProtection="1">
      <alignment horizontal="left"/>
      <protection locked="0"/>
    </xf>
    <xf numFmtId="169" fontId="14" fillId="0" borderId="22" xfId="0" applyFont="1" applyBorder="1" applyAlignment="1" applyProtection="1">
      <alignment horizontal="left"/>
      <protection locked="0"/>
    </xf>
    <xf numFmtId="169" fontId="14" fillId="0" borderId="198" xfId="0" applyFont="1" applyBorder="1" applyAlignment="1" applyProtection="1">
      <alignment horizontal="left"/>
      <protection locked="0"/>
    </xf>
    <xf numFmtId="169" fontId="71" fillId="4" borderId="110" xfId="0" applyFont="1" applyFill="1" applyBorder="1" applyAlignment="1">
      <alignment horizontal="center" vertical="center" textRotation="90"/>
    </xf>
    <xf numFmtId="169" fontId="0" fillId="4" borderId="68" xfId="0" applyFill="1" applyBorder="1" applyAlignment="1">
      <alignment horizontal="center" vertical="center" textRotation="90"/>
    </xf>
    <xf numFmtId="169" fontId="0" fillId="4" borderId="78" xfId="0" applyFill="1" applyBorder="1" applyAlignment="1">
      <alignment horizontal="center" vertical="center" textRotation="90"/>
    </xf>
    <xf numFmtId="169" fontId="14" fillId="0" borderId="218" xfId="0" applyFont="1" applyFill="1" applyBorder="1" applyAlignment="1" applyProtection="1">
      <alignment horizontal="justify" vertical="center" wrapText="1"/>
      <protection locked="0"/>
    </xf>
    <xf numFmtId="169" fontId="14" fillId="0" borderId="215" xfId="0" applyFont="1" applyFill="1" applyBorder="1" applyAlignment="1" applyProtection="1">
      <alignment horizontal="justify" vertical="center" wrapText="1"/>
      <protection locked="0"/>
    </xf>
    <xf numFmtId="169" fontId="14" fillId="0" borderId="219" xfId="0" applyFont="1" applyFill="1" applyBorder="1" applyAlignment="1" applyProtection="1">
      <alignment horizontal="justify" vertical="center" wrapText="1"/>
      <protection locked="0"/>
    </xf>
    <xf numFmtId="169" fontId="14" fillId="0" borderId="220" xfId="0" applyFont="1" applyFill="1" applyBorder="1" applyAlignment="1" applyProtection="1">
      <alignment horizontal="justify" vertical="center" wrapText="1"/>
      <protection locked="0"/>
    </xf>
    <xf numFmtId="169" fontId="14" fillId="0" borderId="172" xfId="0" applyFont="1" applyFill="1" applyBorder="1" applyAlignment="1" applyProtection="1">
      <alignment horizontal="justify" vertical="center" wrapText="1"/>
      <protection locked="0"/>
    </xf>
    <xf numFmtId="169" fontId="14" fillId="0" borderId="208" xfId="0" applyFont="1" applyFill="1" applyBorder="1" applyAlignment="1" applyProtection="1">
      <alignment horizontal="justify" vertical="center" wrapText="1"/>
      <protection locked="0"/>
    </xf>
    <xf numFmtId="169" fontId="14" fillId="0" borderId="169" xfId="0" applyFont="1" applyFill="1" applyBorder="1" applyAlignment="1" applyProtection="1">
      <alignment horizontal="left" vertical="center" wrapText="1"/>
      <protection locked="0"/>
    </xf>
    <xf numFmtId="169" fontId="14" fillId="0" borderId="201" xfId="0" applyFont="1" applyFill="1" applyBorder="1" applyAlignment="1" applyProtection="1">
      <alignment horizontal="left" vertical="center" wrapText="1"/>
      <protection locked="0"/>
    </xf>
    <xf numFmtId="169" fontId="14" fillId="0" borderId="202" xfId="0" applyFont="1" applyFill="1" applyBorder="1" applyAlignment="1" applyProtection="1">
      <alignment horizontal="left" vertical="center" wrapText="1"/>
      <protection locked="0"/>
    </xf>
    <xf numFmtId="169" fontId="14" fillId="0" borderId="203" xfId="0" applyFont="1" applyFill="1" applyBorder="1" applyAlignment="1" applyProtection="1">
      <alignment horizontal="left" vertical="center" wrapText="1"/>
      <protection locked="0"/>
    </xf>
    <xf numFmtId="169" fontId="14" fillId="0" borderId="209" xfId="0" applyFont="1" applyFill="1" applyBorder="1" applyAlignment="1" applyProtection="1">
      <alignment horizontal="left"/>
      <protection locked="0"/>
    </xf>
    <xf numFmtId="169" fontId="14" fillId="0" borderId="222" xfId="0" applyFont="1" applyFill="1" applyBorder="1" applyAlignment="1" applyProtection="1">
      <alignment horizontal="justify" vertical="center" wrapText="1"/>
      <protection locked="0"/>
    </xf>
    <xf numFmtId="169" fontId="14" fillId="0" borderId="205" xfId="0" applyFont="1" applyFill="1" applyBorder="1" applyAlignment="1" applyProtection="1">
      <alignment horizontal="justify" vertical="center" wrapText="1"/>
      <protection locked="0"/>
    </xf>
    <xf numFmtId="169" fontId="14" fillId="0" borderId="206" xfId="0" applyFont="1" applyFill="1" applyBorder="1" applyAlignment="1" applyProtection="1">
      <alignment horizontal="justify" vertical="center" wrapText="1"/>
      <protection locked="0"/>
    </xf>
    <xf numFmtId="169" fontId="14" fillId="0" borderId="200" xfId="0" applyFont="1" applyBorder="1" applyAlignment="1" applyProtection="1">
      <alignment horizontal="left"/>
      <protection locked="0"/>
    </xf>
    <xf numFmtId="169" fontId="14" fillId="0" borderId="214" xfId="0" applyFont="1" applyFill="1" applyBorder="1" applyAlignment="1" applyProtection="1">
      <alignment horizontal="left" vertical="top" wrapText="1"/>
      <protection locked="0"/>
    </xf>
    <xf numFmtId="169" fontId="14" fillId="0" borderId="215" xfId="0" applyFont="1" applyFill="1" applyBorder="1" applyAlignment="1" applyProtection="1">
      <alignment horizontal="left" vertical="top" wrapText="1"/>
      <protection locked="0"/>
    </xf>
    <xf numFmtId="169" fontId="14" fillId="0" borderId="216" xfId="0" applyFont="1" applyFill="1" applyBorder="1" applyAlignment="1" applyProtection="1">
      <alignment horizontal="left" vertical="top" wrapText="1"/>
      <protection locked="0"/>
    </xf>
    <xf numFmtId="169" fontId="14" fillId="0" borderId="207" xfId="0" applyFont="1" applyFill="1" applyBorder="1" applyAlignment="1" applyProtection="1">
      <alignment horizontal="left" vertical="top" wrapText="1"/>
      <protection locked="0"/>
    </xf>
    <xf numFmtId="169" fontId="14" fillId="0" borderId="172" xfId="0" applyFont="1" applyFill="1" applyBorder="1" applyAlignment="1" applyProtection="1">
      <alignment horizontal="left" vertical="top" wrapText="1"/>
      <protection locked="0"/>
    </xf>
    <xf numFmtId="169" fontId="14" fillId="0" borderId="217" xfId="0" applyFont="1" applyFill="1" applyBorder="1" applyAlignment="1" applyProtection="1">
      <alignment horizontal="left" vertical="top" wrapText="1"/>
      <protection locked="0"/>
    </xf>
    <xf numFmtId="169" fontId="14" fillId="0" borderId="210" xfId="0" applyFont="1" applyFill="1" applyBorder="1" applyAlignment="1" applyProtection="1">
      <alignment horizontal="left"/>
      <protection locked="0"/>
    </xf>
    <xf numFmtId="169" fontId="14" fillId="0" borderId="193" xfId="0" applyFont="1" applyBorder="1" applyAlignment="1" applyProtection="1">
      <alignment horizontal="left"/>
      <protection locked="0"/>
    </xf>
    <xf numFmtId="169" fontId="14" fillId="0" borderId="210" xfId="0" applyFont="1" applyBorder="1" applyAlignment="1" applyProtection="1">
      <alignment horizontal="left"/>
      <protection locked="0"/>
    </xf>
    <xf numFmtId="169" fontId="14" fillId="0" borderId="194" xfId="0" applyFont="1" applyBorder="1" applyAlignment="1" applyProtection="1">
      <alignment horizontal="left"/>
      <protection locked="0"/>
    </xf>
    <xf numFmtId="169" fontId="14" fillId="0" borderId="212" xfId="0" applyFont="1" applyFill="1" applyBorder="1" applyAlignment="1" applyProtection="1">
      <alignment horizontal="left"/>
      <protection locked="0"/>
    </xf>
    <xf numFmtId="169" fontId="14" fillId="0" borderId="169" xfId="0" applyFont="1" applyFill="1" applyBorder="1" applyAlignment="1" applyProtection="1">
      <alignment horizontal="left"/>
      <protection locked="0"/>
    </xf>
    <xf numFmtId="169" fontId="14" fillId="0" borderId="201" xfId="0" applyFont="1" applyFill="1" applyBorder="1" applyAlignment="1" applyProtection="1">
      <alignment horizontal="left"/>
      <protection locked="0"/>
    </xf>
    <xf numFmtId="169" fontId="14" fillId="0" borderId="213" xfId="0" applyFont="1" applyFill="1" applyBorder="1" applyAlignment="1" applyProtection="1">
      <alignment horizontal="left"/>
      <protection locked="0"/>
    </xf>
    <xf numFmtId="169" fontId="14" fillId="0" borderId="202" xfId="0" applyFont="1" applyFill="1" applyBorder="1" applyAlignment="1" applyProtection="1">
      <alignment horizontal="left"/>
      <protection locked="0"/>
    </xf>
    <xf numFmtId="169" fontId="14" fillId="0" borderId="203" xfId="0" applyFont="1" applyFill="1" applyBorder="1" applyAlignment="1" applyProtection="1">
      <alignment horizontal="left"/>
      <protection locked="0"/>
    </xf>
    <xf numFmtId="169" fontId="14" fillId="0" borderId="199" xfId="0" applyFont="1" applyBorder="1" applyAlignment="1" applyProtection="1">
      <alignment horizontal="left"/>
      <protection locked="0"/>
    </xf>
    <xf numFmtId="169" fontId="14" fillId="0" borderId="204" xfId="0" applyFont="1" applyFill="1" applyBorder="1" applyAlignment="1" applyProtection="1">
      <alignment horizontal="left" vertical="top" wrapText="1"/>
      <protection locked="0"/>
    </xf>
    <xf numFmtId="169" fontId="14" fillId="0" borderId="205" xfId="0" applyFont="1" applyFill="1" applyBorder="1" applyAlignment="1" applyProtection="1">
      <alignment horizontal="left" vertical="top" wrapText="1"/>
      <protection locked="0"/>
    </xf>
    <xf numFmtId="169" fontId="14" fillId="0" borderId="206" xfId="0" applyFont="1" applyFill="1" applyBorder="1" applyAlignment="1" applyProtection="1">
      <alignment horizontal="left" vertical="top" wrapText="1"/>
      <protection locked="0"/>
    </xf>
    <xf numFmtId="169" fontId="14" fillId="0" borderId="208" xfId="0" applyFont="1" applyFill="1" applyBorder="1" applyAlignment="1" applyProtection="1">
      <alignment horizontal="left" vertical="top" wrapText="1"/>
      <protection locked="0"/>
    </xf>
    <xf numFmtId="43" fontId="10" fillId="17" borderId="0" xfId="4" applyFont="1" applyFill="1" applyAlignment="1">
      <alignment horizontal="center" vertical="center"/>
    </xf>
  </cellXfs>
  <cellStyles count="24">
    <cellStyle name="Comma" xfId="1" builtinId="3"/>
    <cellStyle name="Euro" xfId="2"/>
    <cellStyle name="Millares 2" xfId="3"/>
    <cellStyle name="Normal" xfId="0" builtinId="0"/>
    <cellStyle name="Normal 2" xfId="4"/>
    <cellStyle name="Normal 2 2" xfId="5"/>
    <cellStyle name="Normal 2 3" xfId="6"/>
    <cellStyle name="Normal 2 4" xfId="7"/>
    <cellStyle name="Normal 2 5" xfId="8"/>
    <cellStyle name="Normal 2 6" xfId="9"/>
    <cellStyle name="Normal 2 7" xfId="10"/>
    <cellStyle name="Normal 2 8" xfId="11"/>
    <cellStyle name="Normal 2_Dashboard ver 2.2 ES" xfId="12"/>
    <cellStyle name="Normal 2_Prototipo" xfId="13"/>
    <cellStyle name="Normal 3" xfId="14"/>
    <cellStyle name="Normal 4" xfId="15"/>
    <cellStyle name="Normal 5" xfId="16"/>
    <cellStyle name="Normal 6" xfId="17"/>
    <cellStyle name="Normal_TZ_R3HIV_Phase_2_21_August_08" xfId="18"/>
    <cellStyle name="Percent" xfId="19" builtinId="5"/>
    <cellStyle name="Título 3 3" xfId="20"/>
    <cellStyle name="Título 3 3_Prototipo" xfId="21"/>
    <cellStyle name="Título 3 3_PrototipoRep1" xfId="22"/>
    <cellStyle name="Título 3 7" xfId="23"/>
  </cellStyles>
  <dxfs count="45">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ro-RO"/>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datelor'!$D$78</c:f>
              <c:strCache>
                <c:ptCount val="1"/>
                <c:pt idx="0">
                  <c:v>6</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datelor'!$D$78:$D$79</c:f>
              <c:numCache>
                <c:formatCode>[$$-409]#,##0_);\([$$-409]#,##0\)</c:formatCode>
                <c:ptCount val="2"/>
                <c:pt idx="0" formatCode="#,##0">
                  <c:v>6</c:v>
                </c:pt>
              </c:numCache>
            </c:numRef>
          </c:val>
        </c:ser>
        <c:dLbls>
          <c:showLegendKey val="0"/>
          <c:showVal val="0"/>
          <c:showCatName val="0"/>
          <c:showSerName val="0"/>
          <c:showPercent val="0"/>
          <c:showBubbleSize val="0"/>
        </c:dLbls>
        <c:gapWidth val="79"/>
        <c:overlap val="100"/>
        <c:axId val="315170320"/>
        <c:axId val="315170712"/>
      </c:barChart>
      <c:catAx>
        <c:axId val="315170320"/>
        <c:scaling>
          <c:orientation val="minMax"/>
        </c:scaling>
        <c:delete val="1"/>
        <c:axPos val="l"/>
        <c:numFmt formatCode="General" sourceLinked="1"/>
        <c:majorTickMark val="out"/>
        <c:minorTickMark val="none"/>
        <c:tickLblPos val="none"/>
        <c:crossAx val="315170712"/>
        <c:crosses val="autoZero"/>
        <c:auto val="1"/>
        <c:lblAlgn val="ctr"/>
        <c:lblOffset val="100"/>
        <c:noMultiLvlLbl val="0"/>
      </c:catAx>
      <c:valAx>
        <c:axId val="315170712"/>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ro-RO"/>
          </a:p>
        </c:txPr>
        <c:crossAx val="315170320"/>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ro-RO"/>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18251347613808"/>
          <c:y val="8.9552612741589155E-2"/>
          <c:w val="0.83314004319329704"/>
          <c:h val="0.65320736566206339"/>
        </c:manualLayout>
      </c:layout>
      <c:barChart>
        <c:barDir val="col"/>
        <c:grouping val="clustered"/>
        <c:varyColors val="0"/>
        <c:ser>
          <c:idx val="0"/>
          <c:order val="0"/>
          <c:tx>
            <c:strRef>
              <c:f>'Introducerea datelor'!$G$120</c:f>
              <c:strCache>
                <c:ptCount val="1"/>
                <c:pt idx="0">
                  <c:v>Ținta</c:v>
                </c:pt>
              </c:strCache>
            </c:strRef>
          </c:tx>
          <c:spPr>
            <a:solidFill>
              <a:srgbClr val="0066CC"/>
            </a:solidFill>
            <a:ln w="25400">
              <a:noFill/>
            </a:ln>
          </c:spPr>
          <c:invertIfNegative val="0"/>
          <c:val>
            <c:numRef>
              <c:f>'Introducerea datelor'!$H$120:$S$120</c:f>
              <c:numCache>
                <c:formatCode>0.0</c:formatCode>
                <c:ptCount val="12"/>
                <c:pt idx="0">
                  <c:v>59</c:v>
                </c:pt>
              </c:numCache>
            </c:numRef>
          </c:val>
        </c:ser>
        <c:ser>
          <c:idx val="1"/>
          <c:order val="1"/>
          <c:tx>
            <c:strRef>
              <c:f>'Introducerea datelor'!$G$121</c:f>
              <c:strCache>
                <c:ptCount val="1"/>
                <c:pt idx="0">
                  <c:v>Rezultat</c:v>
                </c:pt>
              </c:strCache>
            </c:strRef>
          </c:tx>
          <c:spPr>
            <a:solidFill>
              <a:srgbClr val="00CCFF"/>
            </a:solidFill>
            <a:ln w="12700">
              <a:solidFill>
                <a:srgbClr val="000000"/>
              </a:solidFill>
              <a:prstDash val="solid"/>
            </a:ln>
          </c:spPr>
          <c:invertIfNegative val="0"/>
          <c:val>
            <c:numRef>
              <c:f>'Introducerea datelor'!$H$121:$S$121</c:f>
              <c:numCache>
                <c:formatCode>0.0</c:formatCode>
                <c:ptCount val="12"/>
                <c:pt idx="0">
                  <c:v>65.3</c:v>
                </c:pt>
              </c:numCache>
            </c:numRef>
          </c:val>
        </c:ser>
        <c:dLbls>
          <c:showLegendKey val="0"/>
          <c:showVal val="0"/>
          <c:showCatName val="0"/>
          <c:showSerName val="0"/>
          <c:showPercent val="0"/>
          <c:showBubbleSize val="0"/>
        </c:dLbls>
        <c:gapWidth val="150"/>
        <c:axId val="351318528"/>
        <c:axId val="351317352"/>
      </c:barChart>
      <c:catAx>
        <c:axId val="35131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51317352"/>
        <c:crosses val="autoZero"/>
        <c:auto val="1"/>
        <c:lblAlgn val="ctr"/>
        <c:lblOffset val="100"/>
        <c:tickLblSkip val="1"/>
        <c:tickMarkSkip val="1"/>
        <c:noMultiLvlLbl val="0"/>
      </c:catAx>
      <c:valAx>
        <c:axId val="351317352"/>
        <c:scaling>
          <c:orientation val="minMax"/>
          <c:min val="2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51318528"/>
        <c:crosses val="autoZero"/>
        <c:crossBetween val="between"/>
      </c:valAx>
      <c:spPr>
        <a:noFill/>
        <a:ln w="25400">
          <a:noFill/>
        </a:ln>
      </c:spPr>
    </c:plotArea>
    <c:legend>
      <c:legendPos val="r"/>
      <c:layout>
        <c:manualLayout>
          <c:xMode val="edge"/>
          <c:yMode val="edge"/>
          <c:x val="0.18466890563410759"/>
          <c:y val="0.91099498926270572"/>
          <c:w val="0.57491302834457536"/>
          <c:h val="7.329873538534958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704"/>
          <c:h val="0.65320736566206339"/>
        </c:manualLayout>
      </c:layout>
      <c:barChart>
        <c:barDir val="col"/>
        <c:grouping val="clustered"/>
        <c:varyColors val="0"/>
        <c:ser>
          <c:idx val="0"/>
          <c:order val="0"/>
          <c:tx>
            <c:strRef>
              <c:f>'Introducerea datelor'!$G$115</c:f>
              <c:strCache>
                <c:ptCount val="1"/>
              </c:strCache>
            </c:strRef>
          </c:tx>
          <c:spPr>
            <a:solidFill>
              <a:srgbClr val="0066CC"/>
            </a:solidFill>
            <a:ln w="25400">
              <a:noFill/>
            </a:ln>
          </c:spPr>
          <c:invertIfNegative val="0"/>
          <c:val>
            <c:numRef>
              <c:f>'Introducerea datelor'!$H$115:$S$115</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'Introducerea datelor'!$G$116</c:f>
              <c:strCache>
                <c:ptCount val="1"/>
                <c:pt idx="0">
                  <c:v>Ținta</c:v>
                </c:pt>
              </c:strCache>
            </c:strRef>
          </c:tx>
          <c:spPr>
            <a:solidFill>
              <a:srgbClr val="00CCFF"/>
            </a:solidFill>
            <a:ln w="12700">
              <a:solidFill>
                <a:srgbClr val="000000"/>
              </a:solidFill>
              <a:prstDash val="solid"/>
            </a:ln>
          </c:spPr>
          <c:invertIfNegative val="0"/>
          <c:dPt>
            <c:idx val="0"/>
            <c:invertIfNegative val="0"/>
            <c:bubble3D val="0"/>
            <c:spPr>
              <a:solidFill>
                <a:srgbClr val="0070C0"/>
              </a:solidFill>
              <a:ln w="12700">
                <a:solidFill>
                  <a:srgbClr val="000000"/>
                </a:solidFill>
                <a:prstDash val="solid"/>
              </a:ln>
            </c:spPr>
          </c:dPt>
          <c:val>
            <c:numRef>
              <c:f>'Introducerea datelor'!$H$116:$S$116</c:f>
              <c:numCache>
                <c:formatCode>0.0</c:formatCode>
                <c:ptCount val="12"/>
                <c:pt idx="0">
                  <c:v>10</c:v>
                </c:pt>
              </c:numCache>
            </c:numRef>
          </c:val>
        </c:ser>
        <c:ser>
          <c:idx val="2"/>
          <c:order val="2"/>
          <c:tx>
            <c:strRef>
              <c:f>'Introducerea datelor'!$G$117</c:f>
              <c:strCache>
                <c:ptCount val="1"/>
                <c:pt idx="0">
                  <c:v>Rezultat</c:v>
                </c:pt>
              </c:strCache>
            </c:strRef>
          </c:tx>
          <c:spPr>
            <a:solidFill>
              <a:srgbClr val="00B0F0"/>
            </a:solidFill>
            <a:ln w="12700"/>
          </c:spPr>
          <c:invertIfNegative val="0"/>
          <c:dPt>
            <c:idx val="0"/>
            <c:invertIfNegative val="0"/>
            <c:bubble3D val="0"/>
            <c:spPr>
              <a:solidFill>
                <a:srgbClr val="00B0F0"/>
              </a:solidFill>
              <a:ln w="12700">
                <a:prstDash val="solid"/>
              </a:ln>
            </c:spPr>
          </c:dPt>
          <c:val>
            <c:numRef>
              <c:f>'Introducerea datelor'!$H$117:$S$117</c:f>
              <c:numCache>
                <c:formatCode>0.0</c:formatCode>
                <c:ptCount val="12"/>
                <c:pt idx="0" formatCode="0.00">
                  <c:v>9.9600000000000009</c:v>
                </c:pt>
              </c:numCache>
            </c:numRef>
          </c:val>
        </c:ser>
        <c:dLbls>
          <c:showLegendKey val="0"/>
          <c:showVal val="0"/>
          <c:showCatName val="0"/>
          <c:showSerName val="0"/>
          <c:showPercent val="0"/>
          <c:showBubbleSize val="0"/>
        </c:dLbls>
        <c:gapWidth val="150"/>
        <c:axId val="351318920"/>
        <c:axId val="351316568"/>
      </c:barChart>
      <c:catAx>
        <c:axId val="351318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51316568"/>
        <c:crosses val="autoZero"/>
        <c:auto val="1"/>
        <c:lblAlgn val="ctr"/>
        <c:lblOffset val="100"/>
        <c:tickLblSkip val="1"/>
        <c:tickMarkSkip val="1"/>
        <c:noMultiLvlLbl val="0"/>
      </c:catAx>
      <c:valAx>
        <c:axId val="35131656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51318920"/>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3093788.06</c:v>
                </c:pt>
                <c:pt idx="1">
                  <c:v>0</c:v>
                </c:pt>
                <c:pt idx="2">
                  <c:v>0</c:v>
                </c:pt>
                <c:pt idx="3">
                  <c:v>0</c:v>
                </c:pt>
                <c:pt idx="4">
                  <c:v>0</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2488378</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351316960"/>
        <c:axId val="351321272"/>
      </c:areaChart>
      <c:catAx>
        <c:axId val="351316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351321272"/>
        <c:crosses val="autoZero"/>
        <c:auto val="1"/>
        <c:lblAlgn val="ctr"/>
        <c:lblOffset val="100"/>
        <c:tickLblSkip val="8"/>
        <c:tickMarkSkip val="1"/>
        <c:noMultiLvlLbl val="0"/>
      </c:catAx>
      <c:valAx>
        <c:axId val="35132127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35131696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datelor'!$C$83</c:f>
              <c:numCache>
                <c:formatCode>#,##0</c:formatCode>
                <c:ptCount val="1"/>
                <c:pt idx="0">
                  <c:v>1</c:v>
                </c:pt>
              </c:numCache>
            </c:numRef>
          </c:val>
        </c:ser>
        <c:dLbls>
          <c:showLegendKey val="0"/>
          <c:showVal val="0"/>
          <c:showCatName val="0"/>
          <c:showSerName val="0"/>
          <c:showPercent val="0"/>
          <c:showBubbleSize val="0"/>
        </c:dLbls>
        <c:gapWidth val="150"/>
        <c:overlap val="-20"/>
        <c:axId val="315163656"/>
        <c:axId val="315165224"/>
      </c:barChart>
      <c:catAx>
        <c:axId val="315163656"/>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ro-RO"/>
          </a:p>
        </c:txPr>
        <c:crossAx val="315165224"/>
        <c:crosses val="autoZero"/>
        <c:auto val="0"/>
        <c:lblAlgn val="ctr"/>
        <c:lblOffset val="100"/>
        <c:tickMarkSkip val="1"/>
        <c:noMultiLvlLbl val="0"/>
      </c:catAx>
      <c:valAx>
        <c:axId val="315165224"/>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ro-RO"/>
          </a:p>
        </c:txPr>
        <c:crossAx val="315163656"/>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ro-RO"/>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datelor'!$D$70</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datelor'!$D$71:$D$72</c:f>
              <c:numCache>
                <c:formatCode>0</c:formatCode>
                <c:ptCount val="2"/>
                <c:pt idx="0">
                  <c:v>2</c:v>
                </c:pt>
              </c:numCache>
            </c:numRef>
          </c:val>
        </c:ser>
        <c:ser>
          <c:idx val="1"/>
          <c:order val="1"/>
          <c:tx>
            <c:strRef>
              <c:f>'Introducerea datelor'!$E$70</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datelor'!$E$71:$E$72</c:f>
              <c:numCache>
                <c:formatCode>0</c:formatCode>
                <c:ptCount val="2"/>
                <c:pt idx="0">
                  <c:v>1</c:v>
                </c:pt>
              </c:numCache>
            </c:numRef>
          </c:val>
        </c:ser>
        <c:ser>
          <c:idx val="2"/>
          <c:order val="2"/>
          <c:tx>
            <c:strRef>
              <c:f>'Introducerea datelor'!$F$70</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datelor'!$F$71:$F$72</c:f>
              <c:numCache>
                <c:formatCode>0</c:formatCode>
                <c:ptCount val="2"/>
              </c:numCache>
            </c:numRef>
          </c:val>
        </c:ser>
        <c:dLbls>
          <c:showLegendKey val="0"/>
          <c:showVal val="0"/>
          <c:showCatName val="0"/>
          <c:showSerName val="0"/>
          <c:showPercent val="0"/>
          <c:showBubbleSize val="0"/>
        </c:dLbls>
        <c:gapWidth val="70"/>
        <c:overlap val="100"/>
        <c:axId val="315165616"/>
        <c:axId val="315166400"/>
      </c:barChart>
      <c:catAx>
        <c:axId val="3151656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15166400"/>
        <c:crosses val="autoZero"/>
        <c:auto val="1"/>
        <c:lblAlgn val="ctr"/>
        <c:lblOffset val="100"/>
        <c:tickLblSkip val="1"/>
        <c:tickMarkSkip val="1"/>
        <c:noMultiLvlLbl val="0"/>
      </c:catAx>
      <c:valAx>
        <c:axId val="31516640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15165616"/>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datelor'!$D$87</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datelor'!$B$88:$B$89</c:f>
              <c:strCache>
                <c:ptCount val="2"/>
                <c:pt idx="0">
                  <c:v>SSR către SR</c:v>
                </c:pt>
                <c:pt idx="1">
                  <c:v>SR către RP</c:v>
                </c:pt>
              </c:strCache>
            </c:strRef>
          </c:cat>
          <c:val>
            <c:numRef>
              <c:f>'Introducerea datelor'!$D$88:$D$89</c:f>
              <c:numCache>
                <c:formatCode>0</c:formatCode>
                <c:ptCount val="2"/>
                <c:pt idx="0">
                  <c:v>0</c:v>
                </c:pt>
                <c:pt idx="1">
                  <c:v>2</c:v>
                </c:pt>
              </c:numCache>
            </c:numRef>
          </c:val>
        </c:ser>
        <c:ser>
          <c:idx val="2"/>
          <c:order val="1"/>
          <c:tx>
            <c:strRef>
              <c:f>'Introducerea datelor'!$E$87</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datelor'!$B$88:$B$89</c:f>
              <c:strCache>
                <c:ptCount val="2"/>
                <c:pt idx="0">
                  <c:v>SSR către SR</c:v>
                </c:pt>
                <c:pt idx="1">
                  <c:v>SR către RP</c:v>
                </c:pt>
              </c:strCache>
            </c:strRef>
          </c:cat>
          <c:val>
            <c:numRef>
              <c:f>'Introducerea datelor'!$E$88:$E$89</c:f>
              <c:numCache>
                <c:formatCode>#,##0</c:formatCode>
                <c:ptCount val="2"/>
                <c:pt idx="0" formatCode="0">
                  <c:v>0</c:v>
                </c:pt>
                <c:pt idx="1">
                  <c:v>0</c:v>
                </c:pt>
              </c:numCache>
            </c:numRef>
          </c:val>
        </c:ser>
        <c:dLbls>
          <c:showLegendKey val="0"/>
          <c:showVal val="0"/>
          <c:showCatName val="0"/>
          <c:showSerName val="0"/>
          <c:showPercent val="0"/>
          <c:showBubbleSize val="0"/>
        </c:dLbls>
        <c:gapWidth val="101"/>
        <c:overlap val="100"/>
        <c:axId val="350318384"/>
        <c:axId val="350317600"/>
      </c:barChart>
      <c:catAx>
        <c:axId val="3503183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50317600"/>
        <c:crosses val="autoZero"/>
        <c:auto val="1"/>
        <c:lblAlgn val="ctr"/>
        <c:lblOffset val="100"/>
        <c:noMultiLvlLbl val="0"/>
      </c:catAx>
      <c:valAx>
        <c:axId val="35031760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50318384"/>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ro-RO"/>
          </a:p>
        </c:txPr>
      </c:legendEntry>
      <c:legendEntry>
        <c:idx val="1"/>
        <c:txPr>
          <a:bodyPr/>
          <a:lstStyle/>
          <a:p>
            <a:pPr>
              <a:defRPr sz="620" b="0" i="0" u="none" strike="noStrike" baseline="0">
                <a:solidFill>
                  <a:srgbClr val="000000"/>
                </a:solidFill>
                <a:latin typeface="Calibri"/>
                <a:ea typeface="Calibri"/>
                <a:cs typeface="Calibri"/>
              </a:defRPr>
            </a:pPr>
            <a:endParaRPr lang="ro-RO"/>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87"/>
          <c:y val="0.10989010989011004"/>
          <c:w val="0.81094724363350434"/>
          <c:h val="0.54395604395604358"/>
        </c:manualLayout>
      </c:layout>
      <c:lineChart>
        <c:grouping val="standard"/>
        <c:varyColors val="0"/>
        <c:ser>
          <c:idx val="0"/>
          <c:order val="0"/>
          <c:tx>
            <c:strRef>
              <c:f>'Introducerea datelor'!$B$97</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datelor'!$C$97:$N$97</c:f>
              <c:numCache>
                <c:formatCode>#,##0</c:formatCode>
                <c:ptCount val="12"/>
                <c:pt idx="0">
                  <c:v>2475363.62</c:v>
                </c:pt>
                <c:pt idx="1">
                  <c:v>2475363.62</c:v>
                </c:pt>
                <c:pt idx="2">
                  <c:v>2475363.62</c:v>
                </c:pt>
                <c:pt idx="3">
                  <c:v>2475363.62</c:v>
                </c:pt>
                <c:pt idx="4">
                  <c:v>2475363.62</c:v>
                </c:pt>
                <c:pt idx="5">
                  <c:v>2475363.62</c:v>
                </c:pt>
                <c:pt idx="6">
                  <c:v>2475363.62</c:v>
                </c:pt>
                <c:pt idx="7">
                  <c:v>2475363.62</c:v>
                </c:pt>
                <c:pt idx="8">
                  <c:v>2475363.62</c:v>
                </c:pt>
                <c:pt idx="9">
                  <c:v>2475363.62</c:v>
                </c:pt>
                <c:pt idx="10">
                  <c:v>2475363.62</c:v>
                </c:pt>
                <c:pt idx="11">
                  <c:v>2475363.62</c:v>
                </c:pt>
              </c:numCache>
            </c:numRef>
          </c:val>
          <c:smooth val="0"/>
        </c:ser>
        <c:ser>
          <c:idx val="1"/>
          <c:order val="1"/>
          <c:tx>
            <c:strRef>
              <c:f>'Introducerea datelor'!$B$98</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datelor'!$C$98:$N$98</c:f>
              <c:numCache>
                <c:formatCode>#,##0</c:formatCode>
                <c:ptCount val="12"/>
                <c:pt idx="0">
                  <c:v>87919.039999999994</c:v>
                </c:pt>
                <c:pt idx="1">
                  <c:v>87919.039999999994</c:v>
                </c:pt>
                <c:pt idx="2">
                  <c:v>87919.039999999994</c:v>
                </c:pt>
                <c:pt idx="3">
                  <c:v>87919.039999999994</c:v>
                </c:pt>
                <c:pt idx="4">
                  <c:v>87919.039999999994</c:v>
                </c:pt>
                <c:pt idx="5">
                  <c:v>87919.039999999994</c:v>
                </c:pt>
                <c:pt idx="6">
                  <c:v>87919.039999999994</c:v>
                </c:pt>
                <c:pt idx="7">
                  <c:v>87919.039999999994</c:v>
                </c:pt>
                <c:pt idx="8">
                  <c:v>87919.039999999994</c:v>
                </c:pt>
                <c:pt idx="9">
                  <c:v>87919.039999999994</c:v>
                </c:pt>
                <c:pt idx="10">
                  <c:v>87919.039999999994</c:v>
                </c:pt>
                <c:pt idx="11">
                  <c:v>87919.039999999994</c:v>
                </c:pt>
              </c:numCache>
            </c:numRef>
          </c:val>
          <c:smooth val="0"/>
        </c:ser>
        <c:ser>
          <c:idx val="2"/>
          <c:order val="2"/>
          <c:tx>
            <c:strRef>
              <c:f>'Introducerea datelor'!$B$99</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datelor'!$C$99:$N$99</c:f>
              <c:numCache>
                <c:formatCode>#,##0</c:formatCode>
                <c:ptCount val="12"/>
                <c:pt idx="0">
                  <c:v>1387405.1</c:v>
                </c:pt>
                <c:pt idx="1">
                  <c:v>1387405.1</c:v>
                </c:pt>
                <c:pt idx="2">
                  <c:v>1387405.1</c:v>
                </c:pt>
                <c:pt idx="3">
                  <c:v>1387405.1</c:v>
                </c:pt>
                <c:pt idx="4">
                  <c:v>1387405.1</c:v>
                </c:pt>
                <c:pt idx="5">
                  <c:v>1387405.1</c:v>
                </c:pt>
                <c:pt idx="6">
                  <c:v>1387405.1</c:v>
                </c:pt>
                <c:pt idx="7">
                  <c:v>1387405.1</c:v>
                </c:pt>
                <c:pt idx="8">
                  <c:v>1387405.1</c:v>
                </c:pt>
                <c:pt idx="9">
                  <c:v>1387405.1</c:v>
                </c:pt>
                <c:pt idx="10">
                  <c:v>1387405.1</c:v>
                </c:pt>
                <c:pt idx="11">
                  <c:v>1387405.1</c:v>
                </c:pt>
              </c:numCache>
            </c:numRef>
          </c:val>
          <c:smooth val="0"/>
        </c:ser>
        <c:dLbls>
          <c:showLegendKey val="0"/>
          <c:showVal val="0"/>
          <c:showCatName val="0"/>
          <c:showSerName val="0"/>
          <c:showPercent val="0"/>
          <c:showBubbleSize val="0"/>
        </c:dLbls>
        <c:marker val="1"/>
        <c:smooth val="0"/>
        <c:axId val="350316816"/>
        <c:axId val="350313288"/>
      </c:lineChart>
      <c:catAx>
        <c:axId val="35031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350313288"/>
        <c:crosses val="autoZero"/>
        <c:auto val="1"/>
        <c:lblAlgn val="ctr"/>
        <c:lblOffset val="100"/>
        <c:tickLblSkip val="1"/>
        <c:tickMarkSkip val="1"/>
        <c:noMultiLvlLbl val="0"/>
      </c:catAx>
      <c:valAx>
        <c:axId val="35031328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350316816"/>
        <c:crosses val="autoZero"/>
        <c:crossBetween val="between"/>
      </c:valAx>
      <c:spPr>
        <a:solidFill>
          <a:srgbClr val="FFFFFF"/>
        </a:solidFill>
        <a:ln w="12700">
          <a:solidFill>
            <a:srgbClr val="808080"/>
          </a:solidFill>
          <a:prstDash val="solid"/>
        </a:ln>
      </c:spPr>
    </c:plotArea>
    <c:legend>
      <c:legendPos val="r"/>
      <c:layout>
        <c:manualLayout>
          <c:xMode val="edge"/>
          <c:yMode val="edge"/>
          <c:x val="6.7108497293917671E-2"/>
          <c:y val="0.74047715945619164"/>
          <c:w val="0.92212083911347342"/>
          <c:h val="0.17890707481789497"/>
        </c:manualLayout>
      </c:layout>
      <c:overlay val="0"/>
      <c:spPr>
        <a:noFill/>
        <a:ln w="25400">
          <a:noFill/>
        </a:ln>
      </c:spPr>
      <c:txPr>
        <a:bodyPr/>
        <a:lstStyle/>
        <a:p>
          <a:pPr>
            <a:defRPr sz="46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416"/>
        </c:manualLayout>
      </c:layout>
      <c:barChart>
        <c:barDir val="col"/>
        <c:grouping val="clustered"/>
        <c:varyColors val="0"/>
        <c:ser>
          <c:idx val="0"/>
          <c:order val="0"/>
          <c:tx>
            <c:strRef>
              <c:f>'Introducerea datelor'!$B$33</c:f>
              <c:strCache>
                <c:ptCount val="1"/>
                <c:pt idx="0">
                  <c:v>Buget Cumulativ</c:v>
                </c:pt>
              </c:strCache>
            </c:strRef>
          </c:tx>
          <c:spPr>
            <a:solidFill>
              <a:schemeClr val="accent2">
                <a:lumMod val="40000"/>
                <a:lumOff val="60000"/>
              </a:schemeClr>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3093788.06</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2488378</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350315640"/>
        <c:axId val="350317208"/>
      </c:barChart>
      <c:catAx>
        <c:axId val="35031564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350317208"/>
        <c:crosses val="autoZero"/>
        <c:auto val="1"/>
        <c:lblAlgn val="ctr"/>
        <c:lblOffset val="100"/>
        <c:tickLblSkip val="1"/>
        <c:tickMarkSkip val="1"/>
        <c:noMultiLvlLbl val="0"/>
      </c:catAx>
      <c:valAx>
        <c:axId val="3503172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35031564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20" b="0" i="0" u="none" strike="noStrike" baseline="0">
                <a:solidFill>
                  <a:srgbClr val="000000"/>
                </a:solidFill>
                <a:latin typeface="Arial"/>
                <a:ea typeface="Arial"/>
                <a:cs typeface="Arial"/>
              </a:defRPr>
            </a:pPr>
            <a:endParaRPr lang="ro-RO"/>
          </a:p>
        </c:txPr>
      </c:legendEntry>
      <c:legendEntry>
        <c:idx val="1"/>
        <c:txPr>
          <a:bodyPr/>
          <a:lstStyle/>
          <a:p>
            <a:pPr>
              <a:defRPr sz="620" b="0" i="0" u="none" strike="noStrike" baseline="0">
                <a:solidFill>
                  <a:srgbClr val="000000"/>
                </a:solidFill>
                <a:latin typeface="Arial"/>
                <a:ea typeface="Arial"/>
                <a:cs typeface="Arial"/>
              </a:defRPr>
            </a:pPr>
            <a:endParaRPr lang="ro-RO"/>
          </a:p>
        </c:txPr>
      </c:legendEntry>
      <c:layout>
        <c:manualLayout>
          <c:xMode val="edge"/>
          <c:yMode val="edge"/>
          <c:x val="0.141649833037886"/>
          <c:y val="0.87772925764192167"/>
          <c:w val="0.84727597531983923"/>
          <c:h val="0.10480349344978168"/>
        </c:manualLayout>
      </c:layout>
      <c:overlay val="0"/>
      <c:spPr>
        <a:solidFill>
          <a:srgbClr val="FFFFFF"/>
        </a:solidFill>
        <a:ln w="3175">
          <a:solidFill>
            <a:srgbClr val="000000"/>
          </a:solidFill>
          <a:prstDash val="solid"/>
        </a:ln>
      </c:spPr>
      <c:txPr>
        <a:bodyPr/>
        <a:lstStyle/>
        <a:p>
          <a:pPr>
            <a:defRPr sz="44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7015"/>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Debursat de către Fondul Global</c:v>
                </c:pt>
                <c:pt idx="1">
                  <c:v>Cheltuielile și debursările RP </c:v>
                </c:pt>
                <c:pt idx="2">
                  <c:v>Debursări către SR</c:v>
                </c:pt>
                <c:pt idx="3">
                  <c:v>Cheltuielile SR</c:v>
                </c:pt>
              </c:strCache>
            </c:strRef>
          </c:cat>
          <c:val>
            <c:numRef>
              <c:f>'Introducerea datelor'!$C$51:$C$54</c:f>
              <c:numCache>
                <c:formatCode>#,##0</c:formatCode>
                <c:ptCount val="4"/>
                <c:pt idx="0">
                  <c:v>0</c:v>
                </c:pt>
                <c:pt idx="1">
                  <c:v>0</c:v>
                </c:pt>
                <c:pt idx="2">
                  <c:v>0</c:v>
                </c:pt>
                <c:pt idx="3">
                  <c:v>0</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Debursat de către Fondul Global</c:v>
                </c:pt>
                <c:pt idx="1">
                  <c:v>Cheltuielile și debursările RP </c:v>
                </c:pt>
                <c:pt idx="2">
                  <c:v>Debursări către SR</c:v>
                </c:pt>
                <c:pt idx="3">
                  <c:v>Cheltuielile SR</c:v>
                </c:pt>
              </c:strCache>
            </c:strRef>
          </c:cat>
          <c:val>
            <c:numRef>
              <c:f>'Introducerea datelor'!$D$51:$D$54</c:f>
              <c:numCache>
                <c:formatCode>#,##0</c:formatCode>
                <c:ptCount val="4"/>
                <c:pt idx="0">
                  <c:v>2488378</c:v>
                </c:pt>
                <c:pt idx="1">
                  <c:v>1705801</c:v>
                </c:pt>
                <c:pt idx="2">
                  <c:v>35465</c:v>
                </c:pt>
                <c:pt idx="3">
                  <c:v>21802</c:v>
                </c:pt>
              </c:numCache>
            </c:numRef>
          </c:val>
        </c:ser>
        <c:dLbls>
          <c:showLegendKey val="0"/>
          <c:showVal val="0"/>
          <c:showCatName val="0"/>
          <c:showSerName val="0"/>
          <c:showPercent val="0"/>
          <c:showBubbleSize val="0"/>
        </c:dLbls>
        <c:gapWidth val="150"/>
        <c:overlap val="100"/>
        <c:axId val="350317992"/>
        <c:axId val="350311720"/>
      </c:barChart>
      <c:catAx>
        <c:axId val="3503179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o-RO"/>
          </a:p>
        </c:txPr>
        <c:crossAx val="350311720"/>
        <c:crossesAt val="0"/>
        <c:auto val="1"/>
        <c:lblAlgn val="ctr"/>
        <c:lblOffset val="100"/>
        <c:noMultiLvlLbl val="0"/>
      </c:catAx>
      <c:valAx>
        <c:axId val="350311720"/>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o-RO"/>
          </a:p>
        </c:txPr>
        <c:crossAx val="35031799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datelor'!$B$39:$B$42</c:f>
              <c:strCache>
                <c:ptCount val="4"/>
                <c:pt idx="0">
                  <c:v>Asigurarea accesului universal la diagnosticul la timp şi de calitate al tuturor formelor de tuberculoză, inclusiv al celor cu TB-M/EDR</c:v>
                </c:pt>
                <c:pt idx="1">
                  <c:v>Asigurarea accesului universal la tratamentul calitativ al tuturor formelor de tuberculoză, inclusiv al celor cu TB-M/EDR</c:v>
                </c:pt>
                <c:pt idx="2">
                  <c:v>Consolidarea managementului, coordonării, monitorizării și evaluării Programului Național de control al tuberculozei</c:v>
                </c:pt>
                <c:pt idx="3">
                  <c:v>Fortificarea managementului Programului</c:v>
                </c:pt>
              </c:strCache>
            </c:strRef>
          </c:cat>
          <c:val>
            <c:numRef>
              <c:f>'Introducerea datelor'!$C$39:$C$42</c:f>
              <c:numCache>
                <c:formatCode>#,##0</c:formatCode>
                <c:ptCount val="4"/>
                <c:pt idx="0">
                  <c:v>724392.08</c:v>
                </c:pt>
                <c:pt idx="1">
                  <c:v>2189086.9300000002</c:v>
                </c:pt>
                <c:pt idx="2">
                  <c:v>95465.5</c:v>
                </c:pt>
                <c:pt idx="3">
                  <c:v>84843.55</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datelor'!$B$39:$B$42</c:f>
              <c:strCache>
                <c:ptCount val="4"/>
                <c:pt idx="0">
                  <c:v>Asigurarea accesului universal la diagnosticul la timp şi de calitate al tuturor formelor de tuberculoză, inclusiv al celor cu TB-M/EDR</c:v>
                </c:pt>
                <c:pt idx="1">
                  <c:v>Asigurarea accesului universal la tratamentul calitativ al tuturor formelor de tuberculoză, inclusiv al celor cu TB-M/EDR</c:v>
                </c:pt>
                <c:pt idx="2">
                  <c:v>Consolidarea managementului, coordonării, monitorizării și evaluării Programului Național de control al tuberculozei</c:v>
                </c:pt>
                <c:pt idx="3">
                  <c:v>Fortificarea managementului Programului</c:v>
                </c:pt>
              </c:strCache>
            </c:strRef>
          </c:cat>
          <c:val>
            <c:numRef>
              <c:f>'Introducerea datelor'!$D$39:$D$42</c:f>
              <c:numCache>
                <c:formatCode>#,##0</c:formatCode>
                <c:ptCount val="4"/>
                <c:pt idx="0">
                  <c:v>248005.81</c:v>
                </c:pt>
                <c:pt idx="1">
                  <c:v>1344420.97</c:v>
                </c:pt>
                <c:pt idx="2">
                  <c:v>50913.85</c:v>
                </c:pt>
                <c:pt idx="3">
                  <c:v>83708.06</c:v>
                </c:pt>
              </c:numCache>
            </c:numRef>
          </c:val>
        </c:ser>
        <c:dLbls>
          <c:showLegendKey val="0"/>
          <c:showVal val="0"/>
          <c:showCatName val="0"/>
          <c:showSerName val="0"/>
          <c:showPercent val="0"/>
          <c:showBubbleSize val="0"/>
        </c:dLbls>
        <c:gapWidth val="150"/>
        <c:axId val="350312112"/>
        <c:axId val="350312504"/>
      </c:barChart>
      <c:catAx>
        <c:axId val="350312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350312504"/>
        <c:crosses val="autoZero"/>
        <c:auto val="1"/>
        <c:lblAlgn val="ctr"/>
        <c:lblOffset val="100"/>
        <c:tickMarkSkip val="1"/>
        <c:noMultiLvlLbl val="0"/>
      </c:catAx>
      <c:valAx>
        <c:axId val="35031250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35031211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7135069654741E-2"/>
          <c:y val="8.9552577813665157E-2"/>
          <c:w val="0.83314004319329704"/>
          <c:h val="0.65320736566206339"/>
        </c:manualLayout>
      </c:layout>
      <c:barChart>
        <c:barDir val="col"/>
        <c:grouping val="clustered"/>
        <c:varyColors val="0"/>
        <c:ser>
          <c:idx val="0"/>
          <c:order val="0"/>
          <c:tx>
            <c:strRef>
              <c:f>'Introducerea datelor'!$G$118</c:f>
              <c:strCache>
                <c:ptCount val="1"/>
                <c:pt idx="0">
                  <c:v>Ținta</c:v>
                </c:pt>
              </c:strCache>
            </c:strRef>
          </c:tx>
          <c:spPr>
            <a:solidFill>
              <a:srgbClr val="0066CC"/>
            </a:solidFill>
            <a:ln w="25400">
              <a:noFill/>
            </a:ln>
          </c:spPr>
          <c:invertIfNegative val="0"/>
          <c:cat>
            <c:strRef>
              <c:f>'Introducerea datelor'!$H$115:$S$115</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datelor'!$H$118:$S$118</c:f>
              <c:numCache>
                <c:formatCode>0.0</c:formatCode>
                <c:ptCount val="12"/>
                <c:pt idx="0">
                  <c:v>22</c:v>
                </c:pt>
              </c:numCache>
            </c:numRef>
          </c:val>
        </c:ser>
        <c:ser>
          <c:idx val="1"/>
          <c:order val="1"/>
          <c:tx>
            <c:strRef>
              <c:f>'Introducerea datelor'!$G$119</c:f>
              <c:strCache>
                <c:ptCount val="1"/>
                <c:pt idx="0">
                  <c:v>Rezultat</c:v>
                </c:pt>
              </c:strCache>
            </c:strRef>
          </c:tx>
          <c:spPr>
            <a:solidFill>
              <a:srgbClr val="00CCFF"/>
            </a:solidFill>
            <a:ln w="12700">
              <a:solidFill>
                <a:srgbClr val="000000"/>
              </a:solidFill>
              <a:prstDash val="solid"/>
            </a:ln>
          </c:spPr>
          <c:invertIfNegative val="0"/>
          <c:cat>
            <c:strRef>
              <c:f>'Introducerea datelor'!$H$115:$S$115</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datelor'!$H$119:$S$119</c:f>
              <c:numCache>
                <c:formatCode>0.0</c:formatCode>
                <c:ptCount val="12"/>
                <c:pt idx="0">
                  <c:v>27.2</c:v>
                </c:pt>
              </c:numCache>
            </c:numRef>
          </c:val>
        </c:ser>
        <c:dLbls>
          <c:showLegendKey val="0"/>
          <c:showVal val="0"/>
          <c:showCatName val="0"/>
          <c:showSerName val="0"/>
          <c:showPercent val="0"/>
          <c:showBubbleSize val="0"/>
        </c:dLbls>
        <c:gapWidth val="150"/>
        <c:axId val="350314464"/>
        <c:axId val="350316032"/>
      </c:barChart>
      <c:catAx>
        <c:axId val="350314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50316032"/>
        <c:crosses val="autoZero"/>
        <c:auto val="1"/>
        <c:lblAlgn val="ctr"/>
        <c:lblOffset val="100"/>
        <c:tickLblSkip val="1"/>
        <c:tickMarkSkip val="1"/>
        <c:noMultiLvlLbl val="0"/>
      </c:catAx>
      <c:valAx>
        <c:axId val="35031603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50314464"/>
        <c:crosses val="autoZero"/>
        <c:crossBetween val="between"/>
      </c:valAx>
      <c:spPr>
        <a:noFill/>
        <a:ln w="25400">
          <a:noFill/>
        </a:ln>
      </c:spPr>
    </c:plotArea>
    <c:legend>
      <c:legendPos val="r"/>
      <c:layout>
        <c:manualLayout>
          <c:xMode val="edge"/>
          <c:yMode val="edge"/>
          <c:x val="0.17957720988847514"/>
          <c:y val="0.91191949072664258"/>
          <c:w val="0.58098600490823116"/>
          <c:h val="7.253897130262033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u!A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u!A1"/><Relationship Id="rId1" Type="http://schemas.openxmlformats.org/officeDocument/2006/relationships/chart" Target="../charts/chart6.xml"/><Relationship Id="rId6" Type="http://schemas.openxmlformats.org/officeDocument/2006/relationships/image" Target="../media/image7.png"/><Relationship Id="rId5" Type="http://schemas.openxmlformats.org/officeDocument/2006/relationships/chart" Target="../charts/chart8.xml"/><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2800249"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800293"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2800250"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800290"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2800251"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80028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800283"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xdr:cNvGrpSpPr>
          <a:grpSpLocks/>
        </xdr:cNvGrpSpPr>
      </xdr:nvGrpSpPr>
      <xdr:grpSpPr bwMode="auto">
        <a:xfrm>
          <a:off x="327025" y="1903413"/>
          <a:ext cx="2143125" cy="2124075"/>
          <a:chOff x="32" y="188"/>
          <a:chExt cx="225" cy="225"/>
        </a:xfrm>
      </xdr:grpSpPr>
      <xdr:sp macro="" textlink="">
        <xdr:nvSpPr>
          <xdr:cNvPr id="2800281"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xdr:cNvGrpSpPr>
          <a:grpSpLocks/>
        </xdr:cNvGrpSpPr>
      </xdr:nvGrpSpPr>
      <xdr:grpSpPr bwMode="auto">
        <a:xfrm>
          <a:off x="5699125" y="3208338"/>
          <a:ext cx="1501775" cy="409575"/>
          <a:chOff x="578" y="328"/>
          <a:chExt cx="158" cy="43"/>
        </a:xfrm>
      </xdr:grpSpPr>
      <xdr:sp macro="" textlink="">
        <xdr:nvSpPr>
          <xdr:cNvPr id="2800277"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800273"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80026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800265"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5</xdr:col>
      <xdr:colOff>1016000</xdr:colOff>
      <xdr:row>34</xdr:row>
      <xdr:rowOff>177800</xdr:rowOff>
    </xdr:from>
    <xdr:to>
      <xdr:col>5</xdr:col>
      <xdr:colOff>1028700</xdr:colOff>
      <xdr:row>44</xdr:row>
      <xdr:rowOff>152400</xdr:rowOff>
    </xdr:to>
    <xdr:cxnSp macro="">
      <xdr:nvCxnSpPr>
        <xdr:cNvPr id="2305189" name="AutoShape 100"/>
        <xdr:cNvCxnSpPr>
          <a:cxnSpLocks noChangeShapeType="1"/>
        </xdr:cNvCxnSpPr>
      </xdr:nvCxnSpPr>
      <xdr:spPr bwMode="auto">
        <a:xfrm>
          <a:off x="8458200" y="6527800"/>
          <a:ext cx="12700" cy="36703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1244600</xdr:colOff>
      <xdr:row>45</xdr:row>
      <xdr:rowOff>88900</xdr:rowOff>
    </xdr:from>
    <xdr:to>
      <xdr:col>5</xdr:col>
      <xdr:colOff>25400</xdr:colOff>
      <xdr:row>45</xdr:row>
      <xdr:rowOff>101600</xdr:rowOff>
    </xdr:to>
    <xdr:cxnSp macro="">
      <xdr:nvCxnSpPr>
        <xdr:cNvPr id="2305190" name="AutoShape 101"/>
        <xdr:cNvCxnSpPr>
          <a:cxnSpLocks noChangeShapeType="1"/>
        </xdr:cNvCxnSpPr>
      </xdr:nvCxnSpPr>
      <xdr:spPr bwMode="auto">
        <a:xfrm flipH="1">
          <a:off x="6159500" y="9677400"/>
          <a:ext cx="1155700" cy="127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787400</xdr:colOff>
      <xdr:row>34</xdr:row>
      <xdr:rowOff>165100</xdr:rowOff>
    </xdr:from>
    <xdr:to>
      <xdr:col>5</xdr:col>
      <xdr:colOff>1028700</xdr:colOff>
      <xdr:row>34</xdr:row>
      <xdr:rowOff>177800</xdr:rowOff>
    </xdr:to>
    <xdr:cxnSp macro="">
      <xdr:nvCxnSpPr>
        <xdr:cNvPr id="4" name="Straight Arrow Connector 3"/>
        <xdr:cNvCxnSpPr/>
      </xdr:nvCxnSpPr>
      <xdr:spPr bwMode="auto">
        <a:xfrm flipH="1" flipV="1">
          <a:off x="4165600" y="6515100"/>
          <a:ext cx="4305300" cy="127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787400</xdr:colOff>
      <xdr:row>33</xdr:row>
      <xdr:rowOff>177800</xdr:rowOff>
    </xdr:from>
    <xdr:to>
      <xdr:col>2</xdr:col>
      <xdr:colOff>800100</xdr:colOff>
      <xdr:row>34</xdr:row>
      <xdr:rowOff>165100</xdr:rowOff>
    </xdr:to>
    <xdr:cxnSp macro="">
      <xdr:nvCxnSpPr>
        <xdr:cNvPr id="6" name="Straight Arrow Connector 5"/>
        <xdr:cNvCxnSpPr/>
      </xdr:nvCxnSpPr>
      <xdr:spPr bwMode="auto">
        <a:xfrm flipV="1">
          <a:off x="4165600" y="6324600"/>
          <a:ext cx="12700" cy="1905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142875</xdr:rowOff>
    </xdr:from>
    <xdr:to>
      <xdr:col>5</xdr:col>
      <xdr:colOff>838200</xdr:colOff>
      <xdr:row>33</xdr:row>
      <xdr:rowOff>114300</xdr:rowOff>
    </xdr:to>
    <xdr:graphicFrame macro="">
      <xdr:nvGraphicFramePr>
        <xdr:cNvPr id="2125209"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59115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219075</xdr:colOff>
      <xdr:row>9</xdr:row>
      <xdr:rowOff>85725</xdr:rowOff>
    </xdr:from>
    <xdr:to>
      <xdr:col>10</xdr:col>
      <xdr:colOff>714375</xdr:colOff>
      <xdr:row>20</xdr:row>
      <xdr:rowOff>38100</xdr:rowOff>
    </xdr:to>
    <xdr:grpSp>
      <xdr:nvGrpSpPr>
        <xdr:cNvPr id="1591155" name="Group 489"/>
        <xdr:cNvGrpSpPr>
          <a:grpSpLocks/>
        </xdr:cNvGrpSpPr>
      </xdr:nvGrpSpPr>
      <xdr:grpSpPr bwMode="auto">
        <a:xfrm>
          <a:off x="4095336" y="4367834"/>
          <a:ext cx="3228561" cy="2047875"/>
          <a:chOff x="414" y="213"/>
          <a:chExt cx="366" cy="250"/>
        </a:xfrm>
      </xdr:grpSpPr>
      <xdr:graphicFrame macro="">
        <xdr:nvGraphicFramePr>
          <xdr:cNvPr id="1591159" name="Chart 31"/>
          <xdr:cNvGraphicFramePr>
            <a:graphicFrameLocks/>
          </xdr:cNvGraphicFramePr>
        </xdr:nvGraphicFramePr>
        <xdr:xfrm>
          <a:off x="414" y="213"/>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591160" name="Picture 477" descr="one"/>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85725</xdr:rowOff>
    </xdr:from>
    <xdr:to>
      <xdr:col>6</xdr:col>
      <xdr:colOff>85725</xdr:colOff>
      <xdr:row>32</xdr:row>
      <xdr:rowOff>66675</xdr:rowOff>
    </xdr:to>
    <xdr:grpSp>
      <xdr:nvGrpSpPr>
        <xdr:cNvPr id="1591156" name="Group 490"/>
        <xdr:cNvGrpSpPr>
          <a:grpSpLocks/>
        </xdr:cNvGrpSpPr>
      </xdr:nvGrpSpPr>
      <xdr:grpSpPr bwMode="auto">
        <a:xfrm>
          <a:off x="0" y="9196595"/>
          <a:ext cx="3961986" cy="2374623"/>
          <a:chOff x="0" y="505"/>
          <a:chExt cx="407" cy="255"/>
        </a:xfrm>
      </xdr:grpSpPr>
      <xdr:graphicFrame macro="">
        <xdr:nvGraphicFramePr>
          <xdr:cNvPr id="159115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591158" name="Picture 487" descr="ok"/>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 y="738"/>
            <a:ext cx="25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47625</xdr:rowOff>
    </xdr:from>
    <xdr:to>
      <xdr:col>10</xdr:col>
      <xdr:colOff>600075</xdr:colOff>
      <xdr:row>16</xdr:row>
      <xdr:rowOff>104775</xdr:rowOff>
    </xdr:to>
    <xdr:graphicFrame macro="">
      <xdr:nvGraphicFramePr>
        <xdr:cNvPr id="21433"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619125</xdr:colOff>
      <xdr:row>9</xdr:row>
      <xdr:rowOff>85725</xdr:rowOff>
    </xdr:from>
    <xdr:to>
      <xdr:col>16</xdr:col>
      <xdr:colOff>752475</xdr:colOff>
      <xdr:row>16</xdr:row>
      <xdr:rowOff>95250</xdr:rowOff>
    </xdr:to>
    <xdr:graphicFrame macro="">
      <xdr:nvGraphicFramePr>
        <xdr:cNvPr id="21435"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542925</xdr:colOff>
      <xdr:row>9</xdr:row>
      <xdr:rowOff>19050</xdr:rowOff>
    </xdr:from>
    <xdr:to>
      <xdr:col>4</xdr:col>
      <xdr:colOff>276225</xdr:colOff>
      <xdr:row>16</xdr:row>
      <xdr:rowOff>9525</xdr:rowOff>
    </xdr:to>
    <xdr:graphicFrame macro="">
      <xdr:nvGraphicFramePr>
        <xdr:cNvPr id="21436"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xdr:cNvGrpSpPr>
          <a:grpSpLocks/>
        </xdr:cNvGrpSpPr>
      </xdr:nvGrpSpPr>
      <xdr:grpSpPr bwMode="auto">
        <a:xfrm>
          <a:off x="7226300" y="9829800"/>
          <a:ext cx="85725" cy="0"/>
          <a:chOff x="595" y="540"/>
          <a:chExt cx="9" cy="9"/>
        </a:xfrm>
      </xdr:grpSpPr>
      <xdr:sp macro="" textlink="">
        <xdr:nvSpPr>
          <xdr:cNvPr id="2514402"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xdr:cNvGrpSpPr>
          <a:grpSpLocks/>
        </xdr:cNvGrpSpPr>
      </xdr:nvGrpSpPr>
      <xdr:grpSpPr bwMode="auto">
        <a:xfrm>
          <a:off x="8207375" y="9829800"/>
          <a:ext cx="82550" cy="0"/>
          <a:chOff x="698" y="540"/>
          <a:chExt cx="9" cy="9"/>
        </a:xfrm>
      </xdr:grpSpPr>
      <xdr:sp macro="" textlink="">
        <xdr:nvSpPr>
          <xdr:cNvPr id="2514400"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xdr:cNvGrpSpPr>
          <a:grpSpLocks/>
        </xdr:cNvGrpSpPr>
      </xdr:nvGrpSpPr>
      <xdr:grpSpPr bwMode="auto">
        <a:xfrm>
          <a:off x="5175250" y="9829800"/>
          <a:ext cx="1758950" cy="0"/>
          <a:chOff x="698" y="540"/>
          <a:chExt cx="9" cy="9"/>
        </a:xfrm>
      </xdr:grpSpPr>
      <xdr:sp macro="" textlink="">
        <xdr:nvSpPr>
          <xdr:cNvPr id="2514398"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xdr:cNvGrpSpPr>
          <a:grpSpLocks/>
        </xdr:cNvGrpSpPr>
      </xdr:nvGrpSpPr>
      <xdr:grpSpPr bwMode="auto">
        <a:xfrm>
          <a:off x="1435100" y="9829800"/>
          <a:ext cx="85725" cy="0"/>
          <a:chOff x="595" y="540"/>
          <a:chExt cx="9" cy="9"/>
        </a:xfrm>
      </xdr:grpSpPr>
      <xdr:sp macro="" textlink="">
        <xdr:nvSpPr>
          <xdr:cNvPr id="2514396"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8" r="C42" connectionId="0">
    <xmlCellPr id="1" uniqueName="1">
      <xmlPr mapId="43" xpath="/ns1:Root/ns1:F2/ns1:Environ__Community_TB_care__Cumulative_Budget__in___" xmlDataType="double"/>
    </xmlCellPr>
  </singleXmlCell>
  <singleXmlCell id="469" r="D42" connectionId="0">
    <xmlCellPr id="1" uniqueName="1">
      <xmlPr mapId="43" xpath="/ns1:Root/ns1:F2/ns1:Environ__Community_TB_care__Cumulative_Expenditures__in___" xmlDataType="double"/>
    </xmlCellPr>
  </singleXmlCell>
  <singleXmlCell id="470" r="C43" connectionId="0">
    <xmlCellPr id="1" uniqueName="1">
      <xmlPr mapId="43" xpath="/ns1:Root/ns1:F2/ns1:_Cumulative_Budget__in____1" xmlDataType="string"/>
    </xmlCellPr>
  </singleXmlCell>
  <singleXmlCell id="471" r="D43" connectionId="0">
    <xmlCellPr id="1" uniqueName="1">
      <xmlPr mapId="43" xpath="/ns1:Root/ns1:F2/ns1:_Cumulative_Expenditures__in____1" xmlDataType="string"/>
    </xmlCellPr>
  </singleXmlCell>
  <singleXmlCell id="472" r="C44" connectionId="0">
    <xmlCellPr id="1" uniqueName="1">
      <xmlPr mapId="43" xpath="/ns1:Root/ns1:F2/ns1:_Cumulative_Budget__in____2" xmlDataType="string"/>
    </xmlCellPr>
  </singleXmlCell>
  <singleXmlCell id="473" r="D44" connectionId="0">
    <xmlCellPr id="1" uniqueName="1">
      <xmlPr mapId="43" xpath="/ns1:Root/ns1:F2/ns1:_Cumulative_Expenditures__in____2" xmlDataType="string"/>
    </xmlCellPr>
  </singleXmlCell>
  <singleXmlCell id="474" r="C45" connectionId="0">
    <xmlCellPr id="1" uniqueName="1">
      <xmlPr mapId="43" xpath="/ns1:Root/ns1:F2/ns1:_Cumulative_Budget__in___" xmlDataType="string"/>
    </xmlCellPr>
  </singleXmlCell>
  <singleXmlCell id="475" r="D45" connectionId="0">
    <xmlCellPr id="1" uniqueName="1">
      <xmlPr mapId="43" xpath="/ns1:Root/ns1:F2/ns1:_Cumulative_Expenditures__in___" xmlDataType="string"/>
    </xmlCellPr>
  </singleXmlCell>
  <singleXmlCell id="476" r="C51" connectionId="0">
    <xmlCellPr id="1" uniqueName="1">
      <xmlPr mapId="43" xpath="/ns1:Root/ns1:F3/ns1:Disbursed_by_Global_Fund_Prior_to_reporting_period__in___" xmlDataType="double"/>
    </xmlCellPr>
  </singleXmlCell>
  <singleXmlCell id="477" r="D51" connectionId="0">
    <xmlCellPr id="1" uniqueName="1">
      <xmlPr mapId="43" xpath="/ns1:Root/ns1:F3/ns1:Disbursed_by_Global_Fund_Reporting_period__in___" xmlDataType="double"/>
    </xmlCellPr>
  </singleXmlCell>
  <singleXmlCell id="478" r="C52" connectionId="0">
    <xmlCellPr id="1" uniqueName="1">
      <xmlPr mapId="43" xpath="/ns1:Root/ns1:F3/ns1:PR_expenditure_and_disbursement_Prior_to_reporting_period__in___" xmlDataType="double"/>
    </xmlCellPr>
  </singleXmlCell>
  <singleXmlCell id="479" r="D52" connectionId="0">
    <xmlCellPr id="1" uniqueName="1">
      <xmlPr mapId="43" xpath="/ns1:Root/ns1:F3/ns1:PR_expenditure_and_disbursement_Reporting_period__in___" xmlDataType="double"/>
    </xmlCellPr>
  </singleXmlCell>
  <singleXmlCell id="480" r="C53" connectionId="0">
    <xmlCellPr id="1" uniqueName="1">
      <xmlPr mapId="43" xpath="/ns1:Root/ns1:F3/ns1:Disbursed_to_SRs_Prior_to_reporting_period__in___" xmlDataType="double"/>
    </xmlCellPr>
  </singleXmlCell>
  <singleXmlCell id="481" r="D53" connectionId="0">
    <xmlCellPr id="1" uniqueName="1">
      <xmlPr mapId="43" xpath="/ns1:Root/ns1:F3/ns1:Disbursed_to_SRs_Reporting_period__in___" xmlDataType="double"/>
    </xmlCellPr>
  </singleXmlCell>
  <singleXmlCell id="482" r="C54" connectionId="0">
    <xmlCellPr id="1" uniqueName="1">
      <xmlPr mapId="43" xpath="/ns1:Root/ns1:F3/ns1:SR_expenditures_Prior_to_reporting_period__in___" xmlDataType="double"/>
    </xmlCellPr>
  </singleXmlCell>
  <singleXmlCell id="483" r="D54" connectionId="0">
    <xmlCellPr id="1" uniqueName="1">
      <xmlPr mapId="43" xpath="/ns1:Root/ns1:F3/ns1:SR_expenditures_Reporting_period__in___" xmlDataType="double"/>
    </xmlCellPr>
  </singleXmlCell>
  <singleXmlCell id="484" r="C61" connectionId="0">
    <xmlCellPr id="1" uniqueName="1">
      <xmlPr mapId="43" xpath="/ns1:Root/ns1:F4/ns1:Days_taken_to_submit_acceptable_PU_DR_to_LFA_Expected__days_" xmlDataType="double"/>
    </xmlCellPr>
  </singleXmlCell>
  <singleXmlCell id="485" r="D61" connectionId="0">
    <xmlCellPr id="1" uniqueName="1">
      <xmlPr mapId="43" xpath="/ns1:Root/ns1:F4/ns1:Days_taken_to_submit_acceptable_PU_DR_to_LFA_Actual__days_" xmlDataType="double"/>
    </xmlCellPr>
  </singleXmlCell>
  <singleXmlCell id="486" r="C62" connectionId="0">
    <xmlCellPr id="1" uniqueName="1">
      <xmlPr mapId="43" xpath="/ns1:Root/ns1:F4/ns1:Days_taken_for_disbursement_to_reach_PR_Expected__days_" xmlDataType="double"/>
    </xmlCellPr>
  </singleXmlCell>
  <singleXmlCell id="487" r="D62" connectionId="0">
    <xmlCellPr id="1" uniqueName="1">
      <xmlPr mapId="43" xpath="/ns1:Root/ns1:F4/ns1:Days_taken_for_disbursement_to_reach_PR_Actual__days_" xmlDataType="double"/>
    </xmlCellPr>
  </singleXmlCell>
  <singleXmlCell id="488" r="C63" connectionId="0">
    <xmlCellPr id="1" uniqueName="1">
      <xmlPr mapId="43" xpath="/ns1:Root/ns1:F4/ns1:Days_taken_for_disbursement_to_reach_SRs__Expected__days_" xmlDataType="double"/>
    </xmlCellPr>
  </singleXmlCell>
  <singleXmlCell id="489" r="D63" connectionId="0">
    <xmlCellPr id="1" uniqueName="1">
      <xmlPr mapId="43" xpath="/ns1:Root/ns1:F4/ns1:Days_taken_for_disbursement_to_reach_SRs__Actual__days_" xmlDataType="double"/>
    </xmlCellPr>
  </singleXmlCell>
  <singleXmlCell id="490" r="B71" connectionId="0">
    <xmlCellPr id="1" uniqueName="1">
      <xmlPr mapId="43" xpath="/ns1:Root/ns1:M1/ns1:Conditions_precedents__CPs__" xmlDataType="string"/>
    </xmlCellPr>
  </singleXmlCell>
  <singleXmlCell id="491" r="D71" connectionId="0">
    <xmlCellPr id="1" uniqueName="1">
      <xmlPr mapId="43" xpath="/ns1:Root/ns1:M1/ns1:Conditions_precedents__CPs__Fulfilled" xmlDataType="double"/>
    </xmlCellPr>
  </singleXmlCell>
  <singleXmlCell id="492" r="E71" connectionId="0">
    <xmlCellPr id="1" uniqueName="1">
      <xmlPr mapId="43" xpath="/ns1:Root/ns1:M1/ns1:Conditions_precedents__CPs__Not_fulfilled__but_within_deadline" xmlDataType="double"/>
    </xmlCellPr>
  </singleXmlCell>
  <singleXmlCell id="493" r="F71" connectionId="0">
    <xmlCellPr id="1" uniqueName="1">
      <xmlPr mapId="43" xpath="/ns1:Root/ns1:M1/ns1:Conditions_precedents__CPs__Not_fulfilled__and_past_the_deadline" xmlDataType="double"/>
    </xmlCellPr>
  </singleXmlCell>
  <singleXmlCell id="494" r="B72" connectionId="0">
    <xmlCellPr id="1" uniqueName="1">
      <xmlPr mapId="43" xpath="/ns1:Root/ns1:M1/ns1:Time_Bound_Actions__TBAs__" xmlDataType="string"/>
    </xmlCellPr>
  </singleXmlCell>
  <singleXmlCell id="495" r="D72" connectionId="0">
    <xmlCellPr id="1" uniqueName="1">
      <xmlPr mapId="43" xpath="/ns1:Root/ns1:M1/ns1:Time_Bound_Actions__TBAs__Fulfilled" xmlDataType="double"/>
    </xmlCellPr>
  </singleXmlCell>
  <singleXmlCell id="496" r="E72" connectionId="0">
    <xmlCellPr id="1" uniqueName="1">
      <xmlPr mapId="43" xpath="/ns1:Root/ns1:M1/ns1:Time_Bound_Actions__TBAs__Not_fulfilled__but_within_deadline" xmlDataType="string"/>
    </xmlCellPr>
  </singleXmlCell>
  <singleXmlCell id="497" r="F72" connectionId="0">
    <xmlCellPr id="1" uniqueName="1">
      <xmlPr mapId="43" xpath="/ns1:Root/ns1:M1/ns1:Time_Bound_Actions__TBAs__Not_fulfilled__and_past_the_deadline" xmlDataType="double"/>
    </xmlCellPr>
  </singleXmlCell>
  <singleXmlCell id="498" r="C78" connectionId="0">
    <xmlCellPr id="1" uniqueName="1">
      <xmlPr mapId="43" xpath="/ns1:Root/ns1:M2/ns1:PMU_Planned" xmlDataType="double"/>
    </xmlCellPr>
  </singleXmlCell>
  <singleXmlCell id="499" r="D78" connectionId="0">
    <xmlCellPr id="1" uniqueName="1">
      <xmlPr mapId="43" xpath="/ns1:Root/ns1:M2/ns1:PMU_Filled" xmlDataType="double"/>
    </xmlCellPr>
  </singleXmlCell>
  <singleXmlCell id="500" r="C83" connectionId="0">
    <xmlCellPr id="1" uniqueName="1">
      <xmlPr mapId="43" xpath="/ns1:Root/ns1:M3/ns1:SRs_Identified" xmlDataType="double"/>
    </xmlCellPr>
  </singleXmlCell>
  <singleXmlCell id="501" r="D83" connectionId="0">
    <xmlCellPr id="1" uniqueName="1">
      <xmlPr mapId="43" xpath="/ns1:Root/ns1:M3/ns1:SRs_Assessed" xmlDataType="double"/>
    </xmlCellPr>
  </singleXmlCell>
  <singleXmlCell id="502" r="E83" connectionId="0">
    <xmlCellPr id="1" uniqueName="1">
      <xmlPr mapId="43" xpath="/ns1:Root/ns1:M3/ns1:SRs_Approved" xmlDataType="double"/>
    </xmlCellPr>
  </singleXmlCell>
  <singleXmlCell id="503" r="F83" connectionId="0">
    <xmlCellPr id="1" uniqueName="1">
      <xmlPr mapId="43" xpath="/ns1:Root/ns1:M3/ns1:SRs_Signed" xmlDataType="double"/>
    </xmlCellPr>
  </singleXmlCell>
  <singleXmlCell id="504" r="G83" connectionId="0">
    <xmlCellPr id="1" uniqueName="1">
      <xmlPr mapId="43" xpath="/ns1:Root/ns1:M3/ns1:SRs_Receiving_Funding" xmlDataType="double"/>
    </xmlCellPr>
  </singleXmlCell>
  <singleXmlCell id="506" r="C88" connectionId="0">
    <xmlCellPr id="1" uniqueName="1">
      <xmlPr mapId="43" xpath="/ns1:Root/ns1:M4/ns1:SSR_to_SR__IR_____Expected" xmlDataType="string"/>
    </xmlCellPr>
  </singleXmlCell>
  <singleXmlCell id="507" r="D88" connectionId="0">
    <xmlCellPr id="1" uniqueName="1">
      <xmlPr mapId="43" xpath="/ns1:Root/ns1:M4/ns1:SSR_to_SR__IR____Received" xmlDataType="string"/>
    </xmlCellPr>
  </singleXmlCell>
  <singleXmlCell id="509" r="C89" connectionId="0">
    <xmlCellPr id="1" uniqueName="1">
      <xmlPr mapId="43" xpath="/ns1:Root/ns1:M4/ns1:SRs__IRs__to_PR____Expected" xmlDataType="double"/>
    </xmlCellPr>
  </singleXmlCell>
  <singleXmlCell id="510" r="D89" connectionId="0">
    <xmlCellPr id="1" uniqueName="1">
      <xmlPr mapId="43" xpath="/ns1:Root/ns1:M4/ns1:SRs__IRs__to_PR___Received" xmlDataType="double"/>
    </xmlCellPr>
  </singleXmlCell>
  <singleXmlCell id="511" r="C94" connectionId="0">
    <xmlCellPr id="1" uniqueName="1">
      <xmlPr mapId="43" xpath="/ns1:Root/ns1:M5/ns1:Budget_Approved__P1" xmlDataType="double"/>
    </xmlCellPr>
  </singleXmlCell>
  <singleXmlCell id="512" r="D94" connectionId="0">
    <xmlCellPr id="1" uniqueName="1">
      <xmlPr mapId="43" xpath="/ns1:Root/ns1:M5/ns1:Budget_Approved__P2" xmlDataType="double"/>
    </xmlCellPr>
  </singleXmlCell>
  <singleXmlCell id="513" r="E94" connectionId="0">
    <xmlCellPr id="1" uniqueName="1">
      <xmlPr mapId="43" xpath="/ns1:Root/ns1:M5/ns1:Budget_Approved__P3" xmlDataType="double"/>
    </xmlCellPr>
  </singleXmlCell>
  <singleXmlCell id="514" r="F94" connectionId="0">
    <xmlCellPr id="1" uniqueName="1">
      <xmlPr mapId="43" xpath="/ns1:Root/ns1:M5/ns1:Budget_Approved__P4" xmlDataType="double"/>
    </xmlCellPr>
  </singleXmlCell>
  <singleXmlCell id="515" r="G94" connectionId="0">
    <xmlCellPr id="1" uniqueName="1">
      <xmlPr mapId="43" xpath="/ns1:Root/ns1:M5/ns1:Budget_Approved__P5" xmlDataType="double"/>
    </xmlCellPr>
  </singleXmlCell>
  <singleXmlCell id="516" r="H94" connectionId="0">
    <xmlCellPr id="1" uniqueName="1">
      <xmlPr mapId="43" xpath="/ns1:Root/ns1:M5/ns1:Budget_Approved__P6" xmlDataType="double"/>
    </xmlCellPr>
  </singleXmlCell>
  <singleXmlCell id="517" r="I94" connectionId="0">
    <xmlCellPr id="1" uniqueName="1">
      <xmlPr mapId="43" xpath="/ns1:Root/ns1:M5/ns1:Budget_Approved__P7" xmlDataType="double"/>
    </xmlCellPr>
  </singleXmlCell>
  <singleXmlCell id="518" r="J94" connectionId="0">
    <xmlCellPr id="1" uniqueName="1">
      <xmlPr mapId="43" xpath="/ns1:Root/ns1:M5/ns1:Budget_Approved__P8" xmlDataType="double"/>
    </xmlCellPr>
  </singleXmlCell>
  <singleXmlCell id="519" r="K94" connectionId="0">
    <xmlCellPr id="1" uniqueName="1">
      <xmlPr mapId="43" xpath="/ns1:Root/ns1:M5/ns1:Budget_Approved__P9" xmlDataType="double"/>
    </xmlCellPr>
  </singleXmlCell>
  <singleXmlCell id="520" r="L94" connectionId="0">
    <xmlCellPr id="1" uniqueName="1">
      <xmlPr mapId="43" xpath="/ns1:Root/ns1:M5/ns1:Budget_Approved__P10" xmlDataType="double"/>
    </xmlCellPr>
  </singleXmlCell>
  <singleXmlCell id="521" r="M94" connectionId="0">
    <xmlCellPr id="1" uniqueName="1">
      <xmlPr mapId="43" xpath="/ns1:Root/ns1:M5/ns1:Budget_Approved__P11" xmlDataType="double"/>
    </xmlCellPr>
  </singleXmlCell>
  <singleXmlCell id="522" r="N94" connectionId="0">
    <xmlCellPr id="1" uniqueName="1">
      <xmlPr mapId="43" xpath="/ns1:Root/ns1:M5/ns1:Budget_Approved__P12" xmlDataType="double"/>
    </xmlCellPr>
  </singleXmlCell>
  <singleXmlCell id="523" r="C95" connectionId="0">
    <xmlCellPr id="1" uniqueName="1">
      <xmlPr mapId="43" xpath="/ns1:Root/ns1:M5/ns1:Obligations_P1" xmlDataType="double"/>
    </xmlCellPr>
  </singleXmlCell>
  <singleXmlCell id="524" r="D95" connectionId="0">
    <xmlCellPr id="1" uniqueName="1">
      <xmlPr mapId="43" xpath="/ns1:Root/ns1:M5/ns1:Obligations_P2" xmlDataType="double"/>
    </xmlCellPr>
  </singleXmlCell>
  <singleXmlCell id="525" r="E95" connectionId="0">
    <xmlCellPr id="1" uniqueName="1">
      <xmlPr mapId="43" xpath="/ns1:Root/ns1:M5/ns1:Obligations_P3" xmlDataType="double"/>
    </xmlCellPr>
  </singleXmlCell>
  <singleXmlCell id="526" r="F95" connectionId="0">
    <xmlCellPr id="1" uniqueName="1">
      <xmlPr mapId="43" xpath="/ns1:Root/ns1:M5/ns1:Obligations_P4" xmlDataType="double"/>
    </xmlCellPr>
  </singleXmlCell>
  <singleXmlCell id="527" r="G95" connectionId="0">
    <xmlCellPr id="1" uniqueName="1">
      <xmlPr mapId="43" xpath="/ns1:Root/ns1:M5/ns1:Obligations_P5" xmlDataType="double"/>
    </xmlCellPr>
  </singleXmlCell>
  <singleXmlCell id="528" r="H95" connectionId="0">
    <xmlCellPr id="1" uniqueName="1">
      <xmlPr mapId="43" xpath="/ns1:Root/ns1:M5/ns1:Obligations_P6" xmlDataType="double"/>
    </xmlCellPr>
  </singleXmlCell>
  <singleXmlCell id="529" r="I95" connectionId="0">
    <xmlCellPr id="1" uniqueName="1">
      <xmlPr mapId="43" xpath="/ns1:Root/ns1:M5/ns1:Obligations_P7" xmlDataType="double"/>
    </xmlCellPr>
  </singleXmlCell>
  <singleXmlCell id="530" r="J95" connectionId="0">
    <xmlCellPr id="1" uniqueName="1">
      <xmlPr mapId="43" xpath="/ns1:Root/ns1:M5/ns1:Obligations_P8" xmlDataType="double"/>
    </xmlCellPr>
  </singleXmlCell>
  <singleXmlCell id="531" r="K95" connectionId="0">
    <xmlCellPr id="1" uniqueName="1">
      <xmlPr mapId="43" xpath="/ns1:Root/ns1:M5/ns1:Obligations_P9" xmlDataType="double"/>
    </xmlCellPr>
  </singleXmlCell>
  <singleXmlCell id="532" r="L95" connectionId="0">
    <xmlCellPr id="1" uniqueName="1">
      <xmlPr mapId="43" xpath="/ns1:Root/ns1:M5/ns1:Obligations_P10" xmlDataType="double"/>
    </xmlCellPr>
  </singleXmlCell>
  <singleXmlCell id="533" r="M95" connectionId="0">
    <xmlCellPr id="1" uniqueName="1">
      <xmlPr mapId="43" xpath="/ns1:Root/ns1:M5/ns1:Obligations_P11" xmlDataType="double"/>
    </xmlCellPr>
  </singleXmlCell>
  <singleXmlCell id="534" r="N95" connectionId="0">
    <xmlCellPr id="1" uniqueName="1">
      <xmlPr mapId="43" xpath="/ns1:Root/ns1:M5/ns1:Obligations_P12" xmlDataType="double"/>
    </xmlCellPr>
  </singleXmlCell>
  <singleXmlCell id="535" r="C96" connectionId="0">
    <xmlCellPr id="1" uniqueName="1">
      <xmlPr mapId="43" xpath="/ns1:Root/ns1:M5/ns1:Expenditures_P1" xmlDataType="double"/>
    </xmlCellPr>
  </singleXmlCell>
  <singleXmlCell id="536" r="D96" connectionId="0">
    <xmlCellPr id="1" uniqueName="1">
      <xmlPr mapId="43" xpath="/ns1:Root/ns1:M5/ns1:Expenditures_P2" xmlDataType="double"/>
    </xmlCellPr>
  </singleXmlCell>
  <singleXmlCell id="537" r="E96" connectionId="0">
    <xmlCellPr id="1" uniqueName="1">
      <xmlPr mapId="43" xpath="/ns1:Root/ns1:M5/ns1:Expenditures_P3" xmlDataType="double"/>
    </xmlCellPr>
  </singleXmlCell>
  <singleXmlCell id="538" r="F96" connectionId="0">
    <xmlCellPr id="1" uniqueName="1">
      <xmlPr mapId="43" xpath="/ns1:Root/ns1:M5/ns1:Expenditures_P4" xmlDataType="double"/>
    </xmlCellPr>
  </singleXmlCell>
  <singleXmlCell id="539" r="G96" connectionId="0">
    <xmlCellPr id="1" uniqueName="1">
      <xmlPr mapId="43" xpath="/ns1:Root/ns1:M5/ns1:Expenditures_P5" xmlDataType="double"/>
    </xmlCellPr>
  </singleXmlCell>
  <singleXmlCell id="540" r="H96" connectionId="0">
    <xmlCellPr id="1" uniqueName="1">
      <xmlPr mapId="43" xpath="/ns1:Root/ns1:M5/ns1:Expenditures_P6" xmlDataType="double"/>
    </xmlCellPr>
  </singleXmlCell>
  <singleXmlCell id="541" r="I96" connectionId="0">
    <xmlCellPr id="1" uniqueName="1">
      <xmlPr mapId="43" xpath="/ns1:Root/ns1:M5/ns1:Expenditures_P7" xmlDataType="double"/>
    </xmlCellPr>
  </singleXmlCell>
  <singleXmlCell id="542" r="J96" connectionId="0">
    <xmlCellPr id="1" uniqueName="1">
      <xmlPr mapId="43" xpath="/ns1:Root/ns1:M5/ns1:Expenditures_P8" xmlDataType="double"/>
    </xmlCellPr>
  </singleXmlCell>
  <singleXmlCell id="543" r="K96" connectionId="0">
    <xmlCellPr id="1" uniqueName="1">
      <xmlPr mapId="43" xpath="/ns1:Root/ns1:M5/ns1:Expenditures_P9" xmlDataType="double"/>
    </xmlCellPr>
  </singleXmlCell>
  <singleXmlCell id="544" r="L96" connectionId="0">
    <xmlCellPr id="1" uniqueName="1">
      <xmlPr mapId="43" xpath="/ns1:Root/ns1:M5/ns1:Expenditures_P10" xmlDataType="double"/>
    </xmlCellPr>
  </singleXmlCell>
  <singleXmlCell id="545" r="M96" connectionId="0">
    <xmlCellPr id="1" uniqueName="1">
      <xmlPr mapId="43" xpath="/ns1:Root/ns1:M5/ns1:Expenditures_P11" xmlDataType="double"/>
    </xmlCellPr>
  </singleXmlCell>
  <singleXmlCell id="546" r="N96" connectionId="0">
    <xmlCellPr id="1" uniqueName="1">
      <xmlPr mapId="43" xpath="/ns1:Root/ns1:M5/ns1:Expenditures_P12" xmlDataType="double"/>
    </xmlCellPr>
  </singleXmlCell>
  <singleXmlCell id="547" r="C107" connectionId="0">
    <xmlCellPr id="1" uniqueName="1">
      <xmlPr mapId="43" xpath="/ns1:Root/ns1:M6/ns1:HIV___AIDS_Products" xmlDataType="string"/>
    </xmlCellPr>
  </singleXmlCell>
  <singleXmlCell id="548" r="D107" connectionId="0">
    <xmlCellPr id="1" uniqueName="1">
      <xmlPr mapId="43" xpath="/ns1:Root/ns1:M6/ns1:HIV___AIDS__1__Number_of_tablets_per_patient_per_day__Review_country_treatment_guidelines_" xmlDataType="double"/>
    </xmlCellPr>
  </singleXmlCell>
  <singleXmlCell id="549" r="F107" connectionId="0">
    <xmlCellPr id="1" uniqueName="1">
      <xmlPr mapId="43" xpath="/ns1:Root/ns1:M6/ns1:HIV___AIDS__3__Total_patients_in_treatment" xmlDataType="double"/>
    </xmlCellPr>
  </singleXmlCell>
  <singleXmlCell id="550" r="H107" connectionId="0">
    <xmlCellPr id="1" uniqueName="1">
      <xmlPr mapId="43" xpath="/ns1:Root/ns1:M6/ns1:HIV___AIDS__5__Current_stock_in_central_warehouse__that_does_not_expire_within_the_next_3_months_" xmlDataType="double"/>
    </xmlCellPr>
  </singleXmlCell>
  <singleXmlCell id="551" r="J107" connectionId="0">
    <xmlCellPr id="1" uniqueName="1">
      <xmlPr mapId="43" xpath="/ns1:Root/ns1:M6/ns1:HIV___AIDS__7__Level_of_safety_stock__expressed_in_months_and_defined_by_country__" xmlDataType="double"/>
    </xmlCellPr>
  </singleXmlCell>
  <singleXmlCell id="552" r="C108" connectionId="0">
    <xmlCellPr id="1" uniqueName="1">
      <xmlPr mapId="43" xpath="/ns1:Root/ns1:M6/ns1:_Products_1" xmlDataType="string"/>
    </xmlCellPr>
  </singleXmlCell>
  <singleXmlCell id="553" r="D108" connectionId="0">
    <xmlCellPr id="1" uniqueName="1">
      <xmlPr mapId="43" xpath="/ns1:Root/ns1:M6/ns1:__1__Number_of_tablets_per_patient_per_day__Review_country_treatment_guidelines__1" xmlDataType="double"/>
    </xmlCellPr>
  </singleXmlCell>
  <singleXmlCell id="554" r="F108" connectionId="0">
    <xmlCellPr id="1" uniqueName="1">
      <xmlPr mapId="43" xpath="/ns1:Root/ns1:M6/ns1:__3__Total_patients_in_treatment_1" xmlDataType="double"/>
    </xmlCellPr>
  </singleXmlCell>
  <singleXmlCell id="555" r="H108" connectionId="0">
    <xmlCellPr id="1" uniqueName="1">
      <xmlPr mapId="43" xpath="/ns1:Root/ns1:M6/ns1:__5__Current_stock_in_central_warehouse__that_does_not_expire_within_the_next_3_months__1" xmlDataType="double"/>
    </xmlCellPr>
  </singleXmlCell>
  <singleXmlCell id="556" r="J108" connectionId="0">
    <xmlCellPr id="1" uniqueName="1">
      <xmlPr mapId="43" xpath="/ns1:Root/ns1:M6/ns1:__7__Level_of_safety_stock__expressed_in_months_and_defined_by_country___1" xmlDataType="double"/>
    </xmlCellPr>
  </singleXmlCell>
  <singleXmlCell id="557" r="C109" connectionId="0">
    <xmlCellPr id="1" uniqueName="1">
      <xmlPr mapId="43" xpath="/ns1:Root/ns1:M6/ns1:_Products_2" xmlDataType="string"/>
    </xmlCellPr>
  </singleXmlCell>
  <singleXmlCell id="558" r="D109" connectionId="0">
    <xmlCellPr id="1" uniqueName="1">
      <xmlPr mapId="43" xpath="/ns1:Root/ns1:M6/ns1:__1__Number_of_tablets_per_patient_per_day__Review_country_treatment_guidelines__2" xmlDataType="double"/>
    </xmlCellPr>
  </singleXmlCell>
  <singleXmlCell id="559" r="F109" connectionId="0">
    <xmlCellPr id="1" uniqueName="1">
      <xmlPr mapId="43" xpath="/ns1:Root/ns1:M6/ns1:__3__Total_patients_in_treatment_2" xmlDataType="double"/>
    </xmlCellPr>
  </singleXmlCell>
  <singleXmlCell id="560" r="H109" connectionId="0">
    <xmlCellPr id="1" uniqueName="1">
      <xmlPr mapId="43" xpath="/ns1:Root/ns1:M6/ns1:__5__Current_stock_in_central_warehouse__that_does_not_expire_within_the_next_3_months__2" xmlDataType="double"/>
    </xmlCellPr>
  </singleXmlCell>
  <singleXmlCell id="561" r="J109" connectionId="0">
    <xmlCellPr id="1" uniqueName="1">
      <xmlPr mapId="43" xpath="/ns1:Root/ns1:M6/ns1:__7__Level_of_safety_stock__expressed_in_months_and_defined_by_country___2" xmlDataType="double"/>
    </xmlCellPr>
  </singleXmlCell>
  <singleXmlCell id="562" r="C110" connectionId="0">
    <xmlCellPr id="1" uniqueName="1">
      <xmlPr mapId="43" xpath="/ns1:Root/ns1:M6/ns1:_Products" xmlDataType="string"/>
    </xmlCellPr>
  </singleXmlCell>
  <singleXmlCell id="563" r="D110" connectionId="0">
    <xmlCellPr id="1" uniqueName="1">
      <xmlPr mapId="43" xpath="/ns1:Root/ns1:M6/ns1:__1__Number_of_tablets_per_patient_per_day__Review_country_treatment_guidelines_" xmlDataType="double"/>
    </xmlCellPr>
  </singleXmlCell>
  <singleXmlCell id="564" r="F110" connectionId="0">
    <xmlCellPr id="1" uniqueName="1">
      <xmlPr mapId="43" xpath="/ns1:Root/ns1:M6/ns1:__3__Total_patients_in_treatment" xmlDataType="double"/>
    </xmlCellPr>
  </singleXmlCell>
  <singleXmlCell id="565" r="H110" connectionId="0">
    <xmlCellPr id="1" uniqueName="1">
      <xmlPr mapId="43" xpath="/ns1:Root/ns1:M6/ns1:__5__Current_stock_in_central_warehouse__that_does_not_expire_within_the_next_3_months_" xmlDataType="double"/>
    </xmlCellPr>
  </singleXmlCell>
  <singleXmlCell id="566" r="J110" connectionId="0">
    <xmlCellPr id="1" uniqueName="1">
      <xmlPr mapId="43" xpath="/ns1:Root/ns1:M6/ns1:__7__Level_of_safety_stock__expressed_in_months_and_defined_by_country__" xmlDataType="double"/>
    </xmlCellPr>
  </singleXmlCell>
  <singleXmlCell id="567" r="H116" connectionId="0">
    <xmlCellPr id="1" uniqueName="1">
      <xmlPr mapId="43" xpath="/ns1:Root/ns1:Prog/ns1:Target_P1_1" xmlDataType="double"/>
    </xmlCellPr>
  </singleXmlCell>
  <singleXmlCell id="568" r="I116" connectionId="0">
    <xmlCellPr id="1" uniqueName="1">
      <xmlPr mapId="43" xpath="/ns1:Root/ns1:Prog/ns1:Target_P2_1" xmlDataType="double"/>
    </xmlCellPr>
  </singleXmlCell>
  <singleXmlCell id="569" r="J116" connectionId="0">
    <xmlCellPr id="1" uniqueName="1">
      <xmlPr mapId="43" xpath="/ns1:Root/ns1:Prog/ns1:Target_P3_1" xmlDataType="double"/>
    </xmlCellPr>
  </singleXmlCell>
  <singleXmlCell id="570" r="K116" connectionId="0">
    <xmlCellPr id="1" uniqueName="1">
      <xmlPr mapId="43" xpath="/ns1:Root/ns1:Prog/ns1:Target_P4_1" xmlDataType="double"/>
    </xmlCellPr>
  </singleXmlCell>
  <singleXmlCell id="571" r="L116" connectionId="0">
    <xmlCellPr id="1" uniqueName="1">
      <xmlPr mapId="43" xpath="/ns1:Root/ns1:Prog/ns1:Target_P5_1" xmlDataType="double"/>
    </xmlCellPr>
  </singleXmlCell>
  <singleXmlCell id="572" r="M116" connectionId="0">
    <xmlCellPr id="1" uniqueName="1">
      <xmlPr mapId="43" xpath="/ns1:Root/ns1:Prog/ns1:Target_P6_1" xmlDataType="double"/>
    </xmlCellPr>
  </singleXmlCell>
  <singleXmlCell id="573" r="N116" connectionId="0">
    <xmlCellPr id="1" uniqueName="1">
      <xmlPr mapId="43" xpath="/ns1:Root/ns1:Prog/ns1:Target_P7_1" xmlDataType="double"/>
    </xmlCellPr>
  </singleXmlCell>
  <singleXmlCell id="574" r="O116" connectionId="0">
    <xmlCellPr id="1" uniqueName="1">
      <xmlPr mapId="43" xpath="/ns1:Root/ns1:Prog/ns1:Target_P8_1" xmlDataType="double"/>
    </xmlCellPr>
  </singleXmlCell>
  <singleXmlCell id="575" r="P116" connectionId="0">
    <xmlCellPr id="1" uniqueName="1">
      <xmlPr mapId="43" xpath="/ns1:Root/ns1:Prog/ns1:Target_P9_1" xmlDataType="double"/>
    </xmlCellPr>
  </singleXmlCell>
  <singleXmlCell id="576" r="Q116" connectionId="0">
    <xmlCellPr id="1" uniqueName="1">
      <xmlPr mapId="43" xpath="/ns1:Root/ns1:Prog/ns1:Target_P10_1" xmlDataType="double"/>
    </xmlCellPr>
  </singleXmlCell>
  <singleXmlCell id="577" r="R116" connectionId="0">
    <xmlCellPr id="1" uniqueName="1">
      <xmlPr mapId="43" xpath="/ns1:Root/ns1:Prog/ns1:Target_P11_1" xmlDataType="double"/>
    </xmlCellPr>
  </singleXmlCell>
  <singleXmlCell id="578" r="S116" connectionId="0">
    <xmlCellPr id="1" uniqueName="1">
      <xmlPr mapId="43" xpath="/ns1:Root/ns1:Prog/ns1:Target_P12_1" xmlDataType="double"/>
    </xmlCellPr>
  </singleXmlCell>
  <singleXmlCell id="579" r="H117" connectionId="0">
    <xmlCellPr id="1" uniqueName="1">
      <xmlPr mapId="43" xpath="/ns1:Root/ns1:Prog/ns1:Achieved__P1_1" xmlDataType="double"/>
    </xmlCellPr>
  </singleXmlCell>
  <singleXmlCell id="580" r="I117" connectionId="0">
    <xmlCellPr id="1" uniqueName="1">
      <xmlPr mapId="43" xpath="/ns1:Root/ns1:Prog/ns1:Achieved__P2_1" xmlDataType="double"/>
    </xmlCellPr>
  </singleXmlCell>
  <singleXmlCell id="581" r="J117" connectionId="0">
    <xmlCellPr id="1" uniqueName="1">
      <xmlPr mapId="43" xpath="/ns1:Root/ns1:Prog/ns1:Achieved__P3_1" xmlDataType="double"/>
    </xmlCellPr>
  </singleXmlCell>
  <singleXmlCell id="582" r="K117" connectionId="0">
    <xmlCellPr id="1" uniqueName="1">
      <xmlPr mapId="43" xpath="/ns1:Root/ns1:Prog/ns1:Achieved__P4_1" xmlDataType="double"/>
    </xmlCellPr>
  </singleXmlCell>
  <singleXmlCell id="583" r="L117" connectionId="0">
    <xmlCellPr id="1" uniqueName="1">
      <xmlPr mapId="43" xpath="/ns1:Root/ns1:Prog/ns1:Achieved__P5_1" xmlDataType="string"/>
    </xmlCellPr>
  </singleXmlCell>
  <singleXmlCell id="584" r="M117" connectionId="0">
    <xmlCellPr id="1" uniqueName="1">
      <xmlPr mapId="43" xpath="/ns1:Root/ns1:Prog/ns1:Achieved__P6_1" xmlDataType="string"/>
    </xmlCellPr>
  </singleXmlCell>
  <singleXmlCell id="585" r="N117" connectionId="0">
    <xmlCellPr id="1" uniqueName="1">
      <xmlPr mapId="43" xpath="/ns1:Root/ns1:Prog/ns1:Achieved__P7_1" xmlDataType="string"/>
    </xmlCellPr>
  </singleXmlCell>
  <singleXmlCell id="586" r="O117" connectionId="0">
    <xmlCellPr id="1" uniqueName="1">
      <xmlPr mapId="43" xpath="/ns1:Root/ns1:Prog/ns1:Achieved__P8_1" xmlDataType="string"/>
    </xmlCellPr>
  </singleXmlCell>
  <singleXmlCell id="587" r="P117" connectionId="0">
    <xmlCellPr id="1" uniqueName="1">
      <xmlPr mapId="43" xpath="/ns1:Root/ns1:Prog/ns1:Achieved__P9_1" xmlDataType="string"/>
    </xmlCellPr>
  </singleXmlCell>
  <singleXmlCell id="588" r="Q117" connectionId="0">
    <xmlCellPr id="1" uniqueName="1">
      <xmlPr mapId="43" xpath="/ns1:Root/ns1:Prog/ns1:Achieved__P10_1" xmlDataType="string"/>
    </xmlCellPr>
  </singleXmlCell>
  <singleXmlCell id="589" r="R117" connectionId="0">
    <xmlCellPr id="1" uniqueName="1">
      <xmlPr mapId="43" xpath="/ns1:Root/ns1:Prog/ns1:Achieved__P11_1" xmlDataType="string"/>
    </xmlCellPr>
  </singleXmlCell>
  <singleXmlCell id="590" r="S117" connectionId="0">
    <xmlCellPr id="1" uniqueName="1">
      <xmlPr mapId="43" xpath="/ns1:Root/ns1:Prog/ns1:Achieved__P12_1" xmlDataType="string"/>
    </xmlCellPr>
  </singleXmlCell>
  <singleXmlCell id="599" r="Q118" connectionId="0">
    <xmlCellPr id="1" uniqueName="1">
      <xmlPr mapId="43" xpath="/ns1:Root/ns1:Prog/ns1:Target_P10_2" xmlDataType="double"/>
    </xmlCellPr>
  </singleXmlCell>
  <singleXmlCell id="600" r="R118" connectionId="0">
    <xmlCellPr id="1" uniqueName="1">
      <xmlPr mapId="43" xpath="/ns1:Root/ns1:Prog/ns1:Target_P11_2" xmlDataType="double"/>
    </xmlCellPr>
  </singleXmlCell>
  <singleXmlCell id="601" r="S118" connectionId="0">
    <xmlCellPr id="1" uniqueName="1">
      <xmlPr mapId="43" xpath="/ns1:Root/ns1:Prog/ns1:Target_P12_2" xmlDataType="double"/>
    </xmlCellPr>
  </singleXmlCell>
  <singleXmlCell id="611" r="Q119" connectionId="0">
    <xmlCellPr id="1" uniqueName="1">
      <xmlPr mapId="43" xpath="/ns1:Root/ns1:Prog/ns1:Achieved__P10_2" xmlDataType="string"/>
    </xmlCellPr>
  </singleXmlCell>
  <singleXmlCell id="612" r="R119" connectionId="0">
    <xmlCellPr id="1" uniqueName="1">
      <xmlPr mapId="43" xpath="/ns1:Root/ns1:Prog/ns1:Achieved__P11_2" xmlDataType="string"/>
    </xmlCellPr>
  </singleXmlCell>
  <singleXmlCell id="613" r="S119" connectionId="0">
    <xmlCellPr id="1" uniqueName="1">
      <xmlPr mapId="43" xpath="/ns1:Root/ns1:Prog/ns1:Achieved__P12_2" xmlDataType="string"/>
    </xmlCellPr>
  </singleXmlCell>
  <singleXmlCell id="614" r="H120" connectionId="0">
    <xmlCellPr id="1" uniqueName="1">
      <xmlPr mapId="43" xpath="/ns1:Root/ns1:Prog/ns1:Target_P1_3" xmlDataType="double"/>
    </xmlCellPr>
  </singleXmlCell>
  <singleXmlCell id="615" r="I120" connectionId="0">
    <xmlCellPr id="1" uniqueName="1">
      <xmlPr mapId="43" xpath="/ns1:Root/ns1:Prog/ns1:Target_P2_3" xmlDataType="double"/>
    </xmlCellPr>
  </singleXmlCell>
  <singleXmlCell id="616" r="J120" connectionId="0">
    <xmlCellPr id="1" uniqueName="1">
      <xmlPr mapId="43" xpath="/ns1:Root/ns1:Prog/ns1:Target_P3_3" xmlDataType="double"/>
    </xmlCellPr>
  </singleXmlCell>
  <singleXmlCell id="617" r="K120" connectionId="0">
    <xmlCellPr id="1" uniqueName="1">
      <xmlPr mapId="43" xpath="/ns1:Root/ns1:Prog/ns1:Target_P4_3" xmlDataType="double"/>
    </xmlCellPr>
  </singleXmlCell>
  <singleXmlCell id="618" r="L120" connectionId="0">
    <xmlCellPr id="1" uniqueName="1">
      <xmlPr mapId="43" xpath="/ns1:Root/ns1:Prog/ns1:Target_P5_3" xmlDataType="double"/>
    </xmlCellPr>
  </singleXmlCell>
  <singleXmlCell id="619" r="M120" connectionId="0">
    <xmlCellPr id="1" uniqueName="1">
      <xmlPr mapId="43" xpath="/ns1:Root/ns1:Prog/ns1:Target_P6_3" xmlDataType="double"/>
    </xmlCellPr>
  </singleXmlCell>
  <singleXmlCell id="620" r="N120" connectionId="0">
    <xmlCellPr id="1" uniqueName="1">
      <xmlPr mapId="43" xpath="/ns1:Root/ns1:Prog/ns1:Target_P7_3" xmlDataType="double"/>
    </xmlCellPr>
  </singleXmlCell>
  <singleXmlCell id="621" r="O120" connectionId="0">
    <xmlCellPr id="1" uniqueName="1">
      <xmlPr mapId="43" xpath="/ns1:Root/ns1:Prog/ns1:Target_P8_3" xmlDataType="double"/>
    </xmlCellPr>
  </singleXmlCell>
  <singleXmlCell id="622" r="P120" connectionId="0">
    <xmlCellPr id="1" uniqueName="1">
      <xmlPr mapId="43" xpath="/ns1:Root/ns1:Prog/ns1:Target_P9_3" xmlDataType="double"/>
    </xmlCellPr>
  </singleXmlCell>
  <singleXmlCell id="623" r="Q120" connectionId="0">
    <xmlCellPr id="1" uniqueName="1">
      <xmlPr mapId="43" xpath="/ns1:Root/ns1:Prog/ns1:Target_P10_3" xmlDataType="string"/>
    </xmlCellPr>
  </singleXmlCell>
  <singleXmlCell id="624" r="R120" connectionId="0">
    <xmlCellPr id="1" uniqueName="1">
      <xmlPr mapId="43" xpath="/ns1:Root/ns1:Prog/ns1:Target_P11_3" xmlDataType="string"/>
    </xmlCellPr>
  </singleXmlCell>
  <singleXmlCell id="625" r="S120" connectionId="0">
    <xmlCellPr id="1" uniqueName="1">
      <xmlPr mapId="43" xpath="/ns1:Root/ns1:Prog/ns1:Target_P12_3" xmlDataType="double"/>
    </xmlCellPr>
  </singleXmlCell>
  <singleXmlCell id="626" r="H121" connectionId="0">
    <xmlCellPr id="1" uniqueName="1">
      <xmlPr mapId="43" xpath="/ns1:Root/ns1:Prog/ns1:Achieved__P1_3" xmlDataType="string"/>
    </xmlCellPr>
  </singleXmlCell>
  <singleXmlCell id="627" r="I121" connectionId="0">
    <xmlCellPr id="1" uniqueName="1">
      <xmlPr mapId="43" xpath="/ns1:Root/ns1:Prog/ns1:Achieved__P2_3" xmlDataType="double"/>
    </xmlCellPr>
  </singleXmlCell>
  <singleXmlCell id="628" r="J121" connectionId="0">
    <xmlCellPr id="1" uniqueName="1">
      <xmlPr mapId="43" xpath="/ns1:Root/ns1:Prog/ns1:Achieved__P3_3" xmlDataType="string"/>
    </xmlCellPr>
  </singleXmlCell>
  <singleXmlCell id="629" r="K121" connectionId="0">
    <xmlCellPr id="1" uniqueName="1">
      <xmlPr mapId="43" xpath="/ns1:Root/ns1:Prog/ns1:Achieved__P4_3" xmlDataType="double"/>
    </xmlCellPr>
  </singleXmlCell>
  <singleXmlCell id="630" r="L121" connectionId="0">
    <xmlCellPr id="1" uniqueName="1">
      <xmlPr mapId="43" xpath="/ns1:Root/ns1:Prog/ns1:Achieved__P5_3" xmlDataType="string"/>
    </xmlCellPr>
  </singleXmlCell>
  <singleXmlCell id="631" r="M121" connectionId="0">
    <xmlCellPr id="1" uniqueName="1">
      <xmlPr mapId="43" xpath="/ns1:Root/ns1:Prog/ns1:Achieved__P6_3" xmlDataType="string"/>
    </xmlCellPr>
  </singleXmlCell>
  <singleXmlCell id="632" r="N121" connectionId="0">
    <xmlCellPr id="1" uniqueName="1">
      <xmlPr mapId="43" xpath="/ns1:Root/ns1:Prog/ns1:Achieved__P7_3" xmlDataType="string"/>
    </xmlCellPr>
  </singleXmlCell>
  <singleXmlCell id="633" r="O121" connectionId="0">
    <xmlCellPr id="1" uniqueName="1">
      <xmlPr mapId="43" xpath="/ns1:Root/ns1:Prog/ns1:Achieved__P8_3" xmlDataType="string"/>
    </xmlCellPr>
  </singleXmlCell>
  <singleXmlCell id="634" r="P121" connectionId="0">
    <xmlCellPr id="1" uniqueName="1">
      <xmlPr mapId="43" xpath="/ns1:Root/ns1:Prog/ns1:Achieved__P9_3" xmlDataType="string"/>
    </xmlCellPr>
  </singleXmlCell>
  <singleXmlCell id="635" r="Q121" connectionId="0">
    <xmlCellPr id="1" uniqueName="1">
      <xmlPr mapId="43" xpath="/ns1:Root/ns1:Prog/ns1:Achieved__P10_3" xmlDataType="string"/>
    </xmlCellPr>
  </singleXmlCell>
  <singleXmlCell id="636" r="R121" connectionId="0">
    <xmlCellPr id="1" uniqueName="1">
      <xmlPr mapId="43" xpath="/ns1:Root/ns1:Prog/ns1:Achieved__P11_3" xmlDataType="string"/>
    </xmlCellPr>
  </singleXmlCell>
  <singleXmlCell id="637" r="S121" connectionId="0">
    <xmlCellPr id="1" uniqueName="1">
      <xmlPr mapId="43" xpath="/ns1:Root/ns1:Prog/ns1:Achieved__P12_3" xmlDataType="string"/>
    </xmlCellPr>
  </singleXmlCell>
  <singleXmlCell id="662" r="H122" connectionId="0">
    <xmlCellPr id="1" uniqueName="1">
      <xmlPr mapId="43" xpath="/ns1:Root/ns1:Prog/ns1:Target_P1_5" xmlDataType="double"/>
    </xmlCellPr>
  </singleXmlCell>
  <singleXmlCell id="663" r="I122" connectionId="0">
    <xmlCellPr id="1" uniqueName="1">
      <xmlPr mapId="43" xpath="/ns1:Root/ns1:Prog/ns1:Target_P2_5" xmlDataType="double"/>
    </xmlCellPr>
  </singleXmlCell>
  <singleXmlCell id="664" r="J122" connectionId="0">
    <xmlCellPr id="1" uniqueName="1">
      <xmlPr mapId="43" xpath="/ns1:Root/ns1:Prog/ns1:Target_P3_5" xmlDataType="double"/>
    </xmlCellPr>
  </singleXmlCell>
  <singleXmlCell id="665" r="K122" connectionId="0">
    <xmlCellPr id="1" uniqueName="1">
      <xmlPr mapId="43" xpath="/ns1:Root/ns1:Prog/ns1:Target_P4_5" xmlDataType="double"/>
    </xmlCellPr>
  </singleXmlCell>
  <singleXmlCell id="666" r="L122" connectionId="0">
    <xmlCellPr id="1" uniqueName="1">
      <xmlPr mapId="43" xpath="/ns1:Root/ns1:Prog/ns1:Target_P5_5" xmlDataType="double"/>
    </xmlCellPr>
  </singleXmlCell>
  <singleXmlCell id="667" r="M122" connectionId="0">
    <xmlCellPr id="1" uniqueName="1">
      <xmlPr mapId="43" xpath="/ns1:Root/ns1:Prog/ns1:Target_P6_5" xmlDataType="double"/>
    </xmlCellPr>
  </singleXmlCell>
  <singleXmlCell id="668" r="N122" connectionId="0">
    <xmlCellPr id="1" uniqueName="1">
      <xmlPr mapId="43" xpath="/ns1:Root/ns1:Prog/ns1:Target_P7_5" xmlDataType="double"/>
    </xmlCellPr>
  </singleXmlCell>
  <singleXmlCell id="669" r="O122" connectionId="0">
    <xmlCellPr id="1" uniqueName="1">
      <xmlPr mapId="43" xpath="/ns1:Root/ns1:Prog/ns1:Target_P8_5" xmlDataType="double"/>
    </xmlCellPr>
  </singleXmlCell>
  <singleXmlCell id="670" r="P122" connectionId="0">
    <xmlCellPr id="1" uniqueName="1">
      <xmlPr mapId="43" xpath="/ns1:Root/ns1:Prog/ns1:Target_P9_5" xmlDataType="double"/>
    </xmlCellPr>
  </singleXmlCell>
  <singleXmlCell id="671" r="Q122" connectionId="0">
    <xmlCellPr id="1" uniqueName="1">
      <xmlPr mapId="43" xpath="/ns1:Root/ns1:Prog/ns1:Target_P10_5" xmlDataType="double"/>
    </xmlCellPr>
  </singleXmlCell>
  <singleXmlCell id="672" r="R122" connectionId="0">
    <xmlCellPr id="1" uniqueName="1">
      <xmlPr mapId="43" xpath="/ns1:Root/ns1:Prog/ns1:Target_P11_5" xmlDataType="double"/>
    </xmlCellPr>
  </singleXmlCell>
  <singleXmlCell id="673" r="S122" connectionId="0">
    <xmlCellPr id="1" uniqueName="1">
      <xmlPr mapId="43" xpath="/ns1:Root/ns1:Prog/ns1:Target_P12_5" xmlDataType="double"/>
    </xmlCellPr>
  </singleXmlCell>
  <singleXmlCell id="674" r="H123" connectionId="0">
    <xmlCellPr id="1" uniqueName="1">
      <xmlPr mapId="43" xpath="/ns1:Root/ns1:Prog/ns1:Achieved__P1_5" xmlDataType="double"/>
    </xmlCellPr>
  </singleXmlCell>
  <singleXmlCell id="675" r="I123" connectionId="0">
    <xmlCellPr id="1" uniqueName="1">
      <xmlPr mapId="43" xpath="/ns1:Root/ns1:Prog/ns1:Achieved__P2_5" xmlDataType="double"/>
    </xmlCellPr>
  </singleXmlCell>
  <singleXmlCell id="676" r="J123" connectionId="0">
    <xmlCellPr id="1" uniqueName="1">
      <xmlPr mapId="43" xpath="/ns1:Root/ns1:Prog/ns1:Achieved__P3_5" xmlDataType="double"/>
    </xmlCellPr>
  </singleXmlCell>
  <singleXmlCell id="677" r="K123" connectionId="0">
    <xmlCellPr id="1" uniqueName="1">
      <xmlPr mapId="43" xpath="/ns1:Root/ns1:Prog/ns1:Achieved__P4_5" xmlDataType="double"/>
    </xmlCellPr>
  </singleXmlCell>
  <singleXmlCell id="678" r="L123" connectionId="0">
    <xmlCellPr id="1" uniqueName="1">
      <xmlPr mapId="43" xpath="/ns1:Root/ns1:Prog/ns1:Achieved__P5_5" xmlDataType="string"/>
    </xmlCellPr>
  </singleXmlCell>
  <singleXmlCell id="679" r="M123" connectionId="0">
    <xmlCellPr id="1" uniqueName="1">
      <xmlPr mapId="43" xpath="/ns1:Root/ns1:Prog/ns1:Achieved__P6_5" xmlDataType="string"/>
    </xmlCellPr>
  </singleXmlCell>
  <singleXmlCell id="680" r="N123" connectionId="0">
    <xmlCellPr id="1" uniqueName="1">
      <xmlPr mapId="43" xpath="/ns1:Root/ns1:Prog/ns1:Achieved__P7_5" xmlDataType="string"/>
    </xmlCellPr>
  </singleXmlCell>
  <singleXmlCell id="681" r="O123" connectionId="0">
    <xmlCellPr id="1" uniqueName="1">
      <xmlPr mapId="43" xpath="/ns1:Root/ns1:Prog/ns1:Achieved__P8_5" xmlDataType="string"/>
    </xmlCellPr>
  </singleXmlCell>
  <singleXmlCell id="682" r="P123" connectionId="0">
    <xmlCellPr id="1" uniqueName="1">
      <xmlPr mapId="43" xpath="/ns1:Root/ns1:Prog/ns1:Achieved__P9_5" xmlDataType="string"/>
    </xmlCellPr>
  </singleXmlCell>
  <singleXmlCell id="683" r="Q123" connectionId="0">
    <xmlCellPr id="1" uniqueName="1">
      <xmlPr mapId="43" xpath="/ns1:Root/ns1:Prog/ns1:Achieved__P10_5" xmlDataType="string"/>
    </xmlCellPr>
  </singleXmlCell>
  <singleXmlCell id="684" r="R123" connectionId="0">
    <xmlCellPr id="1" uniqueName="1">
      <xmlPr mapId="43" xpath="/ns1:Root/ns1:Prog/ns1:Achieved__P11_5" xmlDataType="string"/>
    </xmlCellPr>
  </singleXmlCell>
  <singleXmlCell id="685" r="S123" connectionId="0">
    <xmlCellPr id="1" uniqueName="1">
      <xmlPr mapId="43" xpath="/ns1:Root/ns1:Prog/ns1:Achieved__P12_5" xmlDataType="string"/>
    </xmlCellPr>
  </singleXmlCell>
  <singleXmlCell id="686" r="H124" connectionId="0">
    <xmlCellPr id="1" uniqueName="1">
      <xmlPr mapId="43" xpath="/ns1:Root/ns1:Prog/ns1:Target_P1_6" xmlDataType="double"/>
    </xmlCellPr>
  </singleXmlCell>
  <singleXmlCell id="687" r="I124" connectionId="0">
    <xmlCellPr id="1" uniqueName="1">
      <xmlPr mapId="43" xpath="/ns1:Root/ns1:Prog/ns1:Target_P2_6" xmlDataType="double"/>
    </xmlCellPr>
  </singleXmlCell>
  <singleXmlCell id="688" r="J124" connectionId="0">
    <xmlCellPr id="1" uniqueName="1">
      <xmlPr mapId="43" xpath="/ns1:Root/ns1:Prog/ns1:Target_P3_6" xmlDataType="double"/>
    </xmlCellPr>
  </singleXmlCell>
  <singleXmlCell id="689" r="K124" connectionId="0">
    <xmlCellPr id="1" uniqueName="1">
      <xmlPr mapId="43" xpath="/ns1:Root/ns1:Prog/ns1:Target_P4_6" xmlDataType="double"/>
    </xmlCellPr>
  </singleXmlCell>
  <singleXmlCell id="690" r="L124" connectionId="0">
    <xmlCellPr id="1" uniqueName="1">
      <xmlPr mapId="43" xpath="/ns1:Root/ns1:Prog/ns1:Target_P5_6" xmlDataType="double"/>
    </xmlCellPr>
  </singleXmlCell>
  <singleXmlCell id="691" r="M124" connectionId="0">
    <xmlCellPr id="1" uniqueName="1">
      <xmlPr mapId="43" xpath="/ns1:Root/ns1:Prog/ns1:Target_P6_6" xmlDataType="double"/>
    </xmlCellPr>
  </singleXmlCell>
  <singleXmlCell id="692" r="N124" connectionId="0">
    <xmlCellPr id="1" uniqueName="1">
      <xmlPr mapId="43" xpath="/ns1:Root/ns1:Prog/ns1:Target_P7_6" xmlDataType="double"/>
    </xmlCellPr>
  </singleXmlCell>
  <singleXmlCell id="693" r="O124" connectionId="0">
    <xmlCellPr id="1" uniqueName="1">
      <xmlPr mapId="43" xpath="/ns1:Root/ns1:Prog/ns1:Target_P8_6" xmlDataType="double"/>
    </xmlCellPr>
  </singleXmlCell>
  <singleXmlCell id="694" r="P124" connectionId="0">
    <xmlCellPr id="1" uniqueName="1">
      <xmlPr mapId="43" xpath="/ns1:Root/ns1:Prog/ns1:Target_P9_6" xmlDataType="double"/>
    </xmlCellPr>
  </singleXmlCell>
  <singleXmlCell id="695" r="Q124" connectionId="0">
    <xmlCellPr id="1" uniqueName="1">
      <xmlPr mapId="43" xpath="/ns1:Root/ns1:Prog/ns1:Target_P10_6" xmlDataType="double"/>
    </xmlCellPr>
  </singleXmlCell>
  <singleXmlCell id="696" r="R124" connectionId="0">
    <xmlCellPr id="1" uniqueName="1">
      <xmlPr mapId="43" xpath="/ns1:Root/ns1:Prog/ns1:Target_P11_6" xmlDataType="double"/>
    </xmlCellPr>
  </singleXmlCell>
  <singleXmlCell id="697" r="S124" connectionId="0">
    <xmlCellPr id="1" uniqueName="1">
      <xmlPr mapId="43" xpath="/ns1:Root/ns1:Prog/ns1:Target_P12_6" xmlDataType="double"/>
    </xmlCellPr>
  </singleXmlCell>
  <singleXmlCell id="698" r="H125" connectionId="0">
    <xmlCellPr id="1" uniqueName="1">
      <xmlPr mapId="43" xpath="/ns1:Root/ns1:Prog/ns1:Achieved__P1_6" xmlDataType="double"/>
    </xmlCellPr>
  </singleXmlCell>
  <singleXmlCell id="699" r="I125" connectionId="0">
    <xmlCellPr id="1" uniqueName="1">
      <xmlPr mapId="43" xpath="/ns1:Root/ns1:Prog/ns1:Achieved__P2_6" xmlDataType="double"/>
    </xmlCellPr>
  </singleXmlCell>
  <singleXmlCell id="700" r="J125" connectionId="0">
    <xmlCellPr id="1" uniqueName="1">
      <xmlPr mapId="43" xpath="/ns1:Root/ns1:Prog/ns1:Achieved__P3_6" xmlDataType="double"/>
    </xmlCellPr>
  </singleXmlCell>
  <singleXmlCell id="701" r="K125" connectionId="0">
    <xmlCellPr id="1" uniqueName="1">
      <xmlPr mapId="43" xpath="/ns1:Root/ns1:Prog/ns1:Achieved__P4_6" xmlDataType="double"/>
    </xmlCellPr>
  </singleXmlCell>
  <singleXmlCell id="702" r="L125" connectionId="0">
    <xmlCellPr id="1" uniqueName="1">
      <xmlPr mapId="43" xpath="/ns1:Root/ns1:Prog/ns1:Achieved__P5_6" xmlDataType="string"/>
    </xmlCellPr>
  </singleXmlCell>
  <singleXmlCell id="703" r="M125" connectionId="0">
    <xmlCellPr id="1" uniqueName="1">
      <xmlPr mapId="43" xpath="/ns1:Root/ns1:Prog/ns1:Achieved__P6_6" xmlDataType="string"/>
    </xmlCellPr>
  </singleXmlCell>
  <singleXmlCell id="704" r="N125" connectionId="0">
    <xmlCellPr id="1" uniqueName="1">
      <xmlPr mapId="43" xpath="/ns1:Root/ns1:Prog/ns1:Achieved__P7_6" xmlDataType="string"/>
    </xmlCellPr>
  </singleXmlCell>
  <singleXmlCell id="705" r="O125" connectionId="0">
    <xmlCellPr id="1" uniqueName="1">
      <xmlPr mapId="43" xpath="/ns1:Root/ns1:Prog/ns1:Achieved__P8_6" xmlDataType="string"/>
    </xmlCellPr>
  </singleXmlCell>
  <singleXmlCell id="706" r="P125" connectionId="0">
    <xmlCellPr id="1" uniqueName="1">
      <xmlPr mapId="43" xpath="/ns1:Root/ns1:Prog/ns1:Achieved__P9_6" xmlDataType="string"/>
    </xmlCellPr>
  </singleXmlCell>
  <singleXmlCell id="707" r="Q125" connectionId="0">
    <xmlCellPr id="1" uniqueName="1">
      <xmlPr mapId="43" xpath="/ns1:Root/ns1:Prog/ns1:Achieved__P10_6" xmlDataType="string"/>
    </xmlCellPr>
  </singleXmlCell>
  <singleXmlCell id="708" r="R125" connectionId="0">
    <xmlCellPr id="1" uniqueName="1">
      <xmlPr mapId="43" xpath="/ns1:Root/ns1:Prog/ns1:Achieved__P11_6" xmlDataType="string"/>
    </xmlCellPr>
  </singleXmlCell>
  <singleXmlCell id="709" r="S125" connectionId="0">
    <xmlCellPr id="1" uniqueName="1">
      <xmlPr mapId="43" xpath="/ns1:Root/ns1:Prog/ns1:Achieved__P12_6" xmlDataType="string"/>
    </xmlCellPr>
  </singleXmlCell>
  <singleXmlCell id="710" r="H126" connectionId="0">
    <xmlCellPr id="1" uniqueName="1">
      <xmlPr mapId="43" xpath="/ns1:Root/ns1:Prog/ns1:Target_P1_7" xmlDataType="double"/>
    </xmlCellPr>
  </singleXmlCell>
  <singleXmlCell id="711" r="I126" connectionId="0">
    <xmlCellPr id="1" uniqueName="1">
      <xmlPr mapId="43" xpath="/ns1:Root/ns1:Prog/ns1:Target_P2_7" xmlDataType="double"/>
    </xmlCellPr>
  </singleXmlCell>
  <singleXmlCell id="712" r="J126" connectionId="0">
    <xmlCellPr id="1" uniqueName="1">
      <xmlPr mapId="43" xpath="/ns1:Root/ns1:Prog/ns1:Target_P3_7" xmlDataType="double"/>
    </xmlCellPr>
  </singleXmlCell>
  <singleXmlCell id="713" r="K126" connectionId="0">
    <xmlCellPr id="1" uniqueName="1">
      <xmlPr mapId="43" xpath="/ns1:Root/ns1:Prog/ns1:Target_P4_7" xmlDataType="double"/>
    </xmlCellPr>
  </singleXmlCell>
  <singleXmlCell id="714" r="L126" connectionId="0">
    <xmlCellPr id="1" uniqueName="1">
      <xmlPr mapId="43" xpath="/ns1:Root/ns1:Prog/ns1:Target_P5_7" xmlDataType="double"/>
    </xmlCellPr>
  </singleXmlCell>
  <singleXmlCell id="715" r="M126" connectionId="0">
    <xmlCellPr id="1" uniqueName="1">
      <xmlPr mapId="43" xpath="/ns1:Root/ns1:Prog/ns1:Target_P6_7" xmlDataType="double"/>
    </xmlCellPr>
  </singleXmlCell>
  <singleXmlCell id="716" r="N126" connectionId="0">
    <xmlCellPr id="1" uniqueName="1">
      <xmlPr mapId="43" xpath="/ns1:Root/ns1:Prog/ns1:Target_P7_7" xmlDataType="double"/>
    </xmlCellPr>
  </singleXmlCell>
  <singleXmlCell id="717" r="O126" connectionId="0">
    <xmlCellPr id="1" uniqueName="1">
      <xmlPr mapId="43" xpath="/ns1:Root/ns1:Prog/ns1:Target_P8_7" xmlDataType="double"/>
    </xmlCellPr>
  </singleXmlCell>
  <singleXmlCell id="718" r="P126" connectionId="0">
    <xmlCellPr id="1" uniqueName="1">
      <xmlPr mapId="43" xpath="/ns1:Root/ns1:Prog/ns1:Target_P9_7" xmlDataType="double"/>
    </xmlCellPr>
  </singleXmlCell>
  <singleXmlCell id="719" r="Q126" connectionId="0">
    <xmlCellPr id="1" uniqueName="1">
      <xmlPr mapId="43" xpath="/ns1:Root/ns1:Prog/ns1:Target_P10_7" xmlDataType="double"/>
    </xmlCellPr>
  </singleXmlCell>
  <singleXmlCell id="720" r="R126" connectionId="0">
    <xmlCellPr id="1" uniqueName="1">
      <xmlPr mapId="43" xpath="/ns1:Root/ns1:Prog/ns1:Target_P11_7" xmlDataType="double"/>
    </xmlCellPr>
  </singleXmlCell>
  <singleXmlCell id="721" r="S126" connectionId="0">
    <xmlCellPr id="1" uniqueName="1">
      <xmlPr mapId="43" xpath="/ns1:Root/ns1:Prog/ns1:Target_P12_7" xmlDataType="double"/>
    </xmlCellPr>
  </singleXmlCell>
  <singleXmlCell id="722" r="H127" connectionId="0">
    <xmlCellPr id="1" uniqueName="1">
      <xmlPr mapId="43" xpath="/ns1:Root/ns1:Prog/ns1:Achieved__P1_7" xmlDataType="double"/>
    </xmlCellPr>
  </singleXmlCell>
  <singleXmlCell id="723" r="I127" connectionId="0">
    <xmlCellPr id="1" uniqueName="1">
      <xmlPr mapId="43" xpath="/ns1:Root/ns1:Prog/ns1:Achieved__P2_7" xmlDataType="double"/>
    </xmlCellPr>
  </singleXmlCell>
  <singleXmlCell id="724" r="J127" connectionId="0">
    <xmlCellPr id="1" uniqueName="1">
      <xmlPr mapId="43" xpath="/ns1:Root/ns1:Prog/ns1:Achieved__P3_7" xmlDataType="double"/>
    </xmlCellPr>
  </singleXmlCell>
  <singleXmlCell id="725" r="K127" connectionId="0">
    <xmlCellPr id="1" uniqueName="1">
      <xmlPr mapId="43" xpath="/ns1:Root/ns1:Prog/ns1:Achieved__P4_7" xmlDataType="double"/>
    </xmlCellPr>
  </singleXmlCell>
  <singleXmlCell id="726" r="L127" connectionId="0">
    <xmlCellPr id="1" uniqueName="1">
      <xmlPr mapId="43" xpath="/ns1:Root/ns1:Prog/ns1:Achieved__P5_7" xmlDataType="string"/>
    </xmlCellPr>
  </singleXmlCell>
  <singleXmlCell id="727" r="M127" connectionId="0">
    <xmlCellPr id="1" uniqueName="1">
      <xmlPr mapId="43" xpath="/ns1:Root/ns1:Prog/ns1:Achieved__P6_7" xmlDataType="string"/>
    </xmlCellPr>
  </singleXmlCell>
  <singleXmlCell id="728" r="N127" connectionId="0">
    <xmlCellPr id="1" uniqueName="1">
      <xmlPr mapId="43" xpath="/ns1:Root/ns1:Prog/ns1:Achieved__P7_7" xmlDataType="string"/>
    </xmlCellPr>
  </singleXmlCell>
  <singleXmlCell id="729" r="O127" connectionId="0">
    <xmlCellPr id="1" uniqueName="1">
      <xmlPr mapId="43" xpath="/ns1:Root/ns1:Prog/ns1:Achieved__P8_7" xmlDataType="string"/>
    </xmlCellPr>
  </singleXmlCell>
  <singleXmlCell id="730" r="P127" connectionId="0">
    <xmlCellPr id="1" uniqueName="1">
      <xmlPr mapId="43" xpath="/ns1:Root/ns1:Prog/ns1:Achieved__P9_7" xmlDataType="string"/>
    </xmlCellPr>
  </singleXmlCell>
  <singleXmlCell id="731" r="Q127" connectionId="0">
    <xmlCellPr id="1" uniqueName="1">
      <xmlPr mapId="43" xpath="/ns1:Root/ns1:Prog/ns1:Achieved__P10_7" xmlDataType="string"/>
    </xmlCellPr>
  </singleXmlCell>
  <singleXmlCell id="732" r="R127" connectionId="0">
    <xmlCellPr id="1" uniqueName="1">
      <xmlPr mapId="43" xpath="/ns1:Root/ns1:Prog/ns1:Achieved__P11_7" xmlDataType="string"/>
    </xmlCellPr>
  </singleXmlCell>
  <singleXmlCell id="733" r="S127" connectionId="0">
    <xmlCellPr id="1" uniqueName="1">
      <xmlPr mapId="43" xpath="/ns1:Root/ns1:Prog/ns1:Achieved__P12_7" xmlDataType="string"/>
    </xmlCellPr>
  </singleXmlCell>
  <singleXmlCell id="734" r="H130" connectionId="0">
    <xmlCellPr id="1" uniqueName="1">
      <xmlPr mapId="43" xpath="/ns1:Root/ns1:Prog/ns1:Target_P1_8" xmlDataType="string"/>
    </xmlCellPr>
  </singleXmlCell>
  <singleXmlCell id="735" r="I130" connectionId="0">
    <xmlCellPr id="1" uniqueName="1">
      <xmlPr mapId="43" xpath="/ns1:Root/ns1:Prog/ns1:Target_P2_8" xmlDataType="double"/>
    </xmlCellPr>
  </singleXmlCell>
  <singleXmlCell id="736" r="J130" connectionId="0">
    <xmlCellPr id="1" uniqueName="1">
      <xmlPr mapId="43" xpath="/ns1:Root/ns1:Prog/ns1:Target_P3_8" xmlDataType="string"/>
    </xmlCellPr>
  </singleXmlCell>
  <singleXmlCell id="737" r="K130" connectionId="0">
    <xmlCellPr id="1" uniqueName="1">
      <xmlPr mapId="43" xpath="/ns1:Root/ns1:Prog/ns1:Target_P4_8" xmlDataType="double"/>
    </xmlCellPr>
  </singleXmlCell>
  <singleXmlCell id="738" r="L130" connectionId="0">
    <xmlCellPr id="1" uniqueName="1">
      <xmlPr mapId="43" xpath="/ns1:Root/ns1:Prog/ns1:Target_P5_8" xmlDataType="string"/>
    </xmlCellPr>
  </singleXmlCell>
  <singleXmlCell id="739" r="M130" connectionId="0">
    <xmlCellPr id="1" uniqueName="1">
      <xmlPr mapId="43" xpath="/ns1:Root/ns1:Prog/ns1:Target_P6_8" xmlDataType="double"/>
    </xmlCellPr>
  </singleXmlCell>
  <singleXmlCell id="740" r="N130" connectionId="0">
    <xmlCellPr id="1" uniqueName="1">
      <xmlPr mapId="43" xpath="/ns1:Root/ns1:Prog/ns1:Target_P7_8" xmlDataType="string"/>
    </xmlCellPr>
  </singleXmlCell>
  <singleXmlCell id="741" r="O130" connectionId="0">
    <xmlCellPr id="1" uniqueName="1">
      <xmlPr mapId="43" xpath="/ns1:Root/ns1:Prog/ns1:Target_P8_8" xmlDataType="double"/>
    </xmlCellPr>
  </singleXmlCell>
  <singleXmlCell id="742" r="P130" connectionId="0">
    <xmlCellPr id="1" uniqueName="1">
      <xmlPr mapId="43" xpath="/ns1:Root/ns1:Prog/ns1:Target_P9_8" xmlDataType="double"/>
    </xmlCellPr>
  </singleXmlCell>
  <singleXmlCell id="743" r="Q130" connectionId="0">
    <xmlCellPr id="1" uniqueName="1">
      <xmlPr mapId="43" xpath="/ns1:Root/ns1:Prog/ns1:Target_P10_8" xmlDataType="double"/>
    </xmlCellPr>
  </singleXmlCell>
  <singleXmlCell id="744" r="R130" connectionId="0">
    <xmlCellPr id="1" uniqueName="1">
      <xmlPr mapId="43" xpath="/ns1:Root/ns1:Prog/ns1:Target_P11_8" xmlDataType="double"/>
    </xmlCellPr>
  </singleXmlCell>
  <singleXmlCell id="745" r="S130" connectionId="0">
    <xmlCellPr id="1" uniqueName="1">
      <xmlPr mapId="43" xpath="/ns1:Root/ns1:Prog/ns1:Target_P12_8" xmlDataType="double"/>
    </xmlCellPr>
  </singleXmlCell>
  <singleXmlCell id="746" r="H131" connectionId="0">
    <xmlCellPr id="1" uniqueName="1">
      <xmlPr mapId="43" xpath="/ns1:Root/ns1:Prog/ns1:Achieved__P1_8" xmlDataType="string"/>
    </xmlCellPr>
  </singleXmlCell>
  <singleXmlCell id="747" r="I131" connectionId="0">
    <xmlCellPr id="1" uniqueName="1">
      <xmlPr mapId="43" xpath="/ns1:Root/ns1:Prog/ns1:Achieved__P2_8" xmlDataType="string"/>
    </xmlCellPr>
  </singleXmlCell>
  <singleXmlCell id="748" r="J131" connectionId="0">
    <xmlCellPr id="1" uniqueName="1">
      <xmlPr mapId="43" xpath="/ns1:Root/ns1:Prog/ns1:Achieved__P3_8" xmlDataType="string"/>
    </xmlCellPr>
  </singleXmlCell>
  <singleXmlCell id="749" r="K131" connectionId="0">
    <xmlCellPr id="1" uniqueName="1">
      <xmlPr mapId="43" xpath="/ns1:Root/ns1:Prog/ns1:Achieved__P4_8" xmlDataType="string"/>
    </xmlCellPr>
  </singleXmlCell>
  <singleXmlCell id="750" r="L131" connectionId="0">
    <xmlCellPr id="1" uniqueName="1">
      <xmlPr mapId="43" xpath="/ns1:Root/ns1:Prog/ns1:Achieved__P5_8" xmlDataType="string"/>
    </xmlCellPr>
  </singleXmlCell>
  <singleXmlCell id="751" r="M131" connectionId="0">
    <xmlCellPr id="1" uniqueName="1">
      <xmlPr mapId="43" xpath="/ns1:Root/ns1:Prog/ns1:Achieved__P6_8" xmlDataType="string"/>
    </xmlCellPr>
  </singleXmlCell>
  <singleXmlCell id="752" r="N131" connectionId="0">
    <xmlCellPr id="1" uniqueName="1">
      <xmlPr mapId="43" xpath="/ns1:Root/ns1:Prog/ns1:Achieved__P7_8" xmlDataType="string"/>
    </xmlCellPr>
  </singleXmlCell>
  <singleXmlCell id="753" r="O131" connectionId="0">
    <xmlCellPr id="1" uniqueName="1">
      <xmlPr mapId="43" xpath="/ns1:Root/ns1:Prog/ns1:Achieved__P8_8" xmlDataType="string"/>
    </xmlCellPr>
  </singleXmlCell>
  <singleXmlCell id="754" r="P131" connectionId="0">
    <xmlCellPr id="1" uniqueName="1">
      <xmlPr mapId="43" xpath="/ns1:Root/ns1:Prog/ns1:Achieved__P9_8" xmlDataType="string"/>
    </xmlCellPr>
  </singleXmlCell>
  <singleXmlCell id="755" r="Q131" connectionId="0">
    <xmlCellPr id="1" uniqueName="1">
      <xmlPr mapId="43" xpath="/ns1:Root/ns1:Prog/ns1:Achieved__P10_8" xmlDataType="string"/>
    </xmlCellPr>
  </singleXmlCell>
  <singleXmlCell id="756" r="R131" connectionId="0">
    <xmlCellPr id="1" uniqueName="1">
      <xmlPr mapId="43" xpath="/ns1:Root/ns1:Prog/ns1:Achieved__P11_8" xmlDataType="string"/>
    </xmlCellPr>
  </singleXmlCell>
  <singleXmlCell id="757" r="S131" connectionId="0">
    <xmlCellPr id="1" uniqueName="1">
      <xmlPr mapId="43" xpath="/ns1:Root/ns1:Prog/ns1:Achieved__P12_8" xmlDataType="string"/>
    </xmlCellPr>
  </singleXmlCell>
  <singleXmlCell id="807" r="B116" connectionId="0">
    <xmlCellPr id="1" uniqueName="1">
      <xmlPr mapId="43" xpath="/ns1:Root/ns1:P1" xmlDataType="string"/>
    </xmlCellPr>
  </singleXmlCell>
  <singleXmlCell id="808" r="E116" connectionId="0">
    <xmlCellPr id="1" uniqueName="1">
      <xmlPr mapId="43" xpath="/ns1:Root/ns1:P1_Code" xmlDataType="double"/>
    </xmlCellPr>
  </singleXmlCell>
  <singleXmlCell id="809" r="F116" connectionId="0">
    <xmlCellPr id="1" uniqueName="1">
      <xmlPr mapId="43" xpath="/ns1:Root/ns1:P1_Tied" xmlDataType="string"/>
    </xmlCellPr>
  </singleXmlCell>
  <singleXmlCell id="810" r="B118" connectionId="0">
    <xmlCellPr id="1" uniqueName="1">
      <xmlPr mapId="43" xpath="/ns1:Root/ns1:P2" xmlDataType="string"/>
    </xmlCellPr>
  </singleXmlCell>
  <singleXmlCell id="811" r="E118" connectionId="0">
    <xmlCellPr id="1" uniqueName="1">
      <xmlPr mapId="43" xpath="/ns1:Root/ns1:P2_Code" xmlDataType="double"/>
    </xmlCellPr>
  </singleXmlCell>
  <singleXmlCell id="812" r="F118" connectionId="0">
    <xmlCellPr id="1" uniqueName="1">
      <xmlPr mapId="43" xpath="/ns1:Root/ns1:P2_Tied" xmlDataType="string"/>
    </xmlCellPr>
  </singleXmlCell>
  <singleXmlCell id="813" r="B120" connectionId="0">
    <xmlCellPr id="1" uniqueName="1">
      <xmlPr mapId="43" xpath="/ns1:Root/ns1:P3" xmlDataType="string"/>
    </xmlCellPr>
  </singleXmlCell>
  <singleXmlCell id="814" r="E120" connectionId="0">
    <xmlCellPr id="1" uniqueName="1">
      <xmlPr mapId="43" xpath="/ns1:Root/ns1:P3_Code" xmlDataType="double"/>
    </xmlCellPr>
  </singleXmlCell>
  <singleXmlCell id="815" r="F120" connectionId="0">
    <xmlCellPr id="1" uniqueName="1">
      <xmlPr mapId="43" xpath="/ns1:Root/ns1:P3_Tied" xmlDataType="string"/>
    </xmlCellPr>
  </singleXmlCell>
  <singleXmlCell id="819" r="B122" connectionId="0">
    <xmlCellPr id="1" uniqueName="1">
      <xmlPr mapId="43" xpath="/ns1:Root/ns1:P5" xmlDataType="string"/>
    </xmlCellPr>
  </singleXmlCell>
  <singleXmlCell id="820" r="E122" connectionId="0">
    <xmlCellPr id="1" uniqueName="1">
      <xmlPr mapId="43" xpath="/ns1:Root/ns1:P5_Code" xmlDataType="double"/>
    </xmlCellPr>
  </singleXmlCell>
  <singleXmlCell id="821" r="F122" connectionId="0">
    <xmlCellPr id="1" uniqueName="1">
      <xmlPr mapId="43" xpath="/ns1:Root/ns1:P5_Tied" xmlDataType="string"/>
    </xmlCellPr>
  </singleXmlCell>
  <singleXmlCell id="822" r="B124" connectionId="0">
    <xmlCellPr id="1" uniqueName="1">
      <xmlPr mapId="43" xpath="/ns1:Root/ns1:P6" xmlDataType="string"/>
    </xmlCellPr>
  </singleXmlCell>
  <singleXmlCell id="823" r="E124" connectionId="0">
    <xmlCellPr id="1" uniqueName="1">
      <xmlPr mapId="43" xpath="/ns1:Root/ns1:P6_Code" xmlDataType="double"/>
    </xmlCellPr>
  </singleXmlCell>
  <singleXmlCell id="824" r="F124" connectionId="0">
    <xmlCellPr id="1" uniqueName="1">
      <xmlPr mapId="43" xpath="/ns1:Root/ns1:P6_Tied" xmlDataType="string"/>
    </xmlCellPr>
  </singleXmlCell>
  <singleXmlCell id="825" r="B126" connectionId="0">
    <xmlCellPr id="1" uniqueName="1">
      <xmlPr mapId="43" xpath="/ns1:Root/ns1:P7" xmlDataType="string"/>
    </xmlCellPr>
  </singleXmlCell>
  <singleXmlCell id="826" r="E126" connectionId="0">
    <xmlCellPr id="1" uniqueName="1">
      <xmlPr mapId="43" xpath="/ns1:Root/ns1:P7_Code" xmlDataType="double"/>
    </xmlCellPr>
  </singleXmlCell>
  <singleXmlCell id="827" r="F126" connectionId="0">
    <xmlCellPr id="1" uniqueName="1">
      <xmlPr mapId="43" xpath="/ns1:Root/ns1:P7_Tied" xmlDataType="string"/>
    </xmlCellPr>
  </singleXmlCell>
  <singleXmlCell id="828" r="B130" connectionId="0">
    <xmlCellPr id="1" uniqueName="1">
      <xmlPr mapId="43" xpath="/ns1:Root/ns1:P8" xmlDataType="string"/>
    </xmlCellPr>
  </singleXmlCell>
  <singleXmlCell id="829" r="E130" connectionId="0">
    <xmlCellPr id="1" uniqueName="1">
      <xmlPr mapId="43" xpath="/ns1:Root/ns1:P8_Code" xmlDataType="double"/>
    </xmlCellPr>
  </singleXmlCell>
  <singleXmlCell id="830" r="F130" connectionId="0">
    <xmlCellPr id="1" uniqueName="1">
      <xmlPr mapId="43" xpath="/ns1:Root/ns1:P8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P22" sqref="P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58" t="str">
        <f>+'Detail despre Grant'!B3:J3</f>
        <v>Tabel Programatic de Evaluare:  Moldova - TB</v>
      </c>
      <c r="C2" s="558"/>
      <c r="D2" s="558"/>
      <c r="E2" s="558"/>
      <c r="F2" s="558"/>
      <c r="G2" s="558"/>
      <c r="H2" s="558"/>
      <c r="I2" s="558"/>
      <c r="J2" s="558"/>
      <c r="K2" s="558"/>
      <c r="L2" s="558"/>
      <c r="M2" s="1"/>
      <c r="N2" s="1"/>
      <c r="O2" s="1"/>
    </row>
    <row r="4" spans="2:15" ht="21">
      <c r="B4" s="559" t="str">
        <f>+IF('Introducerea datelor'!G6="Please Select", "",'Introducerea datelor'!G6) &amp;"  "&amp;+IF('Introducerea datelor'!G8="Please Select", "", 'Introducerea datelor'!G8&amp;",  ")&amp;+IF('Introducerea datelor'!I8="Please Select","",'Introducerea datelor'!I8)</f>
        <v>TB  Period 1</v>
      </c>
      <c r="C4" s="559"/>
      <c r="D4" s="559"/>
      <c r="E4" s="560"/>
      <c r="F4" s="192"/>
      <c r="G4" s="192"/>
      <c r="H4" s="282" t="str">
        <f>+'Introducerea datelor'!B6&amp;" "&amp;+'Introducerea datelor'!C6</f>
        <v>No. Grantului : MDA-T-PCIMU (#678)</v>
      </c>
      <c r="I4" s="282"/>
      <c r="J4" s="191"/>
      <c r="K4" s="192"/>
      <c r="L4" s="192"/>
    </row>
    <row r="22" spans="2:12" ht="26.25">
      <c r="B22" s="561" t="s">
        <v>276</v>
      </c>
      <c r="C22" s="562"/>
      <c r="D22" s="562"/>
      <c r="E22" s="562"/>
      <c r="F22" s="562"/>
      <c r="G22" s="562"/>
      <c r="H22" s="562"/>
      <c r="I22" s="562"/>
      <c r="J22" s="562"/>
      <c r="K22" s="562"/>
      <c r="L22" s="562"/>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87" t="str">
        <f>'Detail despre Grant'!B3:J3</f>
        <v>Tabel Programatic de Evaluare:  Moldova - TB</v>
      </c>
      <c r="C3" s="987"/>
      <c r="D3" s="987"/>
      <c r="E3" s="987"/>
      <c r="F3" s="987"/>
      <c r="G3" s="987"/>
      <c r="H3" s="987"/>
      <c r="I3" s="1"/>
    </row>
    <row r="6" spans="2:15" ht="18.75">
      <c r="B6" s="936" t="s">
        <v>247</v>
      </c>
      <c r="C6" s="936"/>
      <c r="D6" s="936"/>
      <c r="E6" s="936"/>
      <c r="F6" s="936"/>
      <c r="G6" s="936"/>
      <c r="H6" s="936"/>
    </row>
    <row r="8" spans="2:15" ht="18.75">
      <c r="B8" s="61" t="s">
        <v>13</v>
      </c>
      <c r="C8" s="61" t="s">
        <v>16</v>
      </c>
      <c r="D8" s="61" t="s">
        <v>17</v>
      </c>
      <c r="E8" s="61" t="s">
        <v>22</v>
      </c>
      <c r="F8" s="61" t="s">
        <v>231</v>
      </c>
      <c r="G8" s="61" t="s">
        <v>215</v>
      </c>
      <c r="H8" s="61" t="s">
        <v>234</v>
      </c>
      <c r="I8" s="62" t="s">
        <v>54</v>
      </c>
      <c r="J8" s="62" t="s">
        <v>80</v>
      </c>
      <c r="M8" s="19"/>
      <c r="N8" s="19"/>
      <c r="O8" s="19"/>
    </row>
    <row r="9" spans="2:15">
      <c r="B9" s="85" t="s">
        <v>270</v>
      </c>
      <c r="C9" s="85" t="s">
        <v>270</v>
      </c>
      <c r="D9" s="85" t="s">
        <v>270</v>
      </c>
      <c r="E9" s="85" t="s">
        <v>270</v>
      </c>
      <c r="F9" s="85" t="s">
        <v>270</v>
      </c>
      <c r="G9" s="85" t="s">
        <v>270</v>
      </c>
      <c r="H9" s="85" t="s">
        <v>270</v>
      </c>
      <c r="I9" s="330" t="s">
        <v>270</v>
      </c>
      <c r="J9" s="85" t="s">
        <v>270</v>
      </c>
      <c r="M9" s="19"/>
      <c r="N9" s="19"/>
      <c r="O9" s="19"/>
    </row>
    <row r="10" spans="2:15">
      <c r="B10" s="56" t="s">
        <v>12</v>
      </c>
      <c r="C10" s="56" t="s">
        <v>7</v>
      </c>
      <c r="D10" s="56" t="s">
        <v>5</v>
      </c>
      <c r="E10" s="56" t="s">
        <v>6</v>
      </c>
      <c r="F10" s="56" t="s">
        <v>62</v>
      </c>
      <c r="G10" s="336" t="s">
        <v>24</v>
      </c>
      <c r="H10" s="59" t="s">
        <v>29</v>
      </c>
      <c r="I10" s="26" t="s">
        <v>237</v>
      </c>
      <c r="J10" s="85" t="s">
        <v>81</v>
      </c>
      <c r="M10" s="19"/>
      <c r="N10" s="19"/>
      <c r="O10" s="19"/>
    </row>
    <row r="11" spans="2:15">
      <c r="B11" s="56" t="s">
        <v>14</v>
      </c>
      <c r="C11" s="56" t="s">
        <v>2</v>
      </c>
      <c r="D11" s="56" t="s">
        <v>8</v>
      </c>
      <c r="E11" s="56" t="s">
        <v>4</v>
      </c>
      <c r="F11" s="56" t="s">
        <v>63</v>
      </c>
      <c r="G11" s="336" t="s">
        <v>25</v>
      </c>
      <c r="H11" s="59" t="s">
        <v>30</v>
      </c>
      <c r="I11" s="26" t="s">
        <v>238</v>
      </c>
      <c r="J11" s="85" t="s">
        <v>82</v>
      </c>
      <c r="M11" s="19"/>
      <c r="N11" s="19"/>
      <c r="O11" s="19"/>
    </row>
    <row r="12" spans="2:15">
      <c r="B12" s="56" t="s">
        <v>15</v>
      </c>
      <c r="D12" s="56" t="s">
        <v>9</v>
      </c>
      <c r="E12" s="56" t="s">
        <v>10</v>
      </c>
      <c r="F12" s="56" t="s">
        <v>64</v>
      </c>
      <c r="G12" s="336" t="s">
        <v>26</v>
      </c>
      <c r="H12" s="59" t="s">
        <v>31</v>
      </c>
      <c r="I12" s="26" t="s">
        <v>239</v>
      </c>
      <c r="J12" s="85" t="s">
        <v>83</v>
      </c>
      <c r="M12" s="160"/>
      <c r="N12" s="19"/>
      <c r="O12" s="19"/>
    </row>
    <row r="13" spans="2:15">
      <c r="B13" s="56" t="s">
        <v>50</v>
      </c>
      <c r="D13" s="56" t="s">
        <v>11</v>
      </c>
      <c r="E13" s="57"/>
      <c r="F13" s="56" t="s">
        <v>65</v>
      </c>
      <c r="G13" s="336" t="s">
        <v>27</v>
      </c>
      <c r="H13" s="59" t="s">
        <v>32</v>
      </c>
      <c r="I13" s="26" t="s">
        <v>240</v>
      </c>
      <c r="J13" s="85" t="s">
        <v>84</v>
      </c>
      <c r="M13" s="160"/>
      <c r="N13" s="19"/>
      <c r="O13" s="19"/>
    </row>
    <row r="14" spans="2:15">
      <c r="B14" s="56" t="s">
        <v>51</v>
      </c>
      <c r="D14" s="56" t="s">
        <v>18</v>
      </c>
      <c r="F14" s="56" t="s">
        <v>72</v>
      </c>
      <c r="G14" s="336" t="s">
        <v>28</v>
      </c>
      <c r="H14" s="59" t="s">
        <v>33</v>
      </c>
      <c r="I14" s="26" t="s">
        <v>216</v>
      </c>
      <c r="J14" s="85" t="s">
        <v>85</v>
      </c>
      <c r="M14" s="160"/>
      <c r="N14" s="19"/>
      <c r="O14" s="19"/>
    </row>
    <row r="15" spans="2:15">
      <c r="D15" s="56" t="s">
        <v>19</v>
      </c>
      <c r="F15" s="56" t="s">
        <v>73</v>
      </c>
      <c r="H15" s="59" t="s">
        <v>34</v>
      </c>
      <c r="I15" s="26" t="s">
        <v>40</v>
      </c>
      <c r="J15" s="85" t="s">
        <v>86</v>
      </c>
      <c r="M15" s="160"/>
      <c r="N15" s="19"/>
      <c r="O15" s="19"/>
    </row>
    <row r="16" spans="2:15">
      <c r="D16" s="56" t="s">
        <v>20</v>
      </c>
      <c r="F16" s="56" t="s">
        <v>74</v>
      </c>
      <c r="H16" s="59" t="s">
        <v>35</v>
      </c>
      <c r="I16" s="26" t="s">
        <v>41</v>
      </c>
      <c r="J16" s="85" t="s">
        <v>87</v>
      </c>
      <c r="M16" s="160"/>
      <c r="N16" s="19"/>
      <c r="O16" s="19"/>
    </row>
    <row r="17" spans="4:15">
      <c r="D17" s="56" t="s">
        <v>21</v>
      </c>
      <c r="F17" s="56" t="s">
        <v>75</v>
      </c>
      <c r="H17" s="59" t="s">
        <v>36</v>
      </c>
      <c r="I17" s="26" t="s">
        <v>42</v>
      </c>
      <c r="J17" s="85" t="s">
        <v>88</v>
      </c>
      <c r="M17" s="160"/>
      <c r="N17" s="19"/>
      <c r="O17" s="19"/>
    </row>
    <row r="18" spans="4:15">
      <c r="D18" s="56" t="s">
        <v>3</v>
      </c>
      <c r="F18" s="56" t="s">
        <v>76</v>
      </c>
      <c r="H18" s="59" t="s">
        <v>37</v>
      </c>
      <c r="I18" s="26" t="s">
        <v>43</v>
      </c>
      <c r="J18" s="85" t="s">
        <v>89</v>
      </c>
      <c r="M18" s="160"/>
      <c r="N18" s="19"/>
      <c r="O18" s="19"/>
    </row>
    <row r="19" spans="4:15">
      <c r="D19" s="335" t="s">
        <v>269</v>
      </c>
      <c r="F19" s="56" t="s">
        <v>77</v>
      </c>
      <c r="H19" s="59" t="s">
        <v>38</v>
      </c>
      <c r="I19" s="26" t="s">
        <v>44</v>
      </c>
      <c r="J19" s="85" t="s">
        <v>90</v>
      </c>
      <c r="M19" s="160"/>
      <c r="N19" s="19"/>
      <c r="O19" s="19"/>
    </row>
    <row r="20" spans="4:15">
      <c r="D20" s="58"/>
      <c r="F20" s="56" t="s">
        <v>78</v>
      </c>
      <c r="H20" s="59" t="s">
        <v>213</v>
      </c>
      <c r="I20" s="26" t="s">
        <v>45</v>
      </c>
      <c r="J20" s="85" t="s">
        <v>91</v>
      </c>
      <c r="M20" s="19"/>
      <c r="N20" s="19"/>
      <c r="O20" s="19"/>
    </row>
    <row r="21" spans="4:15">
      <c r="D21" s="60"/>
      <c r="F21" s="56" t="s">
        <v>232</v>
      </c>
      <c r="H21" s="60"/>
      <c r="I21" s="26" t="s">
        <v>47</v>
      </c>
      <c r="J21" s="85" t="s">
        <v>92</v>
      </c>
      <c r="M21" s="19"/>
      <c r="N21" s="19"/>
      <c r="O21" s="19"/>
    </row>
    <row r="22" spans="4:15">
      <c r="H22" s="60"/>
      <c r="I22" s="26" t="s">
        <v>48</v>
      </c>
      <c r="J22" s="85" t="s">
        <v>93</v>
      </c>
      <c r="M22" s="19"/>
      <c r="N22" s="19"/>
      <c r="O22" s="19"/>
    </row>
    <row r="23" spans="4:15">
      <c r="I23" s="26" t="s">
        <v>46</v>
      </c>
      <c r="J23" s="85" t="s">
        <v>94</v>
      </c>
      <c r="M23" s="19"/>
      <c r="N23" s="19"/>
      <c r="O23" s="19"/>
    </row>
    <row r="24" spans="4:15">
      <c r="I24" s="26" t="s">
        <v>242</v>
      </c>
      <c r="J24" s="85" t="s">
        <v>95</v>
      </c>
      <c r="M24" s="19"/>
      <c r="N24" s="19"/>
      <c r="O24" s="19"/>
    </row>
    <row r="25" spans="4:15">
      <c r="I25" s="44"/>
      <c r="J25" s="85" t="s">
        <v>96</v>
      </c>
    </row>
    <row r="26" spans="4:15">
      <c r="I26" s="26" t="s">
        <v>243</v>
      </c>
      <c r="J26" s="85" t="s">
        <v>97</v>
      </c>
    </row>
    <row r="27" spans="4:15">
      <c r="I27" s="26" t="s">
        <v>241</v>
      </c>
      <c r="J27" s="85" t="s">
        <v>98</v>
      </c>
    </row>
    <row r="28" spans="4:15">
      <c r="I28" s="44"/>
      <c r="J28" s="85" t="s">
        <v>99</v>
      </c>
    </row>
    <row r="29" spans="4:15">
      <c r="I29" s="44"/>
      <c r="J29" s="85" t="s">
        <v>100</v>
      </c>
    </row>
    <row r="30" spans="4:15">
      <c r="I30" s="44"/>
      <c r="J30" s="85" t="s">
        <v>101</v>
      </c>
    </row>
    <row r="31" spans="4:15">
      <c r="J31" s="85" t="s">
        <v>102</v>
      </c>
    </row>
    <row r="32" spans="4:15">
      <c r="J32" s="85" t="s">
        <v>103</v>
      </c>
    </row>
    <row r="33" spans="10:10">
      <c r="J33" s="85" t="s">
        <v>104</v>
      </c>
    </row>
    <row r="34" spans="10:10">
      <c r="J34" s="85" t="s">
        <v>105</v>
      </c>
    </row>
    <row r="35" spans="10:10">
      <c r="J35" s="85" t="s">
        <v>106</v>
      </c>
    </row>
    <row r="36" spans="10:10">
      <c r="J36" s="85" t="s">
        <v>106</v>
      </c>
    </row>
    <row r="37" spans="10:10">
      <c r="J37" s="85" t="s">
        <v>107</v>
      </c>
    </row>
    <row r="38" spans="10:10">
      <c r="J38" s="85" t="s">
        <v>108</v>
      </c>
    </row>
    <row r="39" spans="10:10">
      <c r="J39" s="85" t="s">
        <v>109</v>
      </c>
    </row>
    <row r="40" spans="10:10">
      <c r="J40" s="85" t="s">
        <v>110</v>
      </c>
    </row>
    <row r="41" spans="10:10">
      <c r="J41" s="85" t="s">
        <v>111</v>
      </c>
    </row>
    <row r="42" spans="10:10">
      <c r="J42" s="85" t="s">
        <v>112</v>
      </c>
    </row>
    <row r="43" spans="10:10">
      <c r="J43" s="85" t="s">
        <v>113</v>
      </c>
    </row>
    <row r="44" spans="10:10">
      <c r="J44" s="85" t="s">
        <v>114</v>
      </c>
    </row>
    <row r="45" spans="10:10">
      <c r="J45" s="85" t="s">
        <v>115</v>
      </c>
    </row>
    <row r="46" spans="10:10">
      <c r="J46" s="85" t="s">
        <v>116</v>
      </c>
    </row>
    <row r="47" spans="10:10">
      <c r="J47" s="85" t="s">
        <v>117</v>
      </c>
    </row>
    <row r="48" spans="10:10">
      <c r="J48" s="85" t="s">
        <v>118</v>
      </c>
    </row>
    <row r="49" spans="10:10">
      <c r="J49" s="85" t="s">
        <v>119</v>
      </c>
    </row>
    <row r="50" spans="10:10">
      <c r="J50" s="85" t="s">
        <v>120</v>
      </c>
    </row>
    <row r="51" spans="10:10">
      <c r="J51" s="85" t="s">
        <v>121</v>
      </c>
    </row>
    <row r="52" spans="10:10">
      <c r="J52" s="85" t="s">
        <v>122</v>
      </c>
    </row>
    <row r="53" spans="10:10">
      <c r="J53" s="85" t="s">
        <v>123</v>
      </c>
    </row>
    <row r="54" spans="10:10">
      <c r="J54" s="85" t="s">
        <v>124</v>
      </c>
    </row>
    <row r="55" spans="10:10">
      <c r="J55" s="85" t="s">
        <v>125</v>
      </c>
    </row>
    <row r="56" spans="10:10">
      <c r="J56" s="85" t="s">
        <v>126</v>
      </c>
    </row>
    <row r="57" spans="10:10">
      <c r="J57" s="85" t="s">
        <v>127</v>
      </c>
    </row>
    <row r="58" spans="10:10">
      <c r="J58" s="85" t="s">
        <v>128</v>
      </c>
    </row>
    <row r="59" spans="10:10">
      <c r="J59" s="85" t="s">
        <v>129</v>
      </c>
    </row>
    <row r="60" spans="10:10">
      <c r="J60" s="85" t="s">
        <v>130</v>
      </c>
    </row>
    <row r="61" spans="10:10">
      <c r="J61" s="85" t="s">
        <v>131</v>
      </c>
    </row>
    <row r="62" spans="10:10">
      <c r="J62" s="85" t="s">
        <v>132</v>
      </c>
    </row>
    <row r="63" spans="10:10">
      <c r="J63" s="85" t="s">
        <v>133</v>
      </c>
    </row>
    <row r="64" spans="10:10">
      <c r="J64" s="85" t="s">
        <v>134</v>
      </c>
    </row>
    <row r="65" spans="10:10">
      <c r="J65" s="85" t="s">
        <v>135</v>
      </c>
    </row>
    <row r="66" spans="10:10">
      <c r="J66" s="85" t="s">
        <v>136</v>
      </c>
    </row>
    <row r="67" spans="10:10">
      <c r="J67" s="85" t="s">
        <v>137</v>
      </c>
    </row>
    <row r="68" spans="10:10">
      <c r="J68" s="85" t="s">
        <v>138</v>
      </c>
    </row>
    <row r="69" spans="10:10">
      <c r="J69" s="85" t="s">
        <v>139</v>
      </c>
    </row>
    <row r="70" spans="10:10">
      <c r="J70" s="85" t="s">
        <v>140</v>
      </c>
    </row>
    <row r="71" spans="10:10">
      <c r="J71" s="85" t="s">
        <v>141</v>
      </c>
    </row>
    <row r="72" spans="10:10">
      <c r="J72" s="85" t="s">
        <v>142</v>
      </c>
    </row>
    <row r="73" spans="10:10">
      <c r="J73" s="85" t="s">
        <v>143</v>
      </c>
    </row>
    <row r="74" spans="10:10">
      <c r="J74" s="85" t="s">
        <v>144</v>
      </c>
    </row>
    <row r="75" spans="10:10">
      <c r="J75" s="85" t="s">
        <v>145</v>
      </c>
    </row>
    <row r="76" spans="10:10">
      <c r="J76" s="85" t="s">
        <v>146</v>
      </c>
    </row>
    <row r="77" spans="10:10">
      <c r="J77" s="85" t="s">
        <v>147</v>
      </c>
    </row>
    <row r="78" spans="10:10">
      <c r="J78" s="85" t="s">
        <v>148</v>
      </c>
    </row>
    <row r="79" spans="10:10">
      <c r="J79" s="85" t="s">
        <v>149</v>
      </c>
    </row>
    <row r="80" spans="10:10">
      <c r="J80" s="85" t="s">
        <v>150</v>
      </c>
    </row>
    <row r="81" spans="10:10">
      <c r="J81" s="85" t="s">
        <v>151</v>
      </c>
    </row>
    <row r="82" spans="10:10">
      <c r="J82" s="85" t="s">
        <v>152</v>
      </c>
    </row>
    <row r="83" spans="10:10">
      <c r="J83" s="85" t="s">
        <v>153</v>
      </c>
    </row>
    <row r="84" spans="10:10">
      <c r="J84" s="85" t="s">
        <v>154</v>
      </c>
    </row>
    <row r="85" spans="10:10">
      <c r="J85" s="85" t="s">
        <v>155</v>
      </c>
    </row>
    <row r="86" spans="10:10">
      <c r="J86" s="85" t="s">
        <v>156</v>
      </c>
    </row>
    <row r="87" spans="10:10">
      <c r="J87" s="85" t="s">
        <v>157</v>
      </c>
    </row>
    <row r="88" spans="10:10">
      <c r="J88" s="85" t="s">
        <v>158</v>
      </c>
    </row>
    <row r="89" spans="10:10">
      <c r="J89" s="85" t="s">
        <v>159</v>
      </c>
    </row>
    <row r="90" spans="10:10">
      <c r="J90" s="85" t="s">
        <v>160</v>
      </c>
    </row>
    <row r="91" spans="10:10">
      <c r="J91" s="85" t="s">
        <v>161</v>
      </c>
    </row>
    <row r="92" spans="10:10">
      <c r="J92" s="85" t="s">
        <v>162</v>
      </c>
    </row>
    <row r="93" spans="10:10">
      <c r="J93" s="85" t="s">
        <v>163</v>
      </c>
    </row>
    <row r="94" spans="10:10">
      <c r="J94" s="85" t="s">
        <v>164</v>
      </c>
    </row>
    <row r="95" spans="10:10">
      <c r="J95" s="85" t="s">
        <v>165</v>
      </c>
    </row>
    <row r="96" spans="10:10">
      <c r="J96" s="85" t="s">
        <v>166</v>
      </c>
    </row>
    <row r="97" spans="10:10">
      <c r="J97" s="85" t="s">
        <v>167</v>
      </c>
    </row>
    <row r="98" spans="10:10">
      <c r="J98" s="85" t="s">
        <v>168</v>
      </c>
    </row>
    <row r="99" spans="10:10">
      <c r="J99" s="85" t="s">
        <v>169</v>
      </c>
    </row>
    <row r="100" spans="10:10">
      <c r="J100" s="85" t="s">
        <v>170</v>
      </c>
    </row>
    <row r="101" spans="10:10">
      <c r="J101" s="85" t="s">
        <v>171</v>
      </c>
    </row>
    <row r="102" spans="10:10">
      <c r="J102" s="85" t="s">
        <v>172</v>
      </c>
    </row>
    <row r="103" spans="10:10">
      <c r="J103" s="85" t="s">
        <v>173</v>
      </c>
    </row>
    <row r="104" spans="10:10">
      <c r="J104" s="85" t="s">
        <v>174</v>
      </c>
    </row>
    <row r="105" spans="10:10">
      <c r="J105" s="85" t="s">
        <v>175</v>
      </c>
    </row>
    <row r="106" spans="10:10">
      <c r="J106" s="85" t="s">
        <v>176</v>
      </c>
    </row>
    <row r="107" spans="10:10">
      <c r="J107" s="85" t="s">
        <v>177</v>
      </c>
    </row>
    <row r="108" spans="10:10">
      <c r="J108" s="85" t="s">
        <v>178</v>
      </c>
    </row>
    <row r="109" spans="10:10">
      <c r="J109" s="85" t="s">
        <v>179</v>
      </c>
    </row>
    <row r="110" spans="10:10">
      <c r="J110" s="85" t="s">
        <v>180</v>
      </c>
    </row>
    <row r="111" spans="10:10">
      <c r="J111" s="85" t="s">
        <v>49</v>
      </c>
    </row>
    <row r="112" spans="10:10">
      <c r="J112" s="85" t="s">
        <v>181</v>
      </c>
    </row>
    <row r="113" spans="10:10">
      <c r="J113" s="85" t="s">
        <v>182</v>
      </c>
    </row>
    <row r="114" spans="10:10">
      <c r="J114" s="85" t="s">
        <v>183</v>
      </c>
    </row>
    <row r="115" spans="10:10">
      <c r="J115" s="85" t="s">
        <v>184</v>
      </c>
    </row>
    <row r="116" spans="10:10">
      <c r="J116" s="85" t="s">
        <v>185</v>
      </c>
    </row>
    <row r="117" spans="10:10">
      <c r="J117" s="85" t="s">
        <v>186</v>
      </c>
    </row>
    <row r="118" spans="10:10">
      <c r="J118" s="85" t="s">
        <v>187</v>
      </c>
    </row>
    <row r="119" spans="10:10">
      <c r="J119" s="85" t="s">
        <v>188</v>
      </c>
    </row>
    <row r="120" spans="10:10">
      <c r="J120" s="85" t="s">
        <v>189</v>
      </c>
    </row>
    <row r="121" spans="10:10">
      <c r="J121" s="85" t="s">
        <v>190</v>
      </c>
    </row>
    <row r="122" spans="10:10">
      <c r="J122" s="85" t="s">
        <v>191</v>
      </c>
    </row>
    <row r="123" spans="10:10">
      <c r="J123" s="85" t="s">
        <v>192</v>
      </c>
    </row>
    <row r="124" spans="10:10">
      <c r="J124" s="85" t="s">
        <v>193</v>
      </c>
    </row>
    <row r="125" spans="10:10">
      <c r="J125" s="85" t="s">
        <v>194</v>
      </c>
    </row>
    <row r="126" spans="10:10">
      <c r="J126" s="85" t="s">
        <v>195</v>
      </c>
    </row>
    <row r="127" spans="10:10">
      <c r="J127" s="85" t="s">
        <v>196</v>
      </c>
    </row>
    <row r="128" spans="10:10">
      <c r="J128" s="85" t="s">
        <v>197</v>
      </c>
    </row>
    <row r="129" spans="10:10">
      <c r="J129" s="85" t="s">
        <v>198</v>
      </c>
    </row>
    <row r="130" spans="10:10">
      <c r="J130" s="85" t="s">
        <v>199</v>
      </c>
    </row>
    <row r="131" spans="10:10">
      <c r="J131" s="85" t="s">
        <v>200</v>
      </c>
    </row>
    <row r="132" spans="10:10">
      <c r="J132" s="85" t="s">
        <v>201</v>
      </c>
    </row>
    <row r="133" spans="10:10">
      <c r="J133" s="85" t="s">
        <v>202</v>
      </c>
    </row>
    <row r="134" spans="10:10">
      <c r="J134" s="85" t="s">
        <v>203</v>
      </c>
    </row>
    <row r="135" spans="10:10">
      <c r="J135" s="85" t="s">
        <v>204</v>
      </c>
    </row>
    <row r="136" spans="10:10">
      <c r="J136" s="85" t="s">
        <v>205</v>
      </c>
    </row>
    <row r="137" spans="10:10">
      <c r="J137" s="85" t="s">
        <v>206</v>
      </c>
    </row>
    <row r="138" spans="10:10">
      <c r="J138" s="85" t="s">
        <v>207</v>
      </c>
    </row>
    <row r="139" spans="10:10">
      <c r="J139" s="85" t="s">
        <v>208</v>
      </c>
    </row>
    <row r="140" spans="10:10">
      <c r="J140" s="85" t="s">
        <v>209</v>
      </c>
    </row>
    <row r="141" spans="10:10">
      <c r="J141" s="85" t="s">
        <v>210</v>
      </c>
    </row>
    <row r="142" spans="10:10">
      <c r="J142" s="85" t="s">
        <v>211</v>
      </c>
    </row>
    <row r="143" spans="10:10">
      <c r="J143" s="85" t="s">
        <v>212</v>
      </c>
    </row>
    <row r="144" spans="10:10">
      <c r="J144" s="328"/>
    </row>
  </sheetData>
  <mergeCells count="2">
    <mergeCell ref="B3:H3"/>
    <mergeCell ref="B6:H6"/>
  </mergeCells>
  <phoneticPr fontId="23"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defaultRowHeight="15"/>
  <sheetData>
    <row r="1" spans="1:1">
      <c r="A1" s="377" t="s">
        <v>280</v>
      </c>
    </row>
    <row r="2" spans="1:1" ht="15" customHeight="1">
      <c r="A2" s="378" t="s">
        <v>368</v>
      </c>
    </row>
    <row r="3" spans="1:1">
      <c r="A3" s="377">
        <v>1.1000000000000001</v>
      </c>
    </row>
    <row r="4" spans="1:1">
      <c r="A4" s="378">
        <v>1.2</v>
      </c>
    </row>
    <row r="5" spans="1:1">
      <c r="A5" s="378">
        <v>1.3</v>
      </c>
    </row>
    <row r="6" spans="1:1">
      <c r="A6" s="377">
        <v>1.4</v>
      </c>
    </row>
    <row r="7" spans="1:1" ht="15.75" thickBot="1">
      <c r="A7" s="378">
        <v>1.5</v>
      </c>
    </row>
    <row r="8" spans="1:1">
      <c r="A8" s="379">
        <v>1.7</v>
      </c>
    </row>
    <row r="9" spans="1:1">
      <c r="A9" s="377">
        <v>2.1</v>
      </c>
    </row>
    <row r="10" spans="1:1">
      <c r="A10" s="378">
        <v>2.2999999999999998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2"/>
  <sheetViews>
    <sheetView showGridLines="0" view="pageBreakPreview" zoomScale="80" zoomScaleNormal="70" zoomScaleSheetLayoutView="80" workbookViewId="0">
      <pane ySplit="2" topLeftCell="A36" activePane="bottomLeft" state="frozen"/>
      <selection activeCell="E22" sqref="E22"/>
      <selection pane="bottomLeft" activeCell="E19" sqref="E19:I19"/>
    </sheetView>
  </sheetViews>
  <sheetFormatPr defaultColWidth="11" defaultRowHeight="15"/>
  <cols>
    <col min="1" max="1" width="2.7109375" customWidth="1"/>
    <col min="2" max="2" width="21.42578125" customWidth="1"/>
    <col min="3" max="3" width="18" customWidth="1"/>
    <col min="4" max="4" width="17" customWidth="1"/>
    <col min="5" max="5" width="16.42578125" customWidth="1"/>
    <col min="6" max="6" width="15.7109375" customWidth="1"/>
    <col min="7" max="7" width="37.28515625" customWidth="1"/>
    <col min="8" max="8" width="17.28515625" customWidth="1"/>
    <col min="9" max="9" width="30" customWidth="1"/>
    <col min="10" max="10" width="14.140625" customWidth="1"/>
    <col min="11" max="11" width="12.85546875" customWidth="1"/>
    <col min="12" max="12" width="10.28515625" customWidth="1"/>
    <col min="13" max="13" width="36.7109375" customWidth="1"/>
    <col min="14" max="14" width="2.85546875" style="35" customWidth="1"/>
    <col min="15" max="15" width="3"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46" t="str">
        <f>+"Tabel Programatic de Evaluare: "&amp;" "&amp;+IF('Introducerea datelor'!C4="Please Select","",'Introducerea datelor'!C4&amp;" - ")&amp;+IF('Introducerea datelor'!G6="Please Select","",'Introducerea datelor'!G6)</f>
        <v>Tabel Programatic de Evaluare:  Moldova - TB</v>
      </c>
      <c r="C2" s="646"/>
      <c r="D2" s="646"/>
      <c r="E2" s="646"/>
      <c r="F2" s="646"/>
      <c r="G2" s="646"/>
      <c r="H2" s="646"/>
      <c r="I2" s="646"/>
      <c r="J2" s="646"/>
      <c r="K2" s="646"/>
      <c r="L2" s="646"/>
      <c r="M2" s="646"/>
    </row>
    <row r="3" spans="1:15" ht="15.75" customHeight="1">
      <c r="A3" s="3"/>
      <c r="B3" s="183"/>
      <c r="C3" s="183"/>
      <c r="D3" s="183"/>
      <c r="E3" s="183"/>
      <c r="F3" s="183"/>
      <c r="G3" s="183"/>
      <c r="H3" s="183"/>
      <c r="I3" s="183"/>
      <c r="J3" s="183"/>
      <c r="K3" s="184"/>
      <c r="L3" s="184"/>
      <c r="M3" s="3"/>
    </row>
    <row r="5" spans="1:15" ht="23.25">
      <c r="B5" s="592" t="s">
        <v>228</v>
      </c>
      <c r="C5" s="592"/>
      <c r="D5" s="592"/>
      <c r="E5" s="592"/>
      <c r="F5" s="592"/>
      <c r="G5" s="592"/>
      <c r="H5" s="592"/>
      <c r="I5" s="592"/>
      <c r="J5" s="592"/>
      <c r="K5" s="592"/>
      <c r="L5" s="592"/>
      <c r="M5" s="592"/>
      <c r="N5" s="592"/>
      <c r="O5" s="592"/>
    </row>
    <row r="7" spans="1:15" ht="21">
      <c r="B7" s="647" t="s">
        <v>217</v>
      </c>
      <c r="C7" s="648"/>
      <c r="D7" s="649"/>
      <c r="E7" s="647" t="s">
        <v>218</v>
      </c>
      <c r="F7" s="648"/>
      <c r="G7" s="648"/>
      <c r="H7" s="648"/>
      <c r="I7" s="649"/>
      <c r="J7" s="647" t="s">
        <v>219</v>
      </c>
      <c r="K7" s="648"/>
      <c r="L7" s="649"/>
      <c r="M7" s="647" t="s">
        <v>253</v>
      </c>
      <c r="N7" s="648"/>
      <c r="O7" s="649"/>
    </row>
    <row r="8" spans="1:15" ht="92.25" customHeight="1">
      <c r="B8" s="608" t="str">
        <f>+'Introducerea datelor'!B27</f>
        <v>F1: Bugetul și debursările de către Fondul Global</v>
      </c>
      <c r="C8" s="650"/>
      <c r="D8" s="651"/>
      <c r="E8" s="652" t="s">
        <v>272</v>
      </c>
      <c r="F8" s="653"/>
      <c r="G8" s="653"/>
      <c r="H8" s="653"/>
      <c r="I8" s="654"/>
      <c r="J8" s="605" t="s">
        <v>254</v>
      </c>
      <c r="K8" s="606"/>
      <c r="L8" s="607"/>
      <c r="M8" s="605" t="s">
        <v>273</v>
      </c>
      <c r="N8" s="606"/>
      <c r="O8" s="607"/>
    </row>
    <row r="9" spans="1:15" ht="110.25" customHeight="1">
      <c r="B9" s="608" t="str">
        <f>+'Introducerea datelor'!B36</f>
        <v>F2: Bugetul și cheltuielile actuale după Obiectivele Grantului</v>
      </c>
      <c r="C9" s="650"/>
      <c r="D9" s="651"/>
      <c r="E9" s="645" t="s">
        <v>262</v>
      </c>
      <c r="F9" s="612"/>
      <c r="G9" s="612"/>
      <c r="H9" s="612"/>
      <c r="I9" s="613"/>
      <c r="J9" s="605" t="s">
        <v>256</v>
      </c>
      <c r="K9" s="606"/>
      <c r="L9" s="607"/>
      <c r="M9" s="605" t="s">
        <v>273</v>
      </c>
      <c r="N9" s="606"/>
      <c r="O9" s="607"/>
    </row>
    <row r="10" spans="1:15" ht="231.75" customHeight="1">
      <c r="B10" s="656" t="str">
        <f>+'Introducerea datelor'!B48</f>
        <v>F3: Debursări și cheltuieli</v>
      </c>
      <c r="C10" s="659"/>
      <c r="D10" s="660"/>
      <c r="E10" s="645" t="s">
        <v>274</v>
      </c>
      <c r="F10" s="612"/>
      <c r="G10" s="612"/>
      <c r="H10" s="612"/>
      <c r="I10" s="613"/>
      <c r="J10" s="605" t="s">
        <v>263</v>
      </c>
      <c r="K10" s="606"/>
      <c r="L10" s="607"/>
      <c r="M10" s="605" t="s">
        <v>255</v>
      </c>
      <c r="N10" s="606"/>
      <c r="O10" s="607"/>
    </row>
    <row r="11" spans="1:15" ht="279.75" customHeight="1">
      <c r="B11" s="656" t="str">
        <f>+'Introducerea datelor'!B57</f>
        <v xml:space="preserve">F4: Ultima perioadă de raportare și debursare a RP </v>
      </c>
      <c r="C11" s="657"/>
      <c r="D11" s="658"/>
      <c r="E11" s="645" t="s">
        <v>277</v>
      </c>
      <c r="F11" s="612"/>
      <c r="G11" s="612"/>
      <c r="H11" s="612"/>
      <c r="I11" s="613"/>
      <c r="J11" s="605" t="s">
        <v>264</v>
      </c>
      <c r="K11" s="606"/>
      <c r="L11" s="607"/>
      <c r="M11" s="605" t="s">
        <v>222</v>
      </c>
      <c r="N11" s="606"/>
      <c r="O11" s="607"/>
    </row>
    <row r="12" spans="1:15" s="19" customFormat="1">
      <c r="B12" s="661"/>
      <c r="C12" s="661"/>
      <c r="D12" s="661"/>
      <c r="E12" s="655"/>
      <c r="F12" s="655"/>
      <c r="G12" s="655"/>
      <c r="H12" s="655"/>
      <c r="I12" s="655"/>
      <c r="J12" s="655"/>
      <c r="K12" s="655"/>
      <c r="L12" s="655"/>
      <c r="M12" s="655"/>
      <c r="N12" s="655"/>
      <c r="O12" s="655"/>
    </row>
    <row r="13" spans="1:15" s="19" customFormat="1" ht="9" customHeight="1">
      <c r="B13" s="644"/>
      <c r="C13" s="644"/>
      <c r="D13" s="644"/>
      <c r="E13" s="640"/>
      <c r="F13" s="640"/>
      <c r="G13" s="640"/>
      <c r="H13" s="640"/>
      <c r="I13" s="640"/>
      <c r="J13" s="640"/>
      <c r="K13" s="640"/>
      <c r="L13" s="640"/>
      <c r="M13" s="640"/>
      <c r="N13" s="640"/>
      <c r="O13" s="640"/>
    </row>
    <row r="14" spans="1:15" s="19" customFormat="1" ht="9.75" customHeight="1">
      <c r="B14" s="644"/>
      <c r="C14" s="644"/>
      <c r="D14" s="644"/>
      <c r="E14" s="640"/>
      <c r="F14" s="640"/>
      <c r="G14" s="640"/>
      <c r="H14" s="640"/>
      <c r="I14" s="640"/>
      <c r="J14" s="640"/>
      <c r="K14" s="640"/>
      <c r="L14" s="640"/>
      <c r="M14" s="640"/>
      <c r="N14" s="640"/>
      <c r="O14" s="640"/>
    </row>
    <row r="15" spans="1:15" s="19" customFormat="1">
      <c r="B15" s="644"/>
      <c r="C15" s="644"/>
      <c r="D15" s="644"/>
      <c r="E15" s="640"/>
      <c r="F15" s="640"/>
      <c r="G15" s="640"/>
      <c r="H15" s="640"/>
      <c r="I15" s="640"/>
      <c r="J15" s="640"/>
      <c r="K15" s="640"/>
      <c r="L15" s="640"/>
      <c r="M15" s="640"/>
      <c r="N15" s="640"/>
      <c r="O15" s="640"/>
    </row>
    <row r="16" spans="1:15" ht="18" customHeight="1">
      <c r="B16" s="592" t="s">
        <v>229</v>
      </c>
      <c r="C16" s="592"/>
      <c r="D16" s="592"/>
      <c r="E16" s="592"/>
      <c r="F16" s="592"/>
      <c r="G16" s="592"/>
      <c r="H16" s="592"/>
      <c r="I16" s="592"/>
      <c r="J16" s="592"/>
      <c r="K16" s="592"/>
      <c r="L16" s="592"/>
      <c r="M16" s="592"/>
      <c r="N16" s="592"/>
      <c r="O16" s="592"/>
    </row>
    <row r="17" spans="1:15" ht="9" customHeight="1"/>
    <row r="18" spans="1:15" ht="21">
      <c r="B18" s="641" t="s">
        <v>217</v>
      </c>
      <c r="C18" s="642"/>
      <c r="D18" s="643"/>
      <c r="E18" s="641" t="s">
        <v>218</v>
      </c>
      <c r="F18" s="642"/>
      <c r="G18" s="642"/>
      <c r="H18" s="642"/>
      <c r="I18" s="643"/>
      <c r="J18" s="641" t="s">
        <v>219</v>
      </c>
      <c r="K18" s="642"/>
      <c r="L18" s="643"/>
      <c r="M18" s="641" t="s">
        <v>220</v>
      </c>
      <c r="N18" s="642"/>
      <c r="O18" s="643"/>
    </row>
    <row r="19" spans="1:15" ht="114" customHeight="1">
      <c r="B19" s="608" t="str">
        <f>+'Introducerea datelor'!B68</f>
        <v xml:space="preserve">M1: Statutul Condițiilor Precedente și a Acțiunilor Prestabilite în Timp </v>
      </c>
      <c r="C19" s="609"/>
      <c r="D19" s="610"/>
      <c r="E19" s="645" t="s">
        <v>227</v>
      </c>
      <c r="F19" s="612"/>
      <c r="G19" s="612"/>
      <c r="H19" s="612"/>
      <c r="I19" s="613"/>
      <c r="J19" s="605" t="s">
        <v>257</v>
      </c>
      <c r="K19" s="606"/>
      <c r="L19" s="607"/>
      <c r="M19" s="605" t="s">
        <v>258</v>
      </c>
      <c r="N19" s="606"/>
      <c r="O19" s="607"/>
    </row>
    <row r="20" spans="1:15" ht="91.5" customHeight="1">
      <c r="B20" s="608" t="str">
        <f>+'Introducerea datelor'!B75</f>
        <v xml:space="preserve">M2: Statutul pozițiilor cheie a RP </v>
      </c>
      <c r="C20" s="609"/>
      <c r="D20" s="610"/>
      <c r="E20" s="645" t="s">
        <v>275</v>
      </c>
      <c r="F20" s="612"/>
      <c r="G20" s="612"/>
      <c r="H20" s="612"/>
      <c r="I20" s="613"/>
      <c r="J20" s="605" t="s">
        <v>224</v>
      </c>
      <c r="K20" s="606"/>
      <c r="L20" s="607"/>
      <c r="M20" s="605" t="s">
        <v>223</v>
      </c>
      <c r="N20" s="606"/>
      <c r="O20" s="607"/>
    </row>
    <row r="21" spans="1:15" ht="171.75" customHeight="1">
      <c r="B21" s="608" t="str">
        <f>+'Introducerea datelor'!B80</f>
        <v xml:space="preserve">M3: Aranjamente contractuale (SR) </v>
      </c>
      <c r="C21" s="609"/>
      <c r="D21" s="610"/>
      <c r="E21" s="611" t="s">
        <v>0</v>
      </c>
      <c r="F21" s="612"/>
      <c r="G21" s="612"/>
      <c r="H21" s="612"/>
      <c r="I21" s="613"/>
      <c r="J21" s="605" t="s">
        <v>259</v>
      </c>
      <c r="K21" s="606"/>
      <c r="L21" s="607"/>
      <c r="M21" s="605" t="s">
        <v>260</v>
      </c>
      <c r="N21" s="606"/>
      <c r="O21" s="607"/>
    </row>
    <row r="22" spans="1:15" ht="74.25" customHeight="1">
      <c r="B22" s="608" t="str">
        <f>+'Introducerea datelor'!B85</f>
        <v>M4: Numărul rapoartelor complete recepționate la timp</v>
      </c>
      <c r="C22" s="609"/>
      <c r="D22" s="610"/>
      <c r="E22" s="611" t="s">
        <v>278</v>
      </c>
      <c r="F22" s="638"/>
      <c r="G22" s="638"/>
      <c r="H22" s="638"/>
      <c r="I22" s="639"/>
      <c r="J22" s="605" t="s">
        <v>265</v>
      </c>
      <c r="K22" s="606"/>
      <c r="L22" s="607"/>
      <c r="M22" s="605" t="s">
        <v>225</v>
      </c>
      <c r="N22" s="606"/>
      <c r="O22" s="607"/>
    </row>
    <row r="23" spans="1:15" ht="135" customHeight="1">
      <c r="B23" s="623" t="str">
        <f>+'Introducerea datelor'!B91</f>
        <v xml:space="preserve">M5: Bugetul și Procurarea produselor medicale, echipamentului medical, medicamentelor și produselor farmaceutice </v>
      </c>
      <c r="C23" s="624"/>
      <c r="D23" s="625"/>
      <c r="E23" s="602" t="s">
        <v>266</v>
      </c>
      <c r="F23" s="603"/>
      <c r="G23" s="603"/>
      <c r="H23" s="603"/>
      <c r="I23" s="604"/>
      <c r="J23" s="632" t="s">
        <v>221</v>
      </c>
      <c r="K23" s="633"/>
      <c r="L23" s="634"/>
      <c r="M23" s="632" t="s">
        <v>226</v>
      </c>
      <c r="N23" s="633"/>
      <c r="O23" s="634"/>
    </row>
    <row r="24" spans="1:15" ht="97.5" customHeight="1">
      <c r="B24" s="626"/>
      <c r="C24" s="627"/>
      <c r="D24" s="628"/>
      <c r="E24" s="629" t="s">
        <v>261</v>
      </c>
      <c r="F24" s="630"/>
      <c r="G24" s="630"/>
      <c r="H24" s="630"/>
      <c r="I24" s="631"/>
      <c r="J24" s="635"/>
      <c r="K24" s="636"/>
      <c r="L24" s="637"/>
      <c r="M24" s="635"/>
      <c r="N24" s="636"/>
      <c r="O24" s="637"/>
    </row>
    <row r="25" spans="1:15" ht="196.5" customHeight="1">
      <c r="B25" s="608" t="str">
        <f>+'Introducerea datelor'!B104</f>
        <v>M6: Diferență între stocul curent și stocul de siguranță</v>
      </c>
      <c r="C25" s="609"/>
      <c r="D25" s="610"/>
      <c r="E25" s="614" t="s">
        <v>279</v>
      </c>
      <c r="F25" s="615"/>
      <c r="G25" s="615"/>
      <c r="H25" s="615"/>
      <c r="I25" s="616"/>
      <c r="J25" s="617" t="s">
        <v>267</v>
      </c>
      <c r="K25" s="618"/>
      <c r="L25" s="619"/>
      <c r="M25" s="620" t="s">
        <v>268</v>
      </c>
      <c r="N25" s="621"/>
      <c r="O25" s="622"/>
    </row>
    <row r="26" spans="1:15" ht="11.25" customHeight="1"/>
    <row r="28" spans="1:15" ht="7.5" customHeight="1"/>
    <row r="29" spans="1:15" ht="9.75" customHeight="1">
      <c r="B29" s="210"/>
    </row>
    <row r="30" spans="1:15" ht="21" customHeight="1">
      <c r="B30" s="592" t="s">
        <v>424</v>
      </c>
      <c r="C30" s="592"/>
      <c r="D30" s="592"/>
      <c r="E30" s="592"/>
      <c r="F30" s="592"/>
      <c r="G30" s="592"/>
      <c r="H30" s="592"/>
      <c r="I30" s="592"/>
      <c r="J30" s="592"/>
      <c r="K30" s="592"/>
      <c r="L30" s="592"/>
      <c r="M30" s="592"/>
      <c r="N30" s="592"/>
      <c r="O30" s="592"/>
    </row>
    <row r="31" spans="1:15" ht="12.75" customHeight="1"/>
    <row r="32" spans="1:15" ht="28.5" customHeight="1">
      <c r="A32" s="207"/>
      <c r="B32" s="593" t="s">
        <v>252</v>
      </c>
      <c r="C32" s="594"/>
      <c r="D32" s="595"/>
      <c r="E32" s="563" t="s">
        <v>464</v>
      </c>
      <c r="F32" s="564"/>
      <c r="G32" s="564"/>
      <c r="H32" s="564"/>
      <c r="I32" s="565"/>
      <c r="J32" s="563" t="s">
        <v>412</v>
      </c>
      <c r="K32" s="564"/>
      <c r="L32" s="565"/>
      <c r="M32" s="563" t="s">
        <v>413</v>
      </c>
      <c r="N32" s="564"/>
      <c r="O32" s="565"/>
    </row>
    <row r="33" spans="1:15" ht="66.75" customHeight="1">
      <c r="A33" s="208"/>
      <c r="B33" s="572" t="s">
        <v>451</v>
      </c>
      <c r="C33" s="573"/>
      <c r="D33" s="574"/>
      <c r="E33" s="569" t="s">
        <v>416</v>
      </c>
      <c r="F33" s="570"/>
      <c r="G33" s="570"/>
      <c r="H33" s="570"/>
      <c r="I33" s="571"/>
      <c r="J33" s="566" t="s">
        <v>414</v>
      </c>
      <c r="K33" s="567"/>
      <c r="L33" s="568"/>
      <c r="M33" s="566" t="s">
        <v>415</v>
      </c>
      <c r="N33" s="567"/>
      <c r="O33" s="568"/>
    </row>
    <row r="34" spans="1:15" ht="63" customHeight="1">
      <c r="A34" s="208"/>
      <c r="B34" s="572" t="s">
        <v>453</v>
      </c>
      <c r="C34" s="573"/>
      <c r="D34" s="574"/>
      <c r="E34" s="569" t="s">
        <v>467</v>
      </c>
      <c r="F34" s="570"/>
      <c r="G34" s="570"/>
      <c r="H34" s="570"/>
      <c r="I34" s="571"/>
      <c r="J34" s="566" t="s">
        <v>414</v>
      </c>
      <c r="K34" s="567"/>
      <c r="L34" s="568"/>
      <c r="M34" s="575" t="s">
        <v>465</v>
      </c>
      <c r="N34" s="576"/>
      <c r="O34" s="577"/>
    </row>
    <row r="35" spans="1:15" ht="69" customHeight="1">
      <c r="A35" s="208"/>
      <c r="B35" s="572" t="s">
        <v>452</v>
      </c>
      <c r="C35" s="573"/>
      <c r="D35" s="574"/>
      <c r="E35" s="569" t="s">
        <v>468</v>
      </c>
      <c r="F35" s="570"/>
      <c r="G35" s="570"/>
      <c r="H35" s="570"/>
      <c r="I35" s="571"/>
      <c r="J35" s="566" t="s">
        <v>414</v>
      </c>
      <c r="K35" s="567"/>
      <c r="L35" s="568"/>
      <c r="M35" s="575" t="s">
        <v>466</v>
      </c>
      <c r="N35" s="576"/>
      <c r="O35" s="577"/>
    </row>
    <row r="36" spans="1:15" ht="9.75" customHeight="1">
      <c r="A36" s="208"/>
      <c r="B36" s="583"/>
      <c r="C36" s="584"/>
      <c r="D36" s="585"/>
      <c r="E36" s="425"/>
      <c r="F36" s="423"/>
      <c r="G36" s="423"/>
      <c r="H36" s="423"/>
      <c r="I36" s="424"/>
      <c r="J36" s="425"/>
      <c r="K36" s="426"/>
      <c r="L36" s="427"/>
      <c r="M36" s="425"/>
      <c r="N36" s="426"/>
      <c r="O36" s="427"/>
    </row>
    <row r="37" spans="1:15" ht="76.5" customHeight="1">
      <c r="A37" s="208"/>
      <c r="B37" s="572" t="s">
        <v>454</v>
      </c>
      <c r="C37" s="573"/>
      <c r="D37" s="574"/>
      <c r="E37" s="566" t="s">
        <v>481</v>
      </c>
      <c r="F37" s="578"/>
      <c r="G37" s="578"/>
      <c r="H37" s="578"/>
      <c r="I37" s="579"/>
      <c r="J37" s="566" t="s">
        <v>426</v>
      </c>
      <c r="K37" s="567"/>
      <c r="L37" s="568"/>
      <c r="M37" s="566" t="s">
        <v>466</v>
      </c>
      <c r="N37" s="567"/>
      <c r="O37" s="568"/>
    </row>
    <row r="38" spans="1:15" ht="69" customHeight="1">
      <c r="A38" s="208"/>
      <c r="B38" s="572" t="s">
        <v>455</v>
      </c>
      <c r="C38" s="573"/>
      <c r="D38" s="574"/>
      <c r="E38" s="566" t="s">
        <v>470</v>
      </c>
      <c r="F38" s="567"/>
      <c r="G38" s="567"/>
      <c r="H38" s="567"/>
      <c r="I38" s="568"/>
      <c r="J38" s="566" t="s">
        <v>426</v>
      </c>
      <c r="K38" s="567"/>
      <c r="L38" s="568"/>
      <c r="M38" s="566" t="s">
        <v>476</v>
      </c>
      <c r="N38" s="567"/>
      <c r="O38" s="568"/>
    </row>
    <row r="39" spans="1:15" ht="69" customHeight="1">
      <c r="A39" s="208"/>
      <c r="B39" s="572" t="s">
        <v>456</v>
      </c>
      <c r="C39" s="573"/>
      <c r="D39" s="574"/>
      <c r="E39" s="566" t="s">
        <v>474</v>
      </c>
      <c r="F39" s="567"/>
      <c r="G39" s="567"/>
      <c r="H39" s="567"/>
      <c r="I39" s="568"/>
      <c r="J39" s="566" t="s">
        <v>426</v>
      </c>
      <c r="K39" s="567"/>
      <c r="L39" s="568"/>
      <c r="M39" s="566" t="s">
        <v>476</v>
      </c>
      <c r="N39" s="567"/>
      <c r="O39" s="568"/>
    </row>
    <row r="40" spans="1:15" ht="64.5" customHeight="1">
      <c r="A40" s="208"/>
      <c r="B40" s="572" t="s">
        <v>457</v>
      </c>
      <c r="C40" s="573"/>
      <c r="D40" s="574"/>
      <c r="E40" s="566" t="s">
        <v>482</v>
      </c>
      <c r="F40" s="567"/>
      <c r="G40" s="567"/>
      <c r="H40" s="567"/>
      <c r="I40" s="568"/>
      <c r="J40" s="566" t="s">
        <v>426</v>
      </c>
      <c r="K40" s="567"/>
      <c r="L40" s="568"/>
      <c r="M40" s="566" t="s">
        <v>476</v>
      </c>
      <c r="N40" s="567"/>
      <c r="O40" s="568"/>
    </row>
    <row r="41" spans="1:15" ht="9.75" customHeight="1">
      <c r="A41" s="208"/>
      <c r="B41" s="583"/>
      <c r="C41" s="584"/>
      <c r="D41" s="585"/>
      <c r="E41" s="425"/>
      <c r="F41" s="538"/>
      <c r="G41" s="538"/>
      <c r="H41" s="538"/>
      <c r="I41" s="539"/>
      <c r="J41" s="425"/>
      <c r="K41" s="426"/>
      <c r="L41" s="427"/>
      <c r="M41" s="425"/>
      <c r="N41" s="426"/>
      <c r="O41" s="427"/>
    </row>
    <row r="42" spans="1:15" ht="90" customHeight="1">
      <c r="A42" s="208"/>
      <c r="B42" s="572" t="s">
        <v>458</v>
      </c>
      <c r="C42" s="573"/>
      <c r="D42" s="574"/>
      <c r="E42" s="566" t="s">
        <v>471</v>
      </c>
      <c r="F42" s="567"/>
      <c r="G42" s="567"/>
      <c r="H42" s="567"/>
      <c r="I42" s="568"/>
      <c r="J42" s="566" t="s">
        <v>427</v>
      </c>
      <c r="K42" s="567"/>
      <c r="L42" s="568"/>
      <c r="M42" s="566" t="s">
        <v>477</v>
      </c>
      <c r="N42" s="567"/>
      <c r="O42" s="568"/>
    </row>
    <row r="43" spans="1:15" ht="55.5" customHeight="1">
      <c r="A43" s="208"/>
      <c r="B43" s="572" t="s">
        <v>459</v>
      </c>
      <c r="C43" s="573"/>
      <c r="D43" s="574"/>
      <c r="E43" s="566" t="s">
        <v>475</v>
      </c>
      <c r="F43" s="567"/>
      <c r="G43" s="567"/>
      <c r="H43" s="567"/>
      <c r="I43" s="568"/>
      <c r="J43" s="566" t="s">
        <v>427</v>
      </c>
      <c r="K43" s="567"/>
      <c r="L43" s="568"/>
      <c r="M43" s="580" t="s">
        <v>480</v>
      </c>
      <c r="N43" s="581"/>
      <c r="O43" s="582"/>
    </row>
    <row r="44" spans="1:15" ht="68.25" customHeight="1">
      <c r="A44" s="208"/>
      <c r="B44" s="572" t="s">
        <v>460</v>
      </c>
      <c r="C44" s="573"/>
      <c r="D44" s="574"/>
      <c r="E44" s="566" t="s">
        <v>473</v>
      </c>
      <c r="F44" s="567"/>
      <c r="G44" s="567"/>
      <c r="H44" s="567"/>
      <c r="I44" s="568"/>
      <c r="J44" s="566" t="s">
        <v>427</v>
      </c>
      <c r="K44" s="567"/>
      <c r="L44" s="568"/>
      <c r="M44" s="566" t="s">
        <v>478</v>
      </c>
      <c r="N44" s="567"/>
      <c r="O44" s="568"/>
    </row>
    <row r="45" spans="1:15" ht="52.5" customHeight="1">
      <c r="B45" s="572" t="s">
        <v>461</v>
      </c>
      <c r="C45" s="573"/>
      <c r="D45" s="574"/>
      <c r="E45" s="566" t="s">
        <v>472</v>
      </c>
      <c r="F45" s="567"/>
      <c r="G45" s="567"/>
      <c r="H45" s="567"/>
      <c r="I45" s="568"/>
      <c r="J45" s="566" t="s">
        <v>427</v>
      </c>
      <c r="K45" s="567"/>
      <c r="L45" s="568"/>
      <c r="M45" s="566" t="s">
        <v>479</v>
      </c>
      <c r="N45" s="567"/>
      <c r="O45" s="568"/>
    </row>
    <row r="46" spans="1:15" ht="44.25" customHeight="1">
      <c r="B46" s="599" t="s">
        <v>236</v>
      </c>
      <c r="C46" s="600"/>
      <c r="D46" s="601"/>
      <c r="E46" s="586" t="s">
        <v>218</v>
      </c>
      <c r="F46" s="587"/>
      <c r="G46" s="587"/>
      <c r="H46" s="587"/>
      <c r="I46" s="588"/>
      <c r="J46" s="586" t="s">
        <v>219</v>
      </c>
      <c r="K46" s="587"/>
      <c r="L46" s="588"/>
      <c r="M46" s="586" t="s">
        <v>220</v>
      </c>
      <c r="N46" s="587"/>
      <c r="O46" s="588"/>
    </row>
    <row r="47" spans="1:15" ht="33.75" customHeight="1">
      <c r="B47" s="204"/>
      <c r="C47" s="205"/>
      <c r="D47" s="205"/>
      <c r="E47" s="199"/>
      <c r="F47" s="201"/>
      <c r="G47" s="201"/>
      <c r="H47" s="201"/>
      <c r="I47" s="201"/>
      <c r="J47" s="199"/>
      <c r="K47" s="199"/>
      <c r="L47" s="200"/>
      <c r="M47" s="198"/>
      <c r="N47" s="199"/>
      <c r="O47" s="200"/>
    </row>
    <row r="48" spans="1:15" ht="15.75" customHeight="1">
      <c r="B48" s="596" t="s">
        <v>235</v>
      </c>
      <c r="C48" s="597"/>
      <c r="D48" s="597"/>
      <c r="E48" s="597"/>
      <c r="F48" s="597"/>
      <c r="G48" s="597"/>
      <c r="H48" s="597"/>
      <c r="I48" s="597"/>
      <c r="J48" s="597"/>
      <c r="K48" s="597"/>
      <c r="L48" s="598"/>
      <c r="M48" s="589" t="s">
        <v>230</v>
      </c>
      <c r="N48" s="590"/>
      <c r="O48" s="591"/>
    </row>
    <row r="49" spans="4:4">
      <c r="D49" s="185"/>
    </row>
    <row r="51" spans="4:4">
      <c r="D51" s="185"/>
    </row>
    <row r="52" spans="4:4">
      <c r="D52" s="185"/>
    </row>
  </sheetData>
  <mergeCells count="125">
    <mergeCell ref="J14:L14"/>
    <mergeCell ref="M12:O12"/>
    <mergeCell ref="J9:L9"/>
    <mergeCell ref="M11:O11"/>
    <mergeCell ref="M13:O13"/>
    <mergeCell ref="M10:O10"/>
    <mergeCell ref="E13:I13"/>
    <mergeCell ref="B11:D11"/>
    <mergeCell ref="B10:D10"/>
    <mergeCell ref="E11:I11"/>
    <mergeCell ref="B12:D12"/>
    <mergeCell ref="J10:L10"/>
    <mergeCell ref="J11:L11"/>
    <mergeCell ref="J12:L12"/>
    <mergeCell ref="E12:I12"/>
    <mergeCell ref="E10:I10"/>
    <mergeCell ref="B14:D14"/>
    <mergeCell ref="M14:O14"/>
    <mergeCell ref="B13:D13"/>
    <mergeCell ref="J13:L13"/>
    <mergeCell ref="E14:I14"/>
    <mergeCell ref="B2:M2"/>
    <mergeCell ref="B5:O5"/>
    <mergeCell ref="M8:O8"/>
    <mergeCell ref="J8:L8"/>
    <mergeCell ref="E7:I7"/>
    <mergeCell ref="M9:O9"/>
    <mergeCell ref="B7:D7"/>
    <mergeCell ref="B8:D8"/>
    <mergeCell ref="B9:D9"/>
    <mergeCell ref="E9:I9"/>
    <mergeCell ref="E8:I8"/>
    <mergeCell ref="J7:L7"/>
    <mergeCell ref="M7:O7"/>
    <mergeCell ref="E15:I15"/>
    <mergeCell ref="J21:L21"/>
    <mergeCell ref="M21:O21"/>
    <mergeCell ref="B16:O16"/>
    <mergeCell ref="M18:O18"/>
    <mergeCell ref="B21:D21"/>
    <mergeCell ref="J20:L20"/>
    <mergeCell ref="E18:I18"/>
    <mergeCell ref="J18:L18"/>
    <mergeCell ref="J15:L15"/>
    <mergeCell ref="B15:D15"/>
    <mergeCell ref="M15:O15"/>
    <mergeCell ref="B18:D18"/>
    <mergeCell ref="B20:D20"/>
    <mergeCell ref="M19:O19"/>
    <mergeCell ref="E19:I19"/>
    <mergeCell ref="J19:L19"/>
    <mergeCell ref="B19:D19"/>
    <mergeCell ref="M20:O20"/>
    <mergeCell ref="E20:I20"/>
    <mergeCell ref="E23:I23"/>
    <mergeCell ref="J22:L22"/>
    <mergeCell ref="B22:D22"/>
    <mergeCell ref="E21:I21"/>
    <mergeCell ref="E25:I25"/>
    <mergeCell ref="J25:L25"/>
    <mergeCell ref="M25:O25"/>
    <mergeCell ref="M22:O22"/>
    <mergeCell ref="B23:D24"/>
    <mergeCell ref="E24:I24"/>
    <mergeCell ref="J23:L24"/>
    <mergeCell ref="E22:I22"/>
    <mergeCell ref="B25:D25"/>
    <mergeCell ref="M23:O24"/>
    <mergeCell ref="M48:O48"/>
    <mergeCell ref="B30:O30"/>
    <mergeCell ref="B32:D32"/>
    <mergeCell ref="E32:I32"/>
    <mergeCell ref="J32:L32"/>
    <mergeCell ref="B33:D33"/>
    <mergeCell ref="B45:D45"/>
    <mergeCell ref="J40:L40"/>
    <mergeCell ref="B44:D44"/>
    <mergeCell ref="E44:I44"/>
    <mergeCell ref="E45:I45"/>
    <mergeCell ref="J45:L45"/>
    <mergeCell ref="J44:L44"/>
    <mergeCell ref="M37:O37"/>
    <mergeCell ref="M38:O38"/>
    <mergeCell ref="M42:O42"/>
    <mergeCell ref="J42:L42"/>
    <mergeCell ref="E40:I40"/>
    <mergeCell ref="B42:D42"/>
    <mergeCell ref="E42:I42"/>
    <mergeCell ref="B48:L48"/>
    <mergeCell ref="B46:D46"/>
    <mergeCell ref="E46:I46"/>
    <mergeCell ref="J46:L46"/>
    <mergeCell ref="M44:O44"/>
    <mergeCell ref="M45:O45"/>
    <mergeCell ref="B39:D39"/>
    <mergeCell ref="E39:I39"/>
    <mergeCell ref="J39:L39"/>
    <mergeCell ref="M39:O39"/>
    <mergeCell ref="M40:O40"/>
    <mergeCell ref="M46:O46"/>
    <mergeCell ref="E43:I43"/>
    <mergeCell ref="B41:D41"/>
    <mergeCell ref="B43:D43"/>
    <mergeCell ref="B40:D40"/>
    <mergeCell ref="M32:O32"/>
    <mergeCell ref="J43:L43"/>
    <mergeCell ref="M33:O33"/>
    <mergeCell ref="E33:I33"/>
    <mergeCell ref="B34:D34"/>
    <mergeCell ref="B35:D35"/>
    <mergeCell ref="E35:I35"/>
    <mergeCell ref="J35:L35"/>
    <mergeCell ref="M35:O35"/>
    <mergeCell ref="B37:D37"/>
    <mergeCell ref="B38:D38"/>
    <mergeCell ref="E37:I37"/>
    <mergeCell ref="E38:I38"/>
    <mergeCell ref="J37:L37"/>
    <mergeCell ref="J38:L38"/>
    <mergeCell ref="M43:O43"/>
    <mergeCell ref="M34:O34"/>
    <mergeCell ref="B36:D36"/>
    <mergeCell ref="E34:I34"/>
    <mergeCell ref="J34:L34"/>
    <mergeCell ref="J33:L33"/>
  </mergeCells>
  <phoneticPr fontId="23" type="noConversion"/>
  <pageMargins left="0.70866141732283472" right="0.70866141732283472" top="0.74803149606299213" bottom="0.74803149606299213" header="0.31496062992125984" footer="0.31496062992125984"/>
  <pageSetup paperSize="9" scale="51"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0"/>
  <sheetViews>
    <sheetView showGridLines="0" view="pageBreakPreview" topLeftCell="A22" zoomScale="75" zoomScaleNormal="75" zoomScaleSheetLayoutView="75" workbookViewId="0">
      <selection activeCell="G54" sqref="G54"/>
    </sheetView>
  </sheetViews>
  <sheetFormatPr defaultColWidth="11" defaultRowHeight="15"/>
  <cols>
    <col min="1" max="1" width="2.7109375" customWidth="1"/>
    <col min="2" max="2" width="48" customWidth="1"/>
    <col min="3" max="3" width="23" customWidth="1"/>
    <col min="4" max="4" width="19.140625" customWidth="1"/>
    <col min="5" max="5" width="18.7109375" customWidth="1"/>
    <col min="6" max="6" width="17.42578125" customWidth="1"/>
    <col min="7" max="7" width="16.42578125" customWidth="1"/>
    <col min="8" max="8" width="12.5703125" customWidth="1"/>
    <col min="9" max="9" width="11.85546875" customWidth="1"/>
    <col min="10" max="10" width="13.28515625" customWidth="1"/>
    <col min="11" max="11" width="14.28515625" customWidth="1"/>
    <col min="12" max="12" width="15.28515625" customWidth="1"/>
    <col min="13" max="13" width="15.42578125" customWidth="1"/>
    <col min="14" max="14" width="14.28515625" style="35" customWidth="1"/>
    <col min="15" max="15" width="15.5703125" style="3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5" customWidth="1"/>
    <col min="35" max="35" width="3.28515625" style="35" customWidth="1"/>
    <col min="36" max="36" width="2.28515625" style="35"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80" t="s">
        <v>282</v>
      </c>
      <c r="C2" s="680"/>
      <c r="D2" s="680"/>
      <c r="E2" s="680"/>
      <c r="F2" s="680"/>
      <c r="G2" s="680"/>
      <c r="H2" s="680"/>
      <c r="I2" s="680"/>
      <c r="J2" s="680"/>
      <c r="K2" s="229"/>
      <c r="L2" s="229"/>
      <c r="M2" s="229"/>
    </row>
    <row r="3" spans="1:13" ht="4.5" customHeight="1">
      <c r="A3" s="3"/>
      <c r="B3" s="3"/>
      <c r="C3" s="3"/>
      <c r="D3" s="3"/>
      <c r="E3" s="3"/>
      <c r="F3" s="3"/>
      <c r="G3" s="3"/>
      <c r="H3" s="3"/>
      <c r="I3" s="3"/>
      <c r="J3" s="3"/>
      <c r="K3" s="3"/>
      <c r="L3" s="3"/>
      <c r="M3" s="3"/>
    </row>
    <row r="4" spans="1:13" ht="34.5" customHeight="1">
      <c r="A4" s="3"/>
      <c r="B4" s="228" t="s">
        <v>283</v>
      </c>
      <c r="C4" s="681" t="s">
        <v>157</v>
      </c>
      <c r="D4" s="682"/>
      <c r="E4" s="683" t="s">
        <v>287</v>
      </c>
      <c r="F4" s="683"/>
      <c r="G4" s="684" t="s">
        <v>309</v>
      </c>
      <c r="H4" s="685"/>
      <c r="I4" s="685"/>
      <c r="J4" s="686"/>
      <c r="K4" s="3"/>
      <c r="L4" s="3"/>
      <c r="M4" s="3"/>
    </row>
    <row r="5" spans="1:13" ht="3" customHeight="1">
      <c r="A5" s="3"/>
      <c r="B5" s="228"/>
      <c r="C5" s="3"/>
      <c r="D5" s="3"/>
      <c r="E5" s="230"/>
      <c r="F5" s="230"/>
      <c r="G5" s="3"/>
      <c r="H5" s="3"/>
      <c r="I5" s="3"/>
      <c r="J5" s="3"/>
      <c r="K5" s="3"/>
      <c r="L5" s="3"/>
      <c r="M5" s="3"/>
    </row>
    <row r="6" spans="1:13">
      <c r="A6" s="3"/>
      <c r="B6" s="228" t="s">
        <v>284</v>
      </c>
      <c r="C6" s="681" t="s">
        <v>483</v>
      </c>
      <c r="D6" s="682"/>
      <c r="E6" s="683" t="s">
        <v>288</v>
      </c>
      <c r="F6" s="683"/>
      <c r="G6" s="252" t="s">
        <v>15</v>
      </c>
      <c r="H6" s="228" t="s">
        <v>289</v>
      </c>
      <c r="I6" s="692">
        <v>7957826</v>
      </c>
      <c r="J6" s="693"/>
      <c r="K6" s="3"/>
      <c r="L6" s="3"/>
      <c r="M6" s="3"/>
    </row>
    <row r="7" spans="1:13" ht="3" customHeight="1">
      <c r="A7" s="3"/>
      <c r="B7" s="228"/>
      <c r="C7" s="3"/>
      <c r="D7" s="3"/>
      <c r="E7" s="230"/>
      <c r="F7" s="230"/>
      <c r="G7" s="3"/>
      <c r="H7" s="228"/>
      <c r="I7" s="3"/>
      <c r="J7" s="3"/>
      <c r="K7" s="3"/>
      <c r="L7" s="3"/>
      <c r="M7" s="3"/>
    </row>
    <row r="8" spans="1:13">
      <c r="A8" s="3"/>
      <c r="B8" s="228" t="s">
        <v>285</v>
      </c>
      <c r="C8" s="681" t="s">
        <v>432</v>
      </c>
      <c r="D8" s="682"/>
      <c r="E8" s="231"/>
      <c r="F8" s="227" t="s">
        <v>290</v>
      </c>
      <c r="G8" s="315" t="s">
        <v>270</v>
      </c>
      <c r="H8" s="227" t="s">
        <v>291</v>
      </c>
      <c r="I8" s="681" t="s">
        <v>484</v>
      </c>
      <c r="J8" s="682"/>
      <c r="K8" s="3"/>
      <c r="L8" s="3"/>
      <c r="M8" s="3"/>
    </row>
    <row r="9" spans="1:13" ht="3" customHeight="1">
      <c r="A9" s="3"/>
      <c r="B9" s="230"/>
      <c r="C9" s="3"/>
      <c r="D9" s="3"/>
      <c r="E9" s="230"/>
      <c r="F9" s="230"/>
      <c r="G9" s="3"/>
      <c r="H9" s="3"/>
      <c r="I9" s="3"/>
      <c r="J9" s="3"/>
      <c r="K9" s="3"/>
      <c r="L9" s="3"/>
      <c r="M9" s="3"/>
    </row>
    <row r="10" spans="1:13">
      <c r="A10" s="3"/>
      <c r="B10" s="228" t="s">
        <v>373</v>
      </c>
      <c r="C10" s="689">
        <v>42186</v>
      </c>
      <c r="D10" s="690"/>
      <c r="E10" s="691" t="s">
        <v>292</v>
      </c>
      <c r="F10" s="697"/>
      <c r="G10" s="681" t="s">
        <v>37</v>
      </c>
      <c r="H10" s="695"/>
      <c r="I10" s="695"/>
      <c r="J10" s="682"/>
      <c r="K10" s="3"/>
      <c r="L10" s="3"/>
      <c r="M10" s="3"/>
    </row>
    <row r="11" spans="1:13" ht="5.25" customHeight="1">
      <c r="A11" s="3"/>
      <c r="B11" s="3"/>
      <c r="C11" s="3"/>
      <c r="D11" s="3"/>
      <c r="E11" s="3"/>
      <c r="F11" s="3"/>
      <c r="G11" s="3"/>
      <c r="H11" s="3"/>
      <c r="I11" s="3"/>
      <c r="J11" s="3"/>
      <c r="K11" s="3"/>
      <c r="L11" s="3"/>
      <c r="M11" s="3"/>
    </row>
    <row r="12" spans="1:13" ht="15" customHeight="1">
      <c r="A12" s="3"/>
      <c r="B12" s="228" t="s">
        <v>286</v>
      </c>
      <c r="C12" s="727"/>
      <c r="D12" s="727"/>
      <c r="E12" s="691" t="s">
        <v>233</v>
      </c>
      <c r="F12" s="683"/>
      <c r="G12" s="694" t="s">
        <v>433</v>
      </c>
      <c r="H12" s="694"/>
      <c r="I12" s="694"/>
      <c r="J12" s="694"/>
      <c r="K12" s="3"/>
      <c r="L12" s="3"/>
      <c r="M12" s="3"/>
    </row>
    <row r="13" spans="1:13" ht="5.25" customHeight="1">
      <c r="A13" s="3"/>
      <c r="B13" s="3"/>
      <c r="C13" s="3"/>
      <c r="D13" s="3"/>
      <c r="E13" s="3"/>
      <c r="F13" s="3"/>
      <c r="G13" s="3"/>
      <c r="H13" s="3"/>
      <c r="I13" s="3"/>
      <c r="J13" s="3"/>
      <c r="K13" s="3"/>
      <c r="L13" s="3"/>
      <c r="M13" s="3"/>
    </row>
    <row r="14" spans="1:13" ht="15.75" customHeight="1">
      <c r="A14" s="3"/>
      <c r="B14" s="680" t="s">
        <v>293</v>
      </c>
      <c r="C14" s="680"/>
      <c r="D14" s="680"/>
      <c r="E14" s="680"/>
      <c r="F14" s="680"/>
      <c r="G14" s="680"/>
      <c r="H14" s="680"/>
      <c r="I14" s="680"/>
      <c r="J14" s="680"/>
      <c r="K14" s="3"/>
      <c r="L14" s="3"/>
      <c r="M14" s="3"/>
    </row>
    <row r="15" spans="1:13" ht="3" customHeight="1">
      <c r="A15" s="3"/>
      <c r="B15" s="3"/>
      <c r="C15" s="3"/>
      <c r="D15" s="3"/>
      <c r="E15" s="3"/>
      <c r="F15" s="3"/>
      <c r="G15" s="3"/>
      <c r="H15" s="3"/>
      <c r="I15" s="3"/>
      <c r="J15" s="3"/>
      <c r="K15" s="3"/>
      <c r="L15" s="3"/>
      <c r="M15" s="3"/>
    </row>
    <row r="16" spans="1:13" s="35" customFormat="1" ht="30" customHeight="1">
      <c r="A16" s="375"/>
      <c r="B16" s="376" t="s">
        <v>294</v>
      </c>
      <c r="C16" s="474" t="s">
        <v>62</v>
      </c>
      <c r="D16" s="475" t="s">
        <v>295</v>
      </c>
      <c r="E16" s="476">
        <v>42186</v>
      </c>
      <c r="F16" s="477" t="s">
        <v>296</v>
      </c>
      <c r="G16" s="476">
        <v>42369</v>
      </c>
      <c r="H16" s="687" t="s">
        <v>417</v>
      </c>
      <c r="I16" s="688"/>
      <c r="J16" s="476">
        <v>42478</v>
      </c>
      <c r="K16" s="375"/>
      <c r="L16" s="375"/>
      <c r="M16" s="375"/>
    </row>
    <row r="17" spans="1:35" ht="3" customHeight="1">
      <c r="A17" s="3"/>
      <c r="B17" s="3"/>
      <c r="C17" s="3"/>
      <c r="D17" s="3"/>
      <c r="E17" s="3"/>
      <c r="F17" s="3"/>
      <c r="G17" s="3"/>
      <c r="H17" s="3"/>
      <c r="I17" s="3"/>
      <c r="J17" s="3"/>
      <c r="K17" s="3"/>
      <c r="L17" s="3"/>
      <c r="M17" s="3"/>
    </row>
    <row r="18" spans="1:35">
      <c r="A18" s="3"/>
      <c r="B18" s="696" t="s">
        <v>376</v>
      </c>
      <c r="C18" s="697"/>
      <c r="D18" s="728" t="s">
        <v>432</v>
      </c>
      <c r="E18" s="728"/>
      <c r="F18" s="728"/>
      <c r="G18" s="232"/>
      <c r="H18" s="232"/>
      <c r="I18" s="232"/>
      <c r="J18" s="232"/>
      <c r="K18" s="3"/>
      <c r="L18" s="3"/>
      <c r="M18" s="3"/>
    </row>
    <row r="19" spans="1:35" ht="30" customHeight="1">
      <c r="A19" s="3"/>
      <c r="B19" s="3"/>
      <c r="C19" s="3"/>
      <c r="D19" s="3"/>
      <c r="E19" s="3"/>
      <c r="F19" s="3"/>
      <c r="G19" s="3"/>
      <c r="H19" s="3"/>
      <c r="I19" s="3"/>
      <c r="J19" s="3"/>
      <c r="K19" s="3"/>
      <c r="L19" s="3"/>
      <c r="M19" s="3"/>
    </row>
    <row r="20" spans="1:35" ht="21" customHeight="1">
      <c r="A20" s="3"/>
      <c r="B20" s="3"/>
      <c r="C20" s="3"/>
      <c r="D20" s="3"/>
      <c r="E20" s="3"/>
      <c r="F20" s="3"/>
      <c r="G20" s="3"/>
      <c r="H20" s="3"/>
      <c r="I20" s="3"/>
      <c r="J20" s="3"/>
      <c r="K20" s="3"/>
      <c r="L20" s="3"/>
      <c r="M20" s="3"/>
    </row>
    <row r="21" spans="1:35" ht="15.75" customHeight="1">
      <c r="A21" s="3"/>
      <c r="B21" s="680" t="s">
        <v>297</v>
      </c>
      <c r="C21" s="680"/>
      <c r="D21" s="680"/>
      <c r="E21" s="680"/>
      <c r="F21" s="680"/>
      <c r="G21" s="680"/>
      <c r="H21" s="680"/>
      <c r="I21" s="680"/>
      <c r="J21" s="680"/>
      <c r="K21" s="3"/>
      <c r="L21" s="3"/>
      <c r="M21" s="3"/>
    </row>
    <row r="22" spans="1:35">
      <c r="A22" s="3"/>
      <c r="B22" s="230" t="s">
        <v>419</v>
      </c>
      <c r="C22" s="3"/>
      <c r="D22" s="3"/>
      <c r="E22" s="233"/>
      <c r="F22" s="233"/>
      <c r="G22" s="3"/>
      <c r="H22" s="3"/>
      <c r="I22" s="233"/>
      <c r="J22" s="233"/>
      <c r="K22" s="3"/>
      <c r="L22" s="3"/>
      <c r="M22" s="3"/>
    </row>
    <row r="23" spans="1:35" ht="3" customHeight="1">
      <c r="A23" s="3"/>
      <c r="B23" s="3"/>
      <c r="C23" s="3"/>
      <c r="D23" s="3"/>
      <c r="E23" s="3"/>
      <c r="F23" s="3"/>
      <c r="G23" s="3"/>
      <c r="H23" s="3"/>
      <c r="I23" s="3"/>
      <c r="J23" s="3"/>
      <c r="K23" s="3"/>
      <c r="L23" s="3"/>
      <c r="M23" s="3"/>
    </row>
    <row r="24" spans="1:35" ht="15.75" thickBot="1">
      <c r="A24" s="3"/>
      <c r="B24" s="228" t="s">
        <v>298</v>
      </c>
      <c r="C24" s="308"/>
      <c r="D24" s="683" t="s">
        <v>299</v>
      </c>
      <c r="E24" s="683"/>
      <c r="F24" s="309"/>
      <c r="G24" s="683" t="s">
        <v>300</v>
      </c>
      <c r="H24" s="683"/>
      <c r="I24" s="725"/>
      <c r="J24" s="726"/>
      <c r="K24" s="3"/>
      <c r="L24" s="3"/>
      <c r="M24" s="3"/>
      <c r="N24" s="20"/>
    </row>
    <row r="25" spans="1:35" ht="26.25" customHeight="1" thickBot="1">
      <c r="A25" s="3"/>
      <c r="B25" s="86" t="s">
        <v>298</v>
      </c>
      <c r="C25" s="87"/>
      <c r="D25" s="87"/>
      <c r="E25" s="87"/>
      <c r="F25" s="87"/>
      <c r="G25" s="87"/>
      <c r="H25" s="217"/>
      <c r="I25" s="88"/>
      <c r="J25" s="88"/>
      <c r="K25" s="217" t="s">
        <v>418</v>
      </c>
      <c r="L25" s="87"/>
      <c r="M25" s="87"/>
      <c r="N25" s="323"/>
      <c r="O25" s="39"/>
      <c r="AI25" s="43"/>
    </row>
    <row r="26" spans="1:35">
      <c r="A26" s="3"/>
      <c r="B26" s="717" t="s">
        <v>301</v>
      </c>
      <c r="C26" s="718"/>
      <c r="D26" s="372" t="s">
        <v>2</v>
      </c>
      <c r="E26" s="90"/>
      <c r="F26" s="90"/>
      <c r="G26" s="90"/>
      <c r="H26" s="90"/>
      <c r="I26" s="90"/>
      <c r="J26" s="91"/>
      <c r="K26" s="90"/>
      <c r="L26" s="90"/>
      <c r="M26" s="90"/>
      <c r="N26" s="39"/>
      <c r="O26" s="39"/>
      <c r="AI26" s="43"/>
    </row>
    <row r="27" spans="1:35" ht="18.75">
      <c r="A27" s="3"/>
      <c r="B27" s="89" t="s">
        <v>302</v>
      </c>
      <c r="C27" s="90"/>
      <c r="D27" s="90"/>
      <c r="E27" s="90"/>
      <c r="F27" s="90"/>
      <c r="G27" s="90"/>
      <c r="H27" s="90"/>
      <c r="I27" s="90"/>
      <c r="J27" s="91"/>
      <c r="K27" s="90"/>
      <c r="L27" s="90"/>
      <c r="M27" s="90"/>
      <c r="N27" s="39"/>
      <c r="O27" s="39"/>
      <c r="AI27" s="43"/>
    </row>
    <row r="28" spans="1:35" ht="15.75" thickBot="1">
      <c r="A28" s="3"/>
      <c r="B28" s="3"/>
      <c r="C28" s="3"/>
      <c r="D28" s="3"/>
      <c r="E28" s="3"/>
      <c r="F28" s="3"/>
      <c r="G28" s="3"/>
      <c r="H28" s="3"/>
      <c r="I28" s="3"/>
      <c r="J28" s="3"/>
      <c r="K28" s="3"/>
      <c r="L28" s="3"/>
      <c r="M28" s="3"/>
    </row>
    <row r="29" spans="1:35" ht="15.75" thickBot="1">
      <c r="A29" s="3"/>
      <c r="B29" s="719" t="s">
        <v>306</v>
      </c>
      <c r="C29" s="720"/>
      <c r="D29" s="720"/>
      <c r="E29" s="720"/>
      <c r="F29" s="720"/>
      <c r="G29" s="720"/>
      <c r="H29" s="720"/>
      <c r="I29" s="720"/>
      <c r="J29" s="720"/>
      <c r="K29" s="720"/>
      <c r="L29" s="720"/>
      <c r="M29" s="720"/>
      <c r="N29" s="721"/>
      <c r="P29" s="171"/>
      <c r="Q29" s="172"/>
      <c r="R29" s="173">
        <f>+C33</f>
        <v>3093788.06</v>
      </c>
      <c r="S29" s="171"/>
    </row>
    <row r="30" spans="1:35">
      <c r="A30" s="3"/>
      <c r="B30" s="92" t="s">
        <v>303</v>
      </c>
      <c r="C30" s="294" t="s">
        <v>62</v>
      </c>
      <c r="D30" s="294" t="s">
        <v>63</v>
      </c>
      <c r="E30" s="294" t="s">
        <v>64</v>
      </c>
      <c r="F30" s="294" t="s">
        <v>65</v>
      </c>
      <c r="G30" s="294" t="s">
        <v>72</v>
      </c>
      <c r="H30" s="294" t="s">
        <v>73</v>
      </c>
      <c r="I30" s="294" t="s">
        <v>74</v>
      </c>
      <c r="J30" s="294" t="s">
        <v>75</v>
      </c>
      <c r="K30" s="294" t="s">
        <v>76</v>
      </c>
      <c r="L30" s="294" t="s">
        <v>77</v>
      </c>
      <c r="M30" s="294" t="s">
        <v>78</v>
      </c>
      <c r="N30" s="295" t="s">
        <v>232</v>
      </c>
      <c r="O30" s="296" t="s">
        <v>310</v>
      </c>
      <c r="P30" s="532"/>
      <c r="Q30" s="462"/>
      <c r="R30" s="173">
        <f>+D33</f>
        <v>0</v>
      </c>
      <c r="S30" s="171"/>
    </row>
    <row r="31" spans="1:35">
      <c r="A31" s="3"/>
      <c r="B31" s="225" t="str">
        <f>CONCATENATE("Buget (in ",'Introducerea datelor'!$D$26,")")</f>
        <v>Buget (in €)</v>
      </c>
      <c r="C31" s="478">
        <v>3093788.06</v>
      </c>
      <c r="D31" s="478"/>
      <c r="E31" s="302"/>
      <c r="F31" s="402"/>
      <c r="G31" s="302"/>
      <c r="H31" s="402"/>
      <c r="I31" s="402"/>
      <c r="J31" s="302"/>
      <c r="K31" s="302"/>
      <c r="L31" s="302"/>
      <c r="M31" s="302"/>
      <c r="N31" s="302"/>
      <c r="O31" s="751">
        <f>C34/I6</f>
        <v>0.31269570357532323</v>
      </c>
      <c r="P31" s="551"/>
      <c r="Q31" s="462"/>
      <c r="R31" s="173">
        <f>+E33</f>
        <v>0</v>
      </c>
      <c r="S31" s="171"/>
    </row>
    <row r="32" spans="1:35">
      <c r="A32" s="3"/>
      <c r="B32" s="92" t="str">
        <f>CONCATENATE("Debursări de către FG (in ", $D$26,")")</f>
        <v>Debursări de către FG (in €)</v>
      </c>
      <c r="C32" s="478">
        <v>2488378</v>
      </c>
      <c r="D32" s="478"/>
      <c r="E32" s="303"/>
      <c r="F32" s="403"/>
      <c r="G32" s="303"/>
      <c r="H32" s="403"/>
      <c r="I32" s="402"/>
      <c r="J32" s="302"/>
      <c r="K32" s="302"/>
      <c r="L32" s="302"/>
      <c r="M32" s="302"/>
      <c r="N32" s="302"/>
      <c r="O32" s="752"/>
      <c r="P32" s="549"/>
      <c r="Q32" s="462"/>
      <c r="R32" s="173">
        <f>+F33</f>
        <v>0</v>
      </c>
      <c r="S32" s="171"/>
    </row>
    <row r="33" spans="1:35">
      <c r="A33" s="3"/>
      <c r="B33" s="93" t="s">
        <v>304</v>
      </c>
      <c r="C33" s="479">
        <v>3093788.06</v>
      </c>
      <c r="D33" s="479">
        <f>IF(AND(D31=0,D32=0),0,+C33+D31)</f>
        <v>0</v>
      </c>
      <c r="E33" s="304">
        <f t="shared" ref="E33:N33" si="0">IF(AND(E31=0,E32=0),0,+D33+E31)</f>
        <v>0</v>
      </c>
      <c r="F33" s="404">
        <f>IF(AND(F31=0,F32=0),0,+E33+F31)</f>
        <v>0</v>
      </c>
      <c r="G33" s="304">
        <f t="shared" si="0"/>
        <v>0</v>
      </c>
      <c r="H33" s="404">
        <f t="shared" si="0"/>
        <v>0</v>
      </c>
      <c r="I33" s="404">
        <f t="shared" si="0"/>
        <v>0</v>
      </c>
      <c r="J33" s="304">
        <f t="shared" si="0"/>
        <v>0</v>
      </c>
      <c r="K33" s="304">
        <f t="shared" si="0"/>
        <v>0</v>
      </c>
      <c r="L33" s="304">
        <f t="shared" si="0"/>
        <v>0</v>
      </c>
      <c r="M33" s="304">
        <f t="shared" si="0"/>
        <v>0</v>
      </c>
      <c r="N33" s="304">
        <f t="shared" si="0"/>
        <v>0</v>
      </c>
      <c r="O33" s="752"/>
      <c r="P33" s="550"/>
      <c r="Q33" s="462"/>
      <c r="R33" s="173">
        <f>+G33</f>
        <v>0</v>
      </c>
      <c r="S33" s="171"/>
    </row>
    <row r="34" spans="1:35" ht="15.75" thickBot="1">
      <c r="A34" s="3"/>
      <c r="B34" s="94" t="s">
        <v>305</v>
      </c>
      <c r="C34" s="480">
        <v>2488378</v>
      </c>
      <c r="D34" s="480">
        <f>IF(AND(D31=0,D32=0),0,+C34+D32)</f>
        <v>0</v>
      </c>
      <c r="E34" s="305">
        <f t="shared" ref="E34:N34" si="1">IF(AND(E31=0,E32=0),0,+D34+E32)</f>
        <v>0</v>
      </c>
      <c r="F34" s="405">
        <f t="shared" si="1"/>
        <v>0</v>
      </c>
      <c r="G34" s="305">
        <f>IF(AND(G31=0,G32=0),0,+F34+G32)</f>
        <v>0</v>
      </c>
      <c r="H34" s="405">
        <f t="shared" si="1"/>
        <v>0</v>
      </c>
      <c r="I34" s="405">
        <f t="shared" si="1"/>
        <v>0</v>
      </c>
      <c r="J34" s="305">
        <f t="shared" si="1"/>
        <v>0</v>
      </c>
      <c r="K34" s="305">
        <f t="shared" si="1"/>
        <v>0</v>
      </c>
      <c r="L34" s="305">
        <f t="shared" si="1"/>
        <v>0</v>
      </c>
      <c r="M34" s="305">
        <f t="shared" si="1"/>
        <v>0</v>
      </c>
      <c r="N34" s="305">
        <f t="shared" si="1"/>
        <v>0</v>
      </c>
      <c r="O34" s="753"/>
      <c r="P34" s="550"/>
      <c r="Q34" s="462"/>
      <c r="R34" s="173">
        <f>+H33</f>
        <v>0</v>
      </c>
      <c r="S34" s="171"/>
    </row>
    <row r="35" spans="1:35">
      <c r="A35" s="3"/>
      <c r="B35" s="3"/>
      <c r="C35" s="276">
        <f>+IF(AND(C30=$C$16,C33&lt;&gt;0),C34/C33,0)</f>
        <v>0.8043143071668587</v>
      </c>
      <c r="D35" s="276">
        <f t="shared" ref="D35:N35" si="2">+IF(AND(D30=$C$16,D33&lt;&gt;0),D34/D33,0)</f>
        <v>0</v>
      </c>
      <c r="E35" s="276">
        <f t="shared" si="2"/>
        <v>0</v>
      </c>
      <c r="F35" s="276">
        <f t="shared" si="2"/>
        <v>0</v>
      </c>
      <c r="G35" s="276">
        <f t="shared" si="2"/>
        <v>0</v>
      </c>
      <c r="H35" s="276">
        <f t="shared" si="2"/>
        <v>0</v>
      </c>
      <c r="I35" s="276">
        <f t="shared" si="2"/>
        <v>0</v>
      </c>
      <c r="J35" s="276">
        <f t="shared" si="2"/>
        <v>0</v>
      </c>
      <c r="K35" s="276">
        <f t="shared" si="2"/>
        <v>0</v>
      </c>
      <c r="L35" s="276">
        <f t="shared" si="2"/>
        <v>0</v>
      </c>
      <c r="M35" s="276">
        <f t="shared" si="2"/>
        <v>0</v>
      </c>
      <c r="N35" s="276">
        <f t="shared" si="2"/>
        <v>0</v>
      </c>
      <c r="O35" s="234"/>
      <c r="P35" s="533"/>
      <c r="Q35" s="463"/>
      <c r="R35" s="173">
        <f>+I33</f>
        <v>0</v>
      </c>
      <c r="S35" s="171"/>
    </row>
    <row r="36" spans="1:35" ht="18.75">
      <c r="A36" s="3"/>
      <c r="B36" s="89" t="s">
        <v>307</v>
      </c>
      <c r="C36" s="3"/>
      <c r="D36" s="3"/>
      <c r="E36" s="285"/>
      <c r="F36" s="3"/>
      <c r="G36" s="214"/>
      <c r="H36" s="3"/>
      <c r="I36" s="3"/>
      <c r="J36" s="3"/>
      <c r="K36" s="3"/>
      <c r="L36" s="3"/>
      <c r="M36" s="3"/>
      <c r="N36" s="40"/>
      <c r="O36" s="40"/>
      <c r="Q36" s="35"/>
      <c r="AI36" s="20"/>
    </row>
    <row r="37" spans="1:35" ht="15.75" thickBot="1">
      <c r="A37" s="3"/>
      <c r="B37" s="3"/>
      <c r="C37" s="3"/>
      <c r="D37" s="3"/>
      <c r="E37" s="3"/>
      <c r="F37" s="3"/>
      <c r="G37" s="3"/>
      <c r="H37" s="3"/>
      <c r="I37" s="3"/>
      <c r="J37" s="3"/>
      <c r="K37" s="3"/>
      <c r="L37" s="3"/>
      <c r="M37" s="3"/>
      <c r="N37" s="38"/>
      <c r="O37" s="38"/>
      <c r="Q37" s="35"/>
    </row>
    <row r="38" spans="1:35" ht="30" customHeight="1">
      <c r="A38" s="3"/>
      <c r="B38" s="310" t="s">
        <v>308</v>
      </c>
      <c r="C38" s="311" t="str">
        <f>CONCATENATE("Bugetul Cumulativ (în ",'Introducerea datelor'!$D$26,")")</f>
        <v>Bugetul Cumulativ (în €)</v>
      </c>
      <c r="D38" s="312" t="str">
        <f>CONCATENATE("Cheltuielile Cumulative (în ",'Introducerea datelor'!$D$26,")")</f>
        <v>Cheltuielile Cumulative (în €)</v>
      </c>
      <c r="E38" s="223"/>
      <c r="F38" s="236"/>
      <c r="G38" s="3"/>
      <c r="H38" s="3"/>
      <c r="I38" s="3"/>
      <c r="J38" s="99"/>
      <c r="K38" s="41"/>
      <c r="N38"/>
      <c r="O38"/>
      <c r="Q38" s="35"/>
      <c r="AE38" s="20"/>
      <c r="AF38" s="35"/>
    </row>
    <row r="39" spans="1:35" ht="46.5" customHeight="1">
      <c r="A39" s="3"/>
      <c r="B39" s="362" t="s">
        <v>435</v>
      </c>
      <c r="C39" s="406">
        <v>724392.08</v>
      </c>
      <c r="D39" s="407">
        <v>248005.81</v>
      </c>
      <c r="E39" s="556"/>
      <c r="F39" s="291"/>
      <c r="G39" s="292"/>
      <c r="H39" s="3"/>
      <c r="I39" s="3"/>
      <c r="J39" s="100"/>
      <c r="K39" s="42"/>
      <c r="N39"/>
      <c r="O39"/>
      <c r="Q39" s="35"/>
      <c r="AE39" s="20"/>
      <c r="AF39" s="35"/>
    </row>
    <row r="40" spans="1:35" ht="49.5" customHeight="1">
      <c r="A40" s="3"/>
      <c r="B40" s="362" t="s">
        <v>438</v>
      </c>
      <c r="C40" s="406">
        <v>2189086.9300000002</v>
      </c>
      <c r="D40" s="407">
        <v>1344420.97</v>
      </c>
      <c r="E40" s="557"/>
      <c r="F40" s="291"/>
      <c r="G40" s="292"/>
      <c r="H40" s="3"/>
      <c r="I40" s="3"/>
      <c r="J40" s="3"/>
      <c r="K40" s="42"/>
      <c r="N40"/>
      <c r="O40"/>
      <c r="Q40" s="35"/>
      <c r="AE40" s="20"/>
      <c r="AF40" s="35"/>
    </row>
    <row r="41" spans="1:35" ht="48" customHeight="1">
      <c r="A41" s="3"/>
      <c r="B41" s="362" t="s">
        <v>436</v>
      </c>
      <c r="C41" s="408">
        <v>95465.5</v>
      </c>
      <c r="D41" s="407">
        <v>50913.85</v>
      </c>
      <c r="E41" s="557"/>
      <c r="F41" s="293"/>
      <c r="G41" s="3"/>
      <c r="H41" s="3"/>
      <c r="I41" s="3"/>
      <c r="J41" s="3"/>
      <c r="K41" s="42"/>
      <c r="N41"/>
      <c r="O41"/>
      <c r="Q41" s="35"/>
      <c r="AE41" s="20"/>
      <c r="AF41" s="35"/>
    </row>
    <row r="42" spans="1:35" ht="24.75" customHeight="1">
      <c r="A42" s="3"/>
      <c r="B42" s="363" t="s">
        <v>437</v>
      </c>
      <c r="C42" s="408">
        <v>84843.55</v>
      </c>
      <c r="D42" s="407">
        <v>83708.06</v>
      </c>
      <c r="E42" s="557"/>
      <c r="F42" s="235"/>
      <c r="G42" s="3"/>
      <c r="H42" s="3"/>
      <c r="I42" s="3"/>
      <c r="J42" s="3"/>
      <c r="K42" s="20"/>
      <c r="N42"/>
      <c r="O42"/>
      <c r="Q42" s="35"/>
      <c r="AE42" s="20"/>
      <c r="AF42" s="35"/>
    </row>
    <row r="43" spans="1:35" ht="26.25" customHeight="1">
      <c r="A43" s="3"/>
      <c r="B43" s="363" t="s">
        <v>507</v>
      </c>
      <c r="C43" s="408"/>
      <c r="D43" s="407">
        <v>11710.79</v>
      </c>
      <c r="E43" s="557"/>
      <c r="F43" s="331"/>
      <c r="G43" s="3"/>
      <c r="H43" s="3"/>
      <c r="I43" s="3"/>
      <c r="J43" s="3"/>
      <c r="K43" s="20"/>
      <c r="N43"/>
      <c r="O43"/>
      <c r="Q43" s="35"/>
      <c r="AE43" s="20"/>
      <c r="AF43" s="35"/>
    </row>
    <row r="44" spans="1:35">
      <c r="A44" s="3"/>
      <c r="B44" s="363" t="s">
        <v>422</v>
      </c>
      <c r="C44" s="408"/>
      <c r="D44" s="407">
        <v>2505.59</v>
      </c>
      <c r="E44" s="557"/>
      <c r="F44" s="235"/>
      <c r="G44" s="15"/>
      <c r="H44" s="15"/>
      <c r="I44" s="15"/>
      <c r="J44" s="15"/>
      <c r="K44" s="20"/>
      <c r="N44"/>
      <c r="O44"/>
      <c r="Q44" s="35"/>
      <c r="AE44" s="35"/>
      <c r="AF44" s="35"/>
    </row>
    <row r="45" spans="1:35" ht="15.75" thickBot="1">
      <c r="A45" s="3"/>
      <c r="B45" s="313"/>
      <c r="C45" s="406"/>
      <c r="D45" s="407"/>
      <c r="E45" s="557"/>
      <c r="F45" s="15"/>
      <c r="G45" s="15"/>
      <c r="H45" s="15"/>
      <c r="I45" s="15"/>
      <c r="J45" s="15"/>
      <c r="K45" s="20"/>
      <c r="N45"/>
      <c r="O45"/>
      <c r="Q45" s="35"/>
      <c r="AE45" s="35"/>
      <c r="AF45" s="35"/>
    </row>
    <row r="46" spans="1:35" ht="15.75" thickBot="1">
      <c r="A46" s="3"/>
      <c r="B46" s="314" t="s">
        <v>39</v>
      </c>
      <c r="C46" s="409">
        <f>SUM(C39:C45)</f>
        <v>3093788.06</v>
      </c>
      <c r="D46" s="410">
        <f>SUM(D39:D45)</f>
        <v>1741265.0700000003</v>
      </c>
      <c r="E46" s="234"/>
      <c r="F46" s="759" t="str">
        <f ca="1">+IF((ROUND(C46,0)=ROUND(OFFSET(B33,0,RIGHT('Introducerea datelor'!$C$16,LEN('Introducerea datelor'!$C$16)-1),1,1),0)),"OK: Data match","Warning: The data do not match")</f>
        <v>OK: Data match</v>
      </c>
      <c r="G46" s="760"/>
      <c r="H46" s="760"/>
      <c r="I46" s="761"/>
      <c r="N46" s="175"/>
      <c r="O46" s="173"/>
      <c r="P46" s="171"/>
      <c r="Q46" s="35"/>
      <c r="AE46" s="35"/>
      <c r="AF46" s="35"/>
    </row>
    <row r="47" spans="1:35">
      <c r="A47" s="3"/>
      <c r="B47" s="3"/>
      <c r="C47" s="166"/>
      <c r="D47" s="166"/>
      <c r="E47" s="220"/>
      <c r="F47" s="166"/>
      <c r="G47" s="166"/>
      <c r="H47" s="166"/>
      <c r="I47" s="166"/>
      <c r="J47" s="166"/>
      <c r="K47" s="166"/>
      <c r="L47" s="166"/>
      <c r="M47" s="166"/>
      <c r="N47" s="166"/>
      <c r="O47" s="166"/>
      <c r="P47" s="174"/>
      <c r="Q47" s="463"/>
      <c r="R47" s="173"/>
      <c r="S47" s="171"/>
    </row>
    <row r="48" spans="1:35" ht="18.75">
      <c r="A48" s="3"/>
      <c r="B48" s="89" t="s">
        <v>311</v>
      </c>
      <c r="C48" s="3"/>
      <c r="D48" s="3"/>
      <c r="E48" s="3"/>
      <c r="F48" s="3"/>
      <c r="G48" s="3"/>
      <c r="H48" s="3"/>
      <c r="I48" s="3"/>
      <c r="J48" s="3"/>
      <c r="K48" s="3"/>
      <c r="L48" s="3"/>
      <c r="M48" s="3"/>
      <c r="P48" s="171"/>
      <c r="Q48" s="462"/>
      <c r="R48" s="173">
        <f>+J33</f>
        <v>0</v>
      </c>
      <c r="S48" s="171"/>
    </row>
    <row r="49" spans="1:35" ht="15.75" thickBot="1">
      <c r="A49" s="3"/>
      <c r="B49" s="3"/>
      <c r="C49" s="3"/>
      <c r="D49" s="3"/>
      <c r="E49" s="3"/>
      <c r="F49" s="3"/>
      <c r="G49" s="3"/>
      <c r="H49" s="3"/>
      <c r="I49" s="3"/>
      <c r="J49" s="3"/>
      <c r="K49" s="3"/>
      <c r="L49" s="3"/>
      <c r="M49" s="3"/>
      <c r="P49" s="171"/>
      <c r="Q49" s="172"/>
      <c r="R49" s="173">
        <f>+K33</f>
        <v>0</v>
      </c>
      <c r="S49" s="171"/>
    </row>
    <row r="50" spans="1:35" ht="35.25" customHeight="1">
      <c r="A50" s="3"/>
      <c r="B50" s="239"/>
      <c r="C50" s="240" t="s">
        <v>316</v>
      </c>
      <c r="D50" s="240" t="s">
        <v>317</v>
      </c>
      <c r="E50" s="329" t="str">
        <f>CONCATENATE("Total Cheltuit și debursat (în ",D26,")")</f>
        <v>Total Cheltuit și debursat (în €)</v>
      </c>
      <c r="F50" s="375"/>
      <c r="G50" s="464"/>
      <c r="H50" s="236"/>
      <c r="I50" s="226"/>
      <c r="J50" s="226"/>
      <c r="K50" s="226"/>
      <c r="L50" s="226"/>
      <c r="M50" s="21"/>
      <c r="N50" s="21"/>
      <c r="O50" s="171"/>
      <c r="P50" s="172"/>
      <c r="Q50" s="173">
        <f>+M33</f>
        <v>0</v>
      </c>
      <c r="R50" s="171"/>
      <c r="AH50" s="20"/>
    </row>
    <row r="51" spans="1:35">
      <c r="A51" s="3"/>
      <c r="B51" s="237" t="s">
        <v>312</v>
      </c>
      <c r="C51" s="411">
        <v>0</v>
      </c>
      <c r="D51" s="412">
        <v>2488378</v>
      </c>
      <c r="E51" s="534">
        <f>+D51+C51</f>
        <v>2488378</v>
      </c>
      <c r="F51" s="375"/>
      <c r="G51" s="465"/>
      <c r="H51" s="241"/>
      <c r="I51" s="95"/>
      <c r="J51" s="168"/>
      <c r="K51" s="169"/>
      <c r="L51" s="96"/>
      <c r="M51" s="36"/>
      <c r="N51" s="36"/>
      <c r="O51" s="171"/>
      <c r="P51" s="171"/>
      <c r="Q51" s="171"/>
      <c r="R51" s="171"/>
      <c r="AH51" s="20"/>
    </row>
    <row r="52" spans="1:35">
      <c r="A52" s="3"/>
      <c r="B52" s="237" t="s">
        <v>313</v>
      </c>
      <c r="C52" s="411">
        <v>0</v>
      </c>
      <c r="D52" s="411">
        <v>1705801</v>
      </c>
      <c r="E52" s="534">
        <f>+D52+C52</f>
        <v>1705801</v>
      </c>
      <c r="F52" s="375"/>
      <c r="G52" s="466"/>
      <c r="H52" s="241"/>
      <c r="I52" s="95"/>
      <c r="J52" s="168"/>
      <c r="K52" s="168"/>
      <c r="L52" s="96"/>
      <c r="M52" s="37"/>
      <c r="N52" s="37"/>
      <c r="O52" s="171"/>
      <c r="P52" s="171"/>
      <c r="Q52" s="171"/>
      <c r="R52" s="171"/>
      <c r="AH52" s="20"/>
    </row>
    <row r="53" spans="1:35">
      <c r="A53" s="3"/>
      <c r="B53" s="237" t="s">
        <v>314</v>
      </c>
      <c r="C53" s="411">
        <v>0</v>
      </c>
      <c r="D53" s="411">
        <v>35465</v>
      </c>
      <c r="E53" s="534">
        <f>+D53+C53</f>
        <v>35465</v>
      </c>
      <c r="F53" s="375"/>
      <c r="G53" s="465"/>
      <c r="H53" s="241"/>
      <c r="I53" s="95"/>
      <c r="J53" s="168"/>
      <c r="K53" s="169"/>
      <c r="L53" s="96"/>
      <c r="M53" s="36"/>
      <c r="N53" s="36"/>
      <c r="O53"/>
      <c r="AH53" s="20"/>
    </row>
    <row r="54" spans="1:35" ht="15.75" thickBot="1">
      <c r="A54" s="3"/>
      <c r="B54" s="238" t="s">
        <v>315</v>
      </c>
      <c r="C54" s="413">
        <v>0</v>
      </c>
      <c r="D54" s="413">
        <v>21802</v>
      </c>
      <c r="E54" s="535">
        <f>+D54+C54</f>
        <v>21802</v>
      </c>
      <c r="F54" s="375"/>
      <c r="G54" s="467"/>
      <c r="H54" s="242"/>
      <c r="I54" s="97"/>
      <c r="J54" s="97"/>
      <c r="K54" s="97"/>
      <c r="L54" s="96"/>
      <c r="M54" s="37"/>
      <c r="N54" s="37"/>
      <c r="O54"/>
      <c r="AH54" s="20"/>
    </row>
    <row r="55" spans="1:35" ht="15.75" customHeight="1">
      <c r="A55" s="3"/>
      <c r="B55" s="3"/>
      <c r="C55" s="3"/>
      <c r="D55" s="3"/>
      <c r="E55" s="3"/>
      <c r="F55" s="3"/>
      <c r="G55" s="3"/>
      <c r="H55" s="3"/>
      <c r="I55" s="3"/>
      <c r="J55" s="3"/>
      <c r="K55" s="3"/>
      <c r="L55" s="3"/>
      <c r="M55" s="3"/>
      <c r="AI55" s="20"/>
    </row>
    <row r="56" spans="1:35">
      <c r="A56" s="3"/>
      <c r="B56" s="3"/>
      <c r="C56" s="3"/>
      <c r="D56" s="224"/>
      <c r="E56" s="3"/>
      <c r="F56" s="3"/>
      <c r="G56" s="3"/>
      <c r="H56" s="3"/>
      <c r="I56" s="3"/>
      <c r="J56" s="3"/>
      <c r="K56" s="3"/>
      <c r="L56" s="3"/>
      <c r="M56" s="3"/>
    </row>
    <row r="57" spans="1:35" ht="18.75">
      <c r="A57" s="3"/>
      <c r="B57" s="89" t="s">
        <v>378</v>
      </c>
      <c r="C57" s="3"/>
      <c r="D57" s="3"/>
      <c r="E57" s="3"/>
      <c r="F57" s="3"/>
      <c r="G57" s="3"/>
      <c r="H57" s="3"/>
      <c r="I57" s="3"/>
      <c r="J57" s="3"/>
      <c r="K57" s="3"/>
      <c r="L57" s="3"/>
      <c r="M57" s="3"/>
    </row>
    <row r="58" spans="1:35" ht="15.75" thickBot="1">
      <c r="A58" s="3"/>
      <c r="B58" s="3"/>
      <c r="C58" s="3"/>
      <c r="D58" s="3"/>
      <c r="E58" s="3"/>
      <c r="F58" s="3"/>
      <c r="G58" s="3"/>
      <c r="H58" s="3"/>
      <c r="I58" s="3"/>
      <c r="J58" s="3"/>
      <c r="K58" s="3"/>
      <c r="L58" s="3"/>
      <c r="M58" s="3"/>
    </row>
    <row r="59" spans="1:35">
      <c r="A59" s="3"/>
      <c r="B59" s="722" t="s">
        <v>318</v>
      </c>
      <c r="C59" s="723"/>
      <c r="D59" s="724"/>
      <c r="E59" s="3"/>
      <c r="F59" s="3"/>
      <c r="G59" s="3"/>
      <c r="H59" s="3"/>
      <c r="I59" s="3"/>
      <c r="J59" s="3"/>
      <c r="K59" s="3"/>
      <c r="L59" s="3"/>
      <c r="M59" s="35"/>
      <c r="O59"/>
    </row>
    <row r="60" spans="1:35">
      <c r="A60" s="3"/>
      <c r="B60" s="101"/>
      <c r="C60" s="244" t="s">
        <v>319</v>
      </c>
      <c r="D60" s="245" t="s">
        <v>320</v>
      </c>
      <c r="E60" s="375"/>
      <c r="F60" s="3"/>
      <c r="G60" s="3"/>
      <c r="H60" s="3"/>
      <c r="I60" s="3"/>
      <c r="J60" s="3"/>
      <c r="K60" s="3"/>
      <c r="L60" s="3"/>
      <c r="M60" s="35"/>
      <c r="O60"/>
    </row>
    <row r="61" spans="1:35">
      <c r="A61" s="3"/>
      <c r="B61" s="102" t="s">
        <v>321</v>
      </c>
      <c r="C61" s="482">
        <v>45</v>
      </c>
      <c r="D61" s="457">
        <v>43</v>
      </c>
      <c r="E61" s="375"/>
      <c r="F61" s="375"/>
      <c r="G61" s="3"/>
      <c r="H61" s="3"/>
      <c r="I61" s="3"/>
      <c r="J61" s="3"/>
      <c r="K61" s="3"/>
      <c r="L61" s="3"/>
      <c r="M61" s="35"/>
      <c r="O61"/>
    </row>
    <row r="62" spans="1:35">
      <c r="A62" s="3"/>
      <c r="B62" s="243" t="s">
        <v>322</v>
      </c>
      <c r="C62" s="482">
        <v>0</v>
      </c>
      <c r="D62" s="457">
        <v>0</v>
      </c>
      <c r="E62" s="3"/>
      <c r="F62" s="3"/>
      <c r="G62" s="3"/>
      <c r="H62" s="241"/>
      <c r="I62" s="241"/>
      <c r="J62" s="3"/>
      <c r="K62" s="3"/>
      <c r="L62" s="3"/>
      <c r="M62" s="35"/>
      <c r="O62"/>
    </row>
    <row r="63" spans="1:35" ht="15.75" thickBot="1">
      <c r="A63" s="3"/>
      <c r="B63" s="103" t="s">
        <v>323</v>
      </c>
      <c r="C63" s="458">
        <v>5</v>
      </c>
      <c r="D63" s="459">
        <v>5</v>
      </c>
      <c r="E63" s="3"/>
      <c r="F63" s="3"/>
      <c r="G63" s="3"/>
      <c r="H63" s="241"/>
      <c r="I63" s="241"/>
      <c r="J63" s="3"/>
      <c r="K63" s="3"/>
      <c r="L63" s="3"/>
      <c r="M63" s="35"/>
      <c r="O63"/>
    </row>
    <row r="64" spans="1:35">
      <c r="A64" s="3"/>
      <c r="B64" s="3"/>
      <c r="C64" s="3"/>
      <c r="D64" s="3"/>
      <c r="E64" s="3"/>
      <c r="F64" s="3"/>
      <c r="G64" s="3"/>
      <c r="H64" s="3"/>
      <c r="I64" s="3"/>
      <c r="J64" s="3"/>
      <c r="K64" s="3"/>
      <c r="L64" s="3"/>
      <c r="M64" s="3"/>
    </row>
    <row r="65" spans="1:30" ht="15.75" thickBot="1">
      <c r="A65" s="3"/>
      <c r="B65" s="3"/>
      <c r="C65" s="3"/>
      <c r="D65" s="3"/>
      <c r="E65" s="3"/>
      <c r="F65" s="3"/>
      <c r="G65" s="3"/>
      <c r="H65" s="3"/>
      <c r="I65" s="3"/>
      <c r="J65" s="3"/>
      <c r="K65" s="3"/>
      <c r="L65" s="325"/>
      <c r="M65" s="3"/>
      <c r="AC65" s="19"/>
      <c r="AD65" s="19"/>
    </row>
    <row r="66" spans="1:30" ht="19.5" thickBot="1">
      <c r="A66" s="3"/>
      <c r="B66" s="104" t="s">
        <v>325</v>
      </c>
      <c r="C66" s="105"/>
      <c r="D66" s="105"/>
      <c r="E66" s="105"/>
      <c r="F66" s="105"/>
      <c r="G66" s="105" t="s">
        <v>434</v>
      </c>
      <c r="H66" s="367"/>
      <c r="I66" s="105"/>
      <c r="J66" s="106"/>
      <c r="K66" s="106"/>
      <c r="L66" s="326"/>
      <c r="M66" s="327"/>
      <c r="N66" s="83"/>
      <c r="O66" s="83"/>
      <c r="P66" s="83"/>
      <c r="S66" s="43"/>
      <c r="AC66" s="19"/>
      <c r="AD66" s="19"/>
    </row>
    <row r="67" spans="1:30" ht="18.75">
      <c r="A67" s="3"/>
      <c r="B67" s="108"/>
      <c r="C67" s="107"/>
      <c r="D67" s="107"/>
      <c r="E67" s="107"/>
      <c r="F67" s="107"/>
      <c r="G67" s="107"/>
      <c r="H67" s="107"/>
      <c r="I67" s="107"/>
      <c r="J67" s="107"/>
      <c r="K67" s="109"/>
      <c r="L67" s="109"/>
      <c r="M67" s="107"/>
      <c r="N67" s="83"/>
      <c r="O67" s="83"/>
      <c r="P67" s="83"/>
      <c r="S67" s="43"/>
      <c r="AC67" s="19"/>
      <c r="AD67" s="19"/>
    </row>
    <row r="68" spans="1:30" ht="18.75">
      <c r="A68" s="3"/>
      <c r="B68" s="108" t="s">
        <v>326</v>
      </c>
      <c r="C68" s="107"/>
      <c r="D68" s="107"/>
      <c r="E68" s="107"/>
      <c r="F68" s="107"/>
      <c r="G68" s="107"/>
      <c r="H68" s="107"/>
      <c r="I68" s="107"/>
      <c r="J68" s="107"/>
      <c r="K68" s="109"/>
      <c r="L68" s="109"/>
      <c r="M68" s="107"/>
      <c r="N68" s="83"/>
      <c r="O68" s="83"/>
      <c r="P68" s="83"/>
      <c r="S68" s="43"/>
      <c r="AC68" s="19"/>
      <c r="AD68" s="19"/>
    </row>
    <row r="69" spans="1:30" ht="15.75" thickBot="1">
      <c r="A69" s="3"/>
      <c r="B69" s="2"/>
      <c r="C69" s="110"/>
      <c r="D69" s="110"/>
      <c r="E69" s="110"/>
      <c r="F69" s="110"/>
      <c r="G69" s="110"/>
      <c r="H69" s="2"/>
      <c r="I69" s="110"/>
      <c r="J69" s="2"/>
      <c r="K69" s="2"/>
      <c r="L69" s="2"/>
      <c r="M69" s="2"/>
      <c r="N69" s="20"/>
      <c r="O69" s="19"/>
      <c r="P69" s="19"/>
      <c r="Q69" s="19"/>
      <c r="R69" s="19"/>
      <c r="S69" s="19"/>
      <c r="AD69" s="19"/>
    </row>
    <row r="70" spans="1:30" ht="60">
      <c r="A70" s="3"/>
      <c r="B70" s="715"/>
      <c r="C70" s="716"/>
      <c r="D70" s="111" t="s">
        <v>329</v>
      </c>
      <c r="E70" s="112" t="s">
        <v>330</v>
      </c>
      <c r="F70" s="112" t="s">
        <v>331</v>
      </c>
      <c r="G70" s="113" t="s">
        <v>39</v>
      </c>
      <c r="H70" s="249"/>
      <c r="I70" s="250"/>
      <c r="J70" s="15"/>
      <c r="K70" s="2"/>
      <c r="L70" s="2"/>
      <c r="M70" s="2"/>
      <c r="N70" s="20"/>
      <c r="O70" s="19"/>
      <c r="P70" s="19"/>
      <c r="Q70" s="19"/>
      <c r="R70" s="19"/>
      <c r="S70" s="19"/>
    </row>
    <row r="71" spans="1:30">
      <c r="A71" s="3"/>
      <c r="B71" s="698" t="s">
        <v>327</v>
      </c>
      <c r="C71" s="699"/>
      <c r="D71" s="212">
        <v>2</v>
      </c>
      <c r="E71" s="212">
        <v>1</v>
      </c>
      <c r="F71" s="212"/>
      <c r="G71" s="481">
        <f>SUM(D71:F71)</f>
        <v>3</v>
      </c>
      <c r="H71" s="235"/>
      <c r="I71" s="248"/>
      <c r="J71" s="248"/>
      <c r="K71" s="2" t="s">
        <v>324</v>
      </c>
      <c r="L71" s="2"/>
      <c r="M71" s="2"/>
      <c r="N71" s="20"/>
      <c r="O71" s="19"/>
      <c r="P71" s="19"/>
      <c r="Q71" s="19"/>
      <c r="R71" s="19"/>
      <c r="S71" s="19"/>
    </row>
    <row r="72" spans="1:30" ht="15.75" thickBot="1">
      <c r="A72" s="3"/>
      <c r="B72" s="713" t="s">
        <v>328</v>
      </c>
      <c r="C72" s="714"/>
      <c r="D72" s="213"/>
      <c r="E72" s="213"/>
      <c r="F72" s="213"/>
      <c r="G72" s="116">
        <f>SUM(D72:F72)</f>
        <v>0</v>
      </c>
      <c r="H72" s="235"/>
      <c r="I72" s="15"/>
      <c r="J72" s="15"/>
      <c r="K72" s="2"/>
      <c r="L72" s="2"/>
      <c r="M72" s="2"/>
      <c r="N72" s="19"/>
      <c r="O72" s="19"/>
      <c r="P72" s="19"/>
      <c r="Q72" s="19"/>
      <c r="R72" s="19"/>
      <c r="S72" s="19"/>
    </row>
    <row r="73" spans="1:30">
      <c r="A73" s="3"/>
      <c r="B73" s="2"/>
      <c r="C73" s="2"/>
      <c r="D73" s="2"/>
      <c r="E73" s="2"/>
      <c r="F73" s="2"/>
      <c r="G73" s="2"/>
      <c r="H73" s="2"/>
      <c r="I73" s="2"/>
      <c r="J73" s="2"/>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S74" s="19"/>
    </row>
    <row r="75" spans="1:30" ht="18.75">
      <c r="A75" s="3"/>
      <c r="B75" s="108" t="s">
        <v>332</v>
      </c>
      <c r="C75" s="2"/>
      <c r="D75" s="2"/>
      <c r="E75" s="2"/>
      <c r="F75" s="2"/>
      <c r="G75" s="2"/>
      <c r="H75" s="2"/>
      <c r="I75" s="2"/>
      <c r="J75" s="2"/>
      <c r="K75" s="2"/>
      <c r="L75" s="2"/>
      <c r="M75" s="2"/>
      <c r="N75" s="19"/>
      <c r="O75" s="19"/>
      <c r="P75" s="19"/>
      <c r="S75" s="19"/>
    </row>
    <row r="76" spans="1:30" ht="15.75" thickBot="1">
      <c r="A76" s="3"/>
      <c r="B76" s="2"/>
      <c r="C76" s="2"/>
      <c r="D76" s="2"/>
      <c r="E76" s="2"/>
      <c r="F76" s="2"/>
      <c r="G76" s="2"/>
      <c r="H76" s="2"/>
      <c r="I76" s="2"/>
      <c r="J76" s="2"/>
      <c r="K76" s="2"/>
      <c r="L76" s="2"/>
      <c r="M76" s="2"/>
      <c r="N76" s="19"/>
      <c r="O76" s="19"/>
      <c r="P76" s="19"/>
      <c r="S76" s="19"/>
    </row>
    <row r="77" spans="1:30">
      <c r="A77" s="3"/>
      <c r="B77" s="117"/>
      <c r="C77" s="366" t="s">
        <v>333</v>
      </c>
      <c r="D77" s="366" t="s">
        <v>334</v>
      </c>
      <c r="E77" s="118" t="s">
        <v>335</v>
      </c>
      <c r="F77" s="15"/>
      <c r="G77" s="15"/>
      <c r="H77" s="15"/>
      <c r="I77" s="250"/>
      <c r="J77" s="2"/>
      <c r="K77" s="2"/>
      <c r="L77" s="2"/>
      <c r="M77" s="2"/>
      <c r="N77" s="19"/>
      <c r="O77" s="19"/>
      <c r="P77" s="19"/>
      <c r="S77" s="19"/>
    </row>
    <row r="78" spans="1:30" ht="15.75" thickBot="1">
      <c r="A78" s="3"/>
      <c r="B78" s="119" t="s">
        <v>432</v>
      </c>
      <c r="C78" s="483">
        <v>6</v>
      </c>
      <c r="D78" s="483">
        <v>6</v>
      </c>
      <c r="E78" s="484">
        <f>+C78-D78</f>
        <v>0</v>
      </c>
      <c r="F78" s="216"/>
      <c r="G78" s="221"/>
      <c r="H78" s="15"/>
      <c r="I78" s="248"/>
      <c r="J78" s="2"/>
      <c r="K78" s="2"/>
      <c r="L78" s="2"/>
      <c r="M78" s="2"/>
      <c r="N78" s="19"/>
      <c r="O78" s="19"/>
      <c r="P78" s="19"/>
      <c r="S78" s="19"/>
    </row>
    <row r="79" spans="1:30">
      <c r="A79" s="3"/>
      <c r="B79" s="2"/>
      <c r="C79" s="2"/>
      <c r="D79" s="2"/>
      <c r="E79" s="2"/>
      <c r="F79" s="2"/>
      <c r="G79" s="2"/>
      <c r="H79" s="2"/>
      <c r="I79" s="2"/>
      <c r="J79" s="2"/>
      <c r="K79" s="2"/>
      <c r="L79" s="2"/>
      <c r="M79" s="2"/>
      <c r="N79" s="19"/>
      <c r="O79" s="19"/>
      <c r="P79" s="19"/>
      <c r="S79" s="19"/>
    </row>
    <row r="80" spans="1:30" ht="18.75">
      <c r="A80" s="3"/>
      <c r="B80" s="108" t="s">
        <v>336</v>
      </c>
      <c r="C80" s="2"/>
      <c r="D80" s="2"/>
      <c r="E80" s="2"/>
      <c r="F80" s="2"/>
      <c r="G80" s="2"/>
      <c r="H80" s="2"/>
      <c r="I80" s="2"/>
      <c r="J80" s="2"/>
      <c r="K80" s="2"/>
      <c r="L80" s="2"/>
      <c r="M80" s="2"/>
      <c r="N80" s="19"/>
      <c r="O80" s="19"/>
      <c r="P80" s="19"/>
      <c r="S80" s="19"/>
    </row>
    <row r="81" spans="1:36" ht="15.75" thickBot="1">
      <c r="A81" s="3"/>
      <c r="B81" s="2"/>
      <c r="C81" s="2"/>
      <c r="D81" s="2"/>
      <c r="E81" s="2"/>
      <c r="F81" s="2"/>
      <c r="G81" s="2"/>
      <c r="H81" s="2"/>
      <c r="I81" s="2"/>
      <c r="J81" s="2"/>
      <c r="K81" s="2"/>
      <c r="L81" s="2"/>
      <c r="M81" s="2"/>
      <c r="N81" s="19"/>
      <c r="O81" s="19"/>
      <c r="P81" s="19"/>
      <c r="S81" s="19"/>
    </row>
    <row r="82" spans="1:36" ht="30">
      <c r="A82" s="3"/>
      <c r="B82" s="117"/>
      <c r="C82" s="366" t="s">
        <v>337</v>
      </c>
      <c r="D82" s="366" t="s">
        <v>338</v>
      </c>
      <c r="E82" s="366" t="s">
        <v>339</v>
      </c>
      <c r="F82" s="366" t="s">
        <v>340</v>
      </c>
      <c r="G82" s="144" t="s">
        <v>341</v>
      </c>
      <c r="H82" s="222"/>
      <c r="I82" s="250"/>
      <c r="J82" s="2"/>
      <c r="K82" s="2"/>
      <c r="L82" s="2"/>
      <c r="M82" s="2"/>
      <c r="N82" s="19"/>
      <c r="O82" s="19"/>
      <c r="P82" s="19"/>
      <c r="S82" s="19"/>
    </row>
    <row r="83" spans="1:36" ht="15.75" thickBot="1">
      <c r="A83" s="3"/>
      <c r="B83" s="119" t="s">
        <v>79</v>
      </c>
      <c r="C83" s="483">
        <v>1</v>
      </c>
      <c r="D83" s="483">
        <v>1</v>
      </c>
      <c r="E83" s="483">
        <v>1</v>
      </c>
      <c r="F83" s="483">
        <v>1</v>
      </c>
      <c r="G83" s="485">
        <v>1</v>
      </c>
      <c r="H83" s="251"/>
      <c r="I83" s="235"/>
      <c r="J83" s="2"/>
      <c r="K83" s="2"/>
      <c r="L83" s="2"/>
      <c r="M83" s="2"/>
      <c r="N83" s="19"/>
      <c r="O83" s="19"/>
      <c r="P83" s="19"/>
      <c r="S83" s="19"/>
    </row>
    <row r="84" spans="1:36">
      <c r="A84" s="3"/>
      <c r="B84" s="2"/>
      <c r="C84" s="486"/>
      <c r="D84" s="486"/>
      <c r="E84" s="486"/>
      <c r="F84" s="486"/>
      <c r="G84" s="486"/>
      <c r="H84" s="2"/>
      <c r="J84" s="2"/>
      <c r="K84" s="2"/>
      <c r="L84" s="2"/>
      <c r="M84" s="2"/>
      <c r="N84" s="19"/>
      <c r="O84" s="19"/>
      <c r="P84" s="19"/>
      <c r="S84" s="19"/>
    </row>
    <row r="85" spans="1:36" ht="18.75">
      <c r="A85" s="3"/>
      <c r="B85" s="108" t="s">
        <v>342</v>
      </c>
      <c r="C85" s="2"/>
      <c r="D85" s="2"/>
      <c r="E85" s="2"/>
      <c r="F85" s="2"/>
      <c r="G85" s="2"/>
      <c r="H85" s="2"/>
      <c r="I85" s="2"/>
      <c r="J85" s="2"/>
      <c r="K85" s="2"/>
      <c r="L85" s="2"/>
      <c r="M85" s="2"/>
      <c r="N85" s="19"/>
      <c r="O85" s="19"/>
      <c r="P85" s="19"/>
      <c r="S85" s="19"/>
    </row>
    <row r="86" spans="1:36" ht="15.75" thickBot="1">
      <c r="A86" s="3"/>
      <c r="B86" s="2"/>
      <c r="C86" s="2"/>
      <c r="D86" s="2"/>
      <c r="E86" s="2"/>
      <c r="F86" s="2"/>
      <c r="G86" s="2"/>
      <c r="H86" s="2"/>
      <c r="I86" s="2"/>
      <c r="J86" s="2"/>
      <c r="K86" s="2"/>
      <c r="L86" s="2"/>
      <c r="M86" s="2"/>
      <c r="N86" s="19"/>
      <c r="O86" s="19"/>
      <c r="P86" s="19"/>
      <c r="S86" s="19"/>
    </row>
    <row r="87" spans="1:36">
      <c r="A87" s="3"/>
      <c r="B87" s="117"/>
      <c r="C87" s="120" t="s">
        <v>345</v>
      </c>
      <c r="D87" s="120" t="s">
        <v>346</v>
      </c>
      <c r="E87" s="121" t="s">
        <v>347</v>
      </c>
      <c r="F87" s="2"/>
      <c r="G87" s="2"/>
      <c r="H87" s="2"/>
      <c r="I87" s="2"/>
      <c r="J87" s="19"/>
      <c r="K87" s="19"/>
      <c r="L87" s="19"/>
      <c r="N87"/>
      <c r="O87" s="19"/>
      <c r="AG87" s="35"/>
      <c r="AJ87"/>
    </row>
    <row r="88" spans="1:36">
      <c r="A88" s="3"/>
      <c r="B88" s="114" t="s">
        <v>343</v>
      </c>
      <c r="C88" s="212">
        <v>0</v>
      </c>
      <c r="D88" s="487">
        <v>0</v>
      </c>
      <c r="E88" s="488">
        <f>C88-D88</f>
        <v>0</v>
      </c>
      <c r="F88" s="2"/>
      <c r="G88" s="2"/>
      <c r="H88" s="2"/>
      <c r="I88" s="2"/>
      <c r="J88" s="19"/>
      <c r="K88" s="19"/>
      <c r="L88" s="19"/>
      <c r="N88"/>
      <c r="O88" s="19"/>
      <c r="AG88" s="35"/>
      <c r="AJ88"/>
    </row>
    <row r="89" spans="1:36" ht="15.75" thickBot="1">
      <c r="A89" s="3"/>
      <c r="B89" s="115" t="s">
        <v>344</v>
      </c>
      <c r="C89" s="213">
        <v>2</v>
      </c>
      <c r="D89" s="489">
        <v>2</v>
      </c>
      <c r="E89" s="490">
        <f>C89-D89</f>
        <v>0</v>
      </c>
      <c r="F89" s="2"/>
      <c r="G89" s="2"/>
      <c r="H89" s="2"/>
      <c r="I89" s="2"/>
      <c r="J89" s="19"/>
      <c r="K89" s="19"/>
      <c r="L89" s="19"/>
      <c r="N89"/>
      <c r="O89" s="19"/>
      <c r="AG89" s="35"/>
      <c r="AJ89"/>
    </row>
    <row r="90" spans="1:36">
      <c r="A90" s="3"/>
      <c r="B90" s="2"/>
      <c r="C90" s="2"/>
      <c r="D90" s="2"/>
      <c r="E90" s="2"/>
      <c r="F90" s="2"/>
      <c r="G90" s="2"/>
      <c r="H90" s="2"/>
      <c r="I90" s="2"/>
      <c r="J90" s="2"/>
      <c r="K90" s="2"/>
      <c r="L90" s="2"/>
      <c r="M90" s="2"/>
      <c r="N90" s="19"/>
      <c r="O90" s="19"/>
      <c r="P90" s="19"/>
      <c r="S90" s="19"/>
    </row>
    <row r="91" spans="1:36" ht="18.75">
      <c r="A91" s="3"/>
      <c r="B91" s="108" t="s">
        <v>348</v>
      </c>
      <c r="C91" s="2"/>
      <c r="D91" s="2"/>
      <c r="E91" s="2"/>
      <c r="F91" s="2"/>
      <c r="G91" s="2"/>
      <c r="H91" s="2"/>
      <c r="I91" s="2"/>
      <c r="J91" s="2"/>
      <c r="K91" s="2"/>
      <c r="L91" s="2"/>
      <c r="M91" s="2"/>
      <c r="N91" s="19"/>
      <c r="O91" s="19"/>
      <c r="P91" s="19"/>
      <c r="S91" s="19"/>
    </row>
    <row r="92" spans="1:36" ht="15.75" thickBot="1">
      <c r="A92" s="3"/>
      <c r="B92" s="2"/>
      <c r="C92" s="2"/>
      <c r="D92" s="2"/>
      <c r="E92" s="2"/>
      <c r="F92" s="2"/>
      <c r="G92" s="2"/>
      <c r="H92" s="2"/>
      <c r="I92" s="15"/>
      <c r="J92" s="15"/>
      <c r="K92" s="15"/>
      <c r="L92" s="15"/>
      <c r="M92" s="15"/>
      <c r="N92" s="20"/>
      <c r="O92" s="20"/>
      <c r="P92" s="20"/>
      <c r="S92" s="19"/>
    </row>
    <row r="93" spans="1:36">
      <c r="A93" s="3"/>
      <c r="B93" s="182"/>
      <c r="C93" s="297" t="s">
        <v>62</v>
      </c>
      <c r="D93" s="297" t="s">
        <v>63</v>
      </c>
      <c r="E93" s="297" t="s">
        <v>64</v>
      </c>
      <c r="F93" s="297" t="s">
        <v>65</v>
      </c>
      <c r="G93" s="297" t="s">
        <v>72</v>
      </c>
      <c r="H93" s="297" t="s">
        <v>73</v>
      </c>
      <c r="I93" s="297" t="s">
        <v>74</v>
      </c>
      <c r="J93" s="297" t="s">
        <v>75</v>
      </c>
      <c r="K93" s="297" t="s">
        <v>76</v>
      </c>
      <c r="L93" s="297" t="s">
        <v>77</v>
      </c>
      <c r="M93" s="297" t="s">
        <v>78</v>
      </c>
      <c r="N93" s="298" t="s">
        <v>232</v>
      </c>
      <c r="O93" s="20"/>
      <c r="P93" s="20"/>
      <c r="S93" s="19"/>
    </row>
    <row r="94" spans="1:36" ht="15" customHeight="1">
      <c r="A94" s="3"/>
      <c r="B94" s="299" t="s">
        <v>349</v>
      </c>
      <c r="C94" s="414">
        <v>2475363.62</v>
      </c>
      <c r="D94" s="414"/>
      <c r="E94" s="286"/>
      <c r="F94" s="286"/>
      <c r="G94" s="286"/>
      <c r="H94" s="414"/>
      <c r="I94" s="414"/>
      <c r="J94" s="286"/>
      <c r="K94" s="286"/>
      <c r="L94" s="286"/>
      <c r="M94" s="286"/>
      <c r="N94" s="352"/>
      <c r="O94" s="20"/>
      <c r="P94" s="20"/>
      <c r="S94" s="19"/>
    </row>
    <row r="95" spans="1:36" ht="15" customHeight="1">
      <c r="A95" s="3"/>
      <c r="B95" s="299" t="s">
        <v>350</v>
      </c>
      <c r="C95" s="414">
        <v>87919.039999999994</v>
      </c>
      <c r="D95" s="414"/>
      <c r="E95" s="286"/>
      <c r="F95" s="286"/>
      <c r="G95" s="286"/>
      <c r="H95" s="414"/>
      <c r="I95" s="414"/>
      <c r="J95" s="286"/>
      <c r="K95" s="286"/>
      <c r="L95" s="286"/>
      <c r="M95" s="286"/>
      <c r="N95" s="352"/>
      <c r="O95" s="20"/>
      <c r="P95" s="20"/>
      <c r="S95" s="19"/>
    </row>
    <row r="96" spans="1:36" ht="15" customHeight="1">
      <c r="A96" s="3"/>
      <c r="B96" s="299" t="s">
        <v>351</v>
      </c>
      <c r="C96" s="414">
        <v>1387405.1</v>
      </c>
      <c r="D96" s="414"/>
      <c r="E96" s="286"/>
      <c r="F96" s="286"/>
      <c r="G96" s="286"/>
      <c r="H96" s="414"/>
      <c r="I96" s="414"/>
      <c r="J96" s="286"/>
      <c r="K96" s="286"/>
      <c r="L96" s="286"/>
      <c r="M96" s="286"/>
      <c r="N96" s="352"/>
      <c r="O96" s="20"/>
      <c r="P96" s="20"/>
      <c r="S96" s="19"/>
    </row>
    <row r="97" spans="1:19" ht="15" customHeight="1">
      <c r="A97" s="3"/>
      <c r="B97" s="253" t="s">
        <v>352</v>
      </c>
      <c r="C97" s="491">
        <v>2475363.62</v>
      </c>
      <c r="D97" s="415">
        <f>+C97+D94</f>
        <v>2475363.62</v>
      </c>
      <c r="E97" s="287">
        <f>+D97+E94</f>
        <v>2475363.62</v>
      </c>
      <c r="F97" s="287">
        <f t="shared" ref="F97:N97" si="3">+E97+F94</f>
        <v>2475363.62</v>
      </c>
      <c r="G97" s="287">
        <f t="shared" si="3"/>
        <v>2475363.62</v>
      </c>
      <c r="H97" s="415">
        <f t="shared" si="3"/>
        <v>2475363.62</v>
      </c>
      <c r="I97" s="415">
        <f t="shared" si="3"/>
        <v>2475363.62</v>
      </c>
      <c r="J97" s="287">
        <f t="shared" si="3"/>
        <v>2475363.62</v>
      </c>
      <c r="K97" s="287">
        <f t="shared" si="3"/>
        <v>2475363.62</v>
      </c>
      <c r="L97" s="415">
        <f>+K97+L94</f>
        <v>2475363.62</v>
      </c>
      <c r="M97" s="415">
        <f t="shared" si="3"/>
        <v>2475363.62</v>
      </c>
      <c r="N97" s="468">
        <f t="shared" si="3"/>
        <v>2475363.62</v>
      </c>
      <c r="O97" s="20"/>
      <c r="P97" s="20"/>
      <c r="S97" s="19"/>
    </row>
    <row r="98" spans="1:19" ht="15" customHeight="1">
      <c r="A98" s="3"/>
      <c r="B98" s="253" t="s">
        <v>353</v>
      </c>
      <c r="C98" s="491">
        <v>87919.039999999994</v>
      </c>
      <c r="D98" s="415">
        <f t="shared" ref="D98:N99" si="4">+C98+D95</f>
        <v>87919.039999999994</v>
      </c>
      <c r="E98" s="287">
        <f>+D98+E95</f>
        <v>87919.039999999994</v>
      </c>
      <c r="F98" s="287">
        <f t="shared" si="4"/>
        <v>87919.039999999994</v>
      </c>
      <c r="G98" s="287">
        <f t="shared" si="4"/>
        <v>87919.039999999994</v>
      </c>
      <c r="H98" s="415">
        <f t="shared" si="4"/>
        <v>87919.039999999994</v>
      </c>
      <c r="I98" s="415">
        <f>+H98+I95</f>
        <v>87919.039999999994</v>
      </c>
      <c r="J98" s="287">
        <f t="shared" si="4"/>
        <v>87919.039999999994</v>
      </c>
      <c r="K98" s="287">
        <f>+J98+K95</f>
        <v>87919.039999999994</v>
      </c>
      <c r="L98" s="415">
        <f>+K98+L95</f>
        <v>87919.039999999994</v>
      </c>
      <c r="M98" s="415">
        <f t="shared" si="4"/>
        <v>87919.039999999994</v>
      </c>
      <c r="N98" s="468">
        <f t="shared" si="4"/>
        <v>87919.039999999994</v>
      </c>
      <c r="O98" s="20"/>
      <c r="P98" s="20"/>
      <c r="S98" s="19"/>
    </row>
    <row r="99" spans="1:19" ht="15.75" thickBot="1">
      <c r="A99" s="3"/>
      <c r="B99" s="350" t="s">
        <v>354</v>
      </c>
      <c r="C99" s="492">
        <v>1387405.1</v>
      </c>
      <c r="D99" s="416">
        <f t="shared" si="4"/>
        <v>1387405.1</v>
      </c>
      <c r="E99" s="351">
        <f>+D99+E96</f>
        <v>1387405.1</v>
      </c>
      <c r="F99" s="351">
        <f t="shared" si="4"/>
        <v>1387405.1</v>
      </c>
      <c r="G99" s="351">
        <f t="shared" si="4"/>
        <v>1387405.1</v>
      </c>
      <c r="H99" s="416">
        <f t="shared" si="4"/>
        <v>1387405.1</v>
      </c>
      <c r="I99" s="416">
        <f t="shared" si="4"/>
        <v>1387405.1</v>
      </c>
      <c r="J99" s="351">
        <f t="shared" si="4"/>
        <v>1387405.1</v>
      </c>
      <c r="K99" s="351">
        <f t="shared" si="4"/>
        <v>1387405.1</v>
      </c>
      <c r="L99" s="416">
        <f t="shared" si="4"/>
        <v>1387405.1</v>
      </c>
      <c r="M99" s="416">
        <f>+L99+M96</f>
        <v>1387405.1</v>
      </c>
      <c r="N99" s="469">
        <f t="shared" si="4"/>
        <v>1387405.1</v>
      </c>
      <c r="O99" s="20"/>
      <c r="P99" s="20"/>
      <c r="S99" s="19"/>
    </row>
    <row r="100" spans="1:19">
      <c r="A100" s="3"/>
      <c r="B100" s="3"/>
      <c r="C100" s="2"/>
      <c r="D100" s="2"/>
      <c r="E100" s="2"/>
      <c r="F100" s="2"/>
      <c r="G100" s="2"/>
      <c r="H100" s="2"/>
      <c r="I100" s="15"/>
      <c r="J100" s="122"/>
      <c r="K100" s="123"/>
      <c r="L100" s="15"/>
      <c r="M100" s="124"/>
      <c r="N100" s="20"/>
      <c r="O100" s="20"/>
      <c r="P100" s="20"/>
      <c r="S100" s="19"/>
    </row>
    <row r="101" spans="1:19">
      <c r="A101" s="3"/>
      <c r="B101" s="2" t="s">
        <v>508</v>
      </c>
      <c r="C101" s="2"/>
      <c r="D101" s="2"/>
      <c r="E101" s="2"/>
      <c r="F101" s="2"/>
      <c r="G101" s="2"/>
      <c r="H101" s="2"/>
      <c r="I101" s="15"/>
      <c r="J101" s="122"/>
      <c r="K101" s="123"/>
      <c r="L101" s="15"/>
      <c r="M101" s="124"/>
      <c r="N101" s="20"/>
      <c r="O101" s="20"/>
      <c r="P101" s="20"/>
      <c r="S101" s="19"/>
    </row>
    <row r="102" spans="1:19">
      <c r="A102" s="3"/>
      <c r="C102" s="2"/>
      <c r="D102" s="2"/>
      <c r="E102" s="2"/>
      <c r="F102" s="2"/>
      <c r="G102" s="2"/>
      <c r="H102" s="2"/>
      <c r="I102" s="15"/>
      <c r="J102" s="122"/>
      <c r="K102" s="124"/>
      <c r="L102" s="15"/>
      <c r="M102" s="124"/>
      <c r="N102" s="470"/>
      <c r="O102" s="20"/>
      <c r="P102" s="20"/>
      <c r="S102" s="19"/>
    </row>
    <row r="103" spans="1:19">
      <c r="A103" s="3"/>
      <c r="B103" s="3"/>
      <c r="C103" s="3"/>
      <c r="D103" s="3"/>
      <c r="E103" s="3"/>
      <c r="F103" s="3"/>
      <c r="G103" s="3"/>
      <c r="H103" s="3"/>
      <c r="I103" s="15"/>
      <c r="J103" s="15"/>
      <c r="K103" s="15"/>
      <c r="L103" s="15"/>
      <c r="M103" s="15"/>
      <c r="N103" s="470"/>
      <c r="O103" s="20"/>
      <c r="P103" s="20"/>
    </row>
    <row r="104" spans="1:19" ht="18.75">
      <c r="A104" s="3"/>
      <c r="B104" s="108" t="s">
        <v>355</v>
      </c>
      <c r="C104" s="3"/>
      <c r="D104" s="3"/>
      <c r="E104" s="3"/>
      <c r="F104" s="3"/>
      <c r="G104" s="3"/>
      <c r="H104" s="3"/>
      <c r="I104" s="15"/>
      <c r="J104" s="15"/>
      <c r="K104" s="15"/>
      <c r="L104" s="15"/>
      <c r="M104" s="15"/>
      <c r="N104" s="470"/>
      <c r="O104" s="20"/>
      <c r="P104" s="20"/>
    </row>
    <row r="105" spans="1:19" ht="15.75" thickBot="1">
      <c r="A105" s="3"/>
      <c r="B105" s="3"/>
      <c r="C105" s="15"/>
      <c r="D105" s="15"/>
      <c r="E105" s="15"/>
      <c r="F105" s="15"/>
      <c r="G105" s="2"/>
      <c r="H105" s="2"/>
      <c r="I105" s="2"/>
      <c r="J105" s="15"/>
      <c r="K105" s="2"/>
      <c r="L105" s="15"/>
      <c r="M105" s="15"/>
      <c r="N105" s="20"/>
      <c r="O105" s="20"/>
      <c r="P105" s="20"/>
      <c r="Q105" s="19"/>
      <c r="S105" s="20"/>
    </row>
    <row r="106" spans="1:19" ht="90.75" customHeight="1">
      <c r="A106" s="3"/>
      <c r="B106" s="254" t="s">
        <v>356</v>
      </c>
      <c r="C106" s="255" t="s">
        <v>357</v>
      </c>
      <c r="D106" s="257" t="s">
        <v>358</v>
      </c>
      <c r="E106" s="257" t="s">
        <v>359</v>
      </c>
      <c r="F106" s="256" t="s">
        <v>360</v>
      </c>
      <c r="G106" s="256" t="s">
        <v>361</v>
      </c>
      <c r="H106" s="257" t="s">
        <v>362</v>
      </c>
      <c r="I106" s="257" t="s">
        <v>384</v>
      </c>
      <c r="J106" s="257" t="s">
        <v>363</v>
      </c>
      <c r="K106" s="258" t="s">
        <v>364</v>
      </c>
      <c r="L106" s="2"/>
      <c r="M106" s="20"/>
      <c r="N106" s="20"/>
      <c r="O106" s="20"/>
      <c r="P106" s="19"/>
      <c r="R106" s="20"/>
    </row>
    <row r="107" spans="1:19">
      <c r="A107" s="3"/>
      <c r="B107" s="703" t="s">
        <v>270</v>
      </c>
      <c r="C107" s="316" t="s">
        <v>270</v>
      </c>
      <c r="D107" s="317"/>
      <c r="E107" s="318" t="str">
        <f>IF(ISBLANK(D107),"",D107*30)</f>
        <v/>
      </c>
      <c r="F107" s="288"/>
      <c r="G107" s="289" t="str">
        <f>IF(AND(E107&gt;0,F107&gt;0),(F107*E107),"")</f>
        <v/>
      </c>
      <c r="H107" s="288"/>
      <c r="I107" s="332" t="str">
        <f>IF(AND(G107&gt;0,H107&gt;0),H107/G107,"")</f>
        <v/>
      </c>
      <c r="J107" s="319"/>
      <c r="K107" s="353" t="str">
        <f>IF(AND(I107&gt;0,J107&gt;0),I107-J107,"")</f>
        <v/>
      </c>
      <c r="L107" s="2"/>
      <c r="M107" s="20"/>
      <c r="N107" s="20"/>
      <c r="O107" s="20"/>
      <c r="P107" s="19"/>
      <c r="R107" s="20"/>
    </row>
    <row r="108" spans="1:19">
      <c r="A108" s="3"/>
      <c r="B108" s="704"/>
      <c r="C108" s="316" t="s">
        <v>270</v>
      </c>
      <c r="D108" s="317"/>
      <c r="E108" s="318" t="str">
        <f>IF(ISBLANK(D108),"",D108*30)</f>
        <v/>
      </c>
      <c r="F108" s="288"/>
      <c r="G108" s="289" t="str">
        <f>IF(AND(E108&gt;0,F108&gt;0),(F108*E108),"")</f>
        <v/>
      </c>
      <c r="H108" s="288"/>
      <c r="I108" s="332" t="str">
        <f>IF(AND(G108&gt;0,H108&gt;0),H108/G108,"")</f>
        <v/>
      </c>
      <c r="J108" s="319"/>
      <c r="K108" s="353" t="str">
        <f>IF(AND(I108&gt;0,J108&gt;0),I108-J108,"")</f>
        <v/>
      </c>
      <c r="L108" s="2"/>
      <c r="M108" s="20"/>
      <c r="N108" s="20"/>
      <c r="O108" s="20"/>
      <c r="P108" s="19"/>
    </row>
    <row r="109" spans="1:19">
      <c r="A109" s="3"/>
      <c r="B109" s="704"/>
      <c r="C109" s="316" t="s">
        <v>270</v>
      </c>
      <c r="D109" s="317"/>
      <c r="E109" s="318" t="str">
        <f>IF(ISBLANK(D109),"",D109*30)</f>
        <v/>
      </c>
      <c r="F109" s="288"/>
      <c r="G109" s="289" t="str">
        <f>IF(AND(E109&gt;0,F109&gt;0),(F109*E109),"")</f>
        <v/>
      </c>
      <c r="H109" s="288"/>
      <c r="I109" s="332" t="str">
        <f>IF(AND(G109&gt;0,H109&gt;0),H109/G109,"")</f>
        <v/>
      </c>
      <c r="J109" s="319"/>
      <c r="K109" s="353" t="str">
        <f>IF(AND(I109&gt;0,J109&gt;0),I109-J109,"")</f>
        <v/>
      </c>
      <c r="L109" s="2"/>
      <c r="M109" s="20"/>
      <c r="N109" s="20"/>
      <c r="O109" s="20"/>
      <c r="P109" s="19"/>
      <c r="R109" s="20"/>
    </row>
    <row r="110" spans="1:19" ht="15.75" thickBot="1">
      <c r="A110" s="3"/>
      <c r="B110" s="705"/>
      <c r="C110" s="320" t="s">
        <v>270</v>
      </c>
      <c r="D110" s="321"/>
      <c r="E110" s="347" t="str">
        <f>IF(ISBLANK(D110),"",D110*30)</f>
        <v/>
      </c>
      <c r="F110" s="290"/>
      <c r="G110" s="348" t="str">
        <f>IF(AND(E110&gt;0,F110&gt;0),(F110*E110),"")</f>
        <v/>
      </c>
      <c r="H110" s="290"/>
      <c r="I110" s="349" t="str">
        <f>IF(AND(G110&gt;0,H110&gt;0),H110/G110,"")</f>
        <v/>
      </c>
      <c r="J110" s="322"/>
      <c r="K110" s="354" t="str">
        <f>IF(AND(I110&gt;0,J110&gt;0),I110-J110,"")</f>
        <v/>
      </c>
      <c r="L110" s="2"/>
      <c r="M110" s="20"/>
      <c r="N110" s="20"/>
      <c r="O110" s="20"/>
      <c r="P110" s="19"/>
      <c r="R110" s="20"/>
    </row>
    <row r="111" spans="1:19">
      <c r="A111" s="3"/>
      <c r="B111" s="3"/>
      <c r="C111" s="3"/>
      <c r="D111" s="3"/>
      <c r="E111" s="3"/>
      <c r="F111" s="3"/>
      <c r="G111" s="2"/>
      <c r="H111" s="2"/>
      <c r="I111" s="2"/>
      <c r="J111" s="3"/>
      <c r="K111" s="3"/>
      <c r="L111" s="2"/>
      <c r="M111" s="2"/>
      <c r="N111" s="20"/>
      <c r="O111" s="20"/>
      <c r="P111" s="20"/>
      <c r="Q111" s="19"/>
      <c r="S111" s="20"/>
    </row>
    <row r="112" spans="1:19" ht="15.75" thickBot="1">
      <c r="A112" s="3"/>
      <c r="B112" s="3"/>
      <c r="C112" s="3"/>
      <c r="D112" s="3"/>
      <c r="E112" s="3"/>
      <c r="F112" s="3"/>
      <c r="G112" s="3"/>
      <c r="H112" s="3"/>
      <c r="I112" s="2"/>
      <c r="J112" s="107"/>
      <c r="K112" s="107"/>
      <c r="L112" s="3"/>
      <c r="M112" s="3"/>
    </row>
    <row r="113" spans="1:20" ht="19.5" thickBot="1">
      <c r="A113" s="3"/>
      <c r="B113" s="202" t="s">
        <v>365</v>
      </c>
      <c r="C113" s="125"/>
      <c r="D113" s="125"/>
      <c r="E113" s="126"/>
      <c r="F113" s="126"/>
      <c r="G113" s="126"/>
      <c r="H113" s="209"/>
      <c r="I113" s="203"/>
      <c r="J113" s="272"/>
      <c r="K113" s="273" t="s">
        <v>425</v>
      </c>
      <c r="L113" s="126"/>
      <c r="M113" s="274"/>
      <c r="N113" s="275"/>
      <c r="O113" s="275"/>
      <c r="P113" s="324"/>
      <c r="Q113" s="35"/>
    </row>
    <row r="114" spans="1:20" ht="15.75" thickBot="1">
      <c r="A114" s="3"/>
      <c r="B114" s="3"/>
      <c r="C114" s="3"/>
      <c r="D114" s="3"/>
      <c r="E114" s="3"/>
      <c r="F114" s="3"/>
      <c r="G114" s="3"/>
      <c r="H114" s="3"/>
      <c r="I114" s="3"/>
      <c r="J114" s="3"/>
      <c r="K114" s="3"/>
      <c r="L114" s="3"/>
      <c r="M114" s="3"/>
      <c r="N114"/>
      <c r="O114"/>
      <c r="P114" s="35"/>
      <c r="Q114" s="35"/>
    </row>
    <row r="115" spans="1:20" ht="42.75" customHeight="1">
      <c r="A115" s="3"/>
      <c r="B115" s="700" t="s">
        <v>370</v>
      </c>
      <c r="C115" s="701"/>
      <c r="D115" s="702"/>
      <c r="E115" s="261" t="s">
        <v>371</v>
      </c>
      <c r="F115" s="370" t="s">
        <v>372</v>
      </c>
      <c r="G115" s="206"/>
      <c r="H115" s="306" t="s">
        <v>62</v>
      </c>
      <c r="I115" s="306" t="s">
        <v>63</v>
      </c>
      <c r="J115" s="306" t="s">
        <v>281</v>
      </c>
      <c r="K115" s="306" t="s">
        <v>65</v>
      </c>
      <c r="L115" s="306" t="s">
        <v>72</v>
      </c>
      <c r="M115" s="306" t="s">
        <v>73</v>
      </c>
      <c r="N115" s="306" t="s">
        <v>74</v>
      </c>
      <c r="O115" s="306" t="s">
        <v>75</v>
      </c>
      <c r="P115" s="306" t="s">
        <v>76</v>
      </c>
      <c r="Q115" s="306" t="s">
        <v>77</v>
      </c>
      <c r="R115" s="306" t="s">
        <v>78</v>
      </c>
      <c r="S115" s="307" t="s">
        <v>232</v>
      </c>
      <c r="T115" s="63"/>
    </row>
    <row r="116" spans="1:20" ht="21.75" customHeight="1">
      <c r="A116" s="677" t="s">
        <v>271</v>
      </c>
      <c r="B116" s="666" t="s">
        <v>493</v>
      </c>
      <c r="C116" s="667"/>
      <c r="D116" s="668"/>
      <c r="E116" s="711" t="s">
        <v>421</v>
      </c>
      <c r="F116" s="708" t="s">
        <v>369</v>
      </c>
      <c r="G116" s="364" t="s">
        <v>366</v>
      </c>
      <c r="H116" s="434">
        <v>10</v>
      </c>
      <c r="I116" s="493"/>
      <c r="J116" s="432"/>
      <c r="K116" s="531"/>
      <c r="L116" s="433"/>
      <c r="M116" s="434"/>
      <c r="N116" s="434"/>
      <c r="O116" s="434"/>
      <c r="P116" s="434"/>
      <c r="Q116" s="434"/>
      <c r="R116" s="434"/>
      <c r="S116" s="127"/>
      <c r="T116" s="63"/>
    </row>
    <row r="117" spans="1:20" ht="21" customHeight="1">
      <c r="A117" s="677"/>
      <c r="B117" s="669"/>
      <c r="C117" s="670"/>
      <c r="D117" s="671"/>
      <c r="E117" s="754"/>
      <c r="F117" s="709"/>
      <c r="G117" s="364" t="s">
        <v>367</v>
      </c>
      <c r="H117" s="546">
        <v>9.9600000000000009</v>
      </c>
      <c r="I117" s="434"/>
      <c r="J117" s="432"/>
      <c r="K117" s="432"/>
      <c r="L117" s="433"/>
      <c r="M117" s="434"/>
      <c r="N117" s="434"/>
      <c r="O117" s="434"/>
      <c r="P117" s="434"/>
      <c r="Q117" s="434"/>
      <c r="R117" s="434"/>
      <c r="S117" s="127"/>
      <c r="T117" s="63"/>
    </row>
    <row r="118" spans="1:20" ht="30" customHeight="1">
      <c r="A118" s="677"/>
      <c r="B118" s="710" t="s">
        <v>485</v>
      </c>
      <c r="C118" s="667"/>
      <c r="D118" s="668"/>
      <c r="E118" s="757" t="s">
        <v>439</v>
      </c>
      <c r="F118" s="755" t="s">
        <v>369</v>
      </c>
      <c r="G118" s="428" t="s">
        <v>366</v>
      </c>
      <c r="H118" s="438">
        <v>22</v>
      </c>
      <c r="I118" s="494"/>
      <c r="J118" s="436"/>
      <c r="K118" s="437"/>
      <c r="L118" s="437"/>
      <c r="M118" s="437"/>
      <c r="N118" s="437"/>
      <c r="O118" s="437"/>
      <c r="P118" s="437"/>
      <c r="Q118" s="438"/>
      <c r="R118" s="438"/>
      <c r="S118" s="259"/>
      <c r="T118" s="63"/>
    </row>
    <row r="119" spans="1:20" ht="31.5" customHeight="1">
      <c r="A119" s="677"/>
      <c r="B119" s="669"/>
      <c r="C119" s="670"/>
      <c r="D119" s="671"/>
      <c r="E119" s="758"/>
      <c r="F119" s="756"/>
      <c r="G119" s="428" t="s">
        <v>367</v>
      </c>
      <c r="H119" s="438">
        <v>27.2</v>
      </c>
      <c r="I119" s="437"/>
      <c r="J119" s="435"/>
      <c r="K119" s="437"/>
      <c r="L119" s="437"/>
      <c r="M119" s="437"/>
      <c r="N119" s="437"/>
      <c r="O119" s="437"/>
      <c r="P119" s="437"/>
      <c r="Q119" s="438"/>
      <c r="R119" s="438"/>
      <c r="S119" s="259"/>
      <c r="T119" s="63"/>
    </row>
    <row r="120" spans="1:20" ht="32.25" customHeight="1">
      <c r="A120" s="677"/>
      <c r="B120" s="666" t="s">
        <v>440</v>
      </c>
      <c r="C120" s="667"/>
      <c r="D120" s="668"/>
      <c r="E120" s="711" t="s">
        <v>441</v>
      </c>
      <c r="F120" s="708" t="s">
        <v>369</v>
      </c>
      <c r="G120" s="364" t="s">
        <v>366</v>
      </c>
      <c r="H120" s="439">
        <v>59</v>
      </c>
      <c r="I120" s="495"/>
      <c r="J120" s="440"/>
      <c r="K120" s="441"/>
      <c r="L120" s="441"/>
      <c r="M120" s="439"/>
      <c r="N120" s="439"/>
      <c r="O120" s="439"/>
      <c r="P120" s="439"/>
      <c r="Q120" s="439"/>
      <c r="R120" s="439"/>
      <c r="S120" s="127"/>
      <c r="T120" s="63"/>
    </row>
    <row r="121" spans="1:20" ht="30.75" customHeight="1">
      <c r="A121" s="677"/>
      <c r="B121" s="669"/>
      <c r="C121" s="670"/>
      <c r="D121" s="671"/>
      <c r="E121" s="712"/>
      <c r="F121" s="709"/>
      <c r="G121" s="364" t="s">
        <v>367</v>
      </c>
      <c r="H121" s="439">
        <v>65.3</v>
      </c>
      <c r="I121" s="439"/>
      <c r="J121" s="440"/>
      <c r="K121" s="442"/>
      <c r="L121" s="443"/>
      <c r="M121" s="440"/>
      <c r="N121" s="440"/>
      <c r="O121" s="440"/>
      <c r="P121" s="439"/>
      <c r="Q121" s="439"/>
      <c r="R121" s="439"/>
      <c r="S121" s="127"/>
      <c r="T121" s="63"/>
    </row>
    <row r="122" spans="1:20" ht="30.75" customHeight="1">
      <c r="A122" s="3"/>
      <c r="B122" s="710" t="s">
        <v>486</v>
      </c>
      <c r="C122" s="667"/>
      <c r="D122" s="668"/>
      <c r="E122" s="675" t="s">
        <v>429</v>
      </c>
      <c r="F122" s="706" t="s">
        <v>369</v>
      </c>
      <c r="G122" s="365" t="s">
        <v>366</v>
      </c>
      <c r="H122" s="454">
        <v>55</v>
      </c>
      <c r="I122" s="496"/>
      <c r="J122" s="445"/>
      <c r="K122" s="453"/>
      <c r="L122" s="453"/>
      <c r="M122" s="454"/>
      <c r="N122" s="454"/>
      <c r="O122" s="454"/>
      <c r="P122" s="454"/>
      <c r="Q122" s="454"/>
      <c r="R122" s="454"/>
      <c r="S122" s="259"/>
      <c r="T122" s="63"/>
    </row>
    <row r="123" spans="1:20" ht="30.75" customHeight="1">
      <c r="A123" s="3"/>
      <c r="B123" s="669"/>
      <c r="C123" s="670"/>
      <c r="D123" s="671"/>
      <c r="E123" s="676"/>
      <c r="F123" s="707"/>
      <c r="G123" s="365" t="s">
        <v>367</v>
      </c>
      <c r="H123" s="454">
        <v>59</v>
      </c>
      <c r="I123" s="449"/>
      <c r="J123" s="445"/>
      <c r="K123" s="453"/>
      <c r="L123" s="453"/>
      <c r="M123" s="454"/>
      <c r="N123" s="454"/>
      <c r="O123" s="454"/>
      <c r="P123" s="454"/>
      <c r="Q123" s="454"/>
      <c r="R123" s="454"/>
      <c r="S123" s="259"/>
      <c r="T123" s="63"/>
    </row>
    <row r="124" spans="1:20" ht="24" customHeight="1">
      <c r="A124" s="3"/>
      <c r="B124" s="666" t="s">
        <v>494</v>
      </c>
      <c r="C124" s="667"/>
      <c r="D124" s="668"/>
      <c r="E124" s="747" t="s">
        <v>428</v>
      </c>
      <c r="F124" s="662" t="s">
        <v>369</v>
      </c>
      <c r="G124" s="455" t="s">
        <v>366</v>
      </c>
      <c r="H124" s="544">
        <v>107.2</v>
      </c>
      <c r="I124" s="497"/>
      <c r="J124" s="460"/>
      <c r="K124" s="461"/>
      <c r="L124" s="536"/>
      <c r="M124" s="461"/>
      <c r="N124" s="461"/>
      <c r="O124" s="461"/>
      <c r="P124" s="461"/>
      <c r="Q124" s="422"/>
      <c r="R124" s="422"/>
      <c r="S124" s="456"/>
      <c r="T124" s="63"/>
    </row>
    <row r="125" spans="1:20" ht="24.75" customHeight="1">
      <c r="A125" s="3"/>
      <c r="B125" s="669"/>
      <c r="C125" s="670"/>
      <c r="D125" s="671"/>
      <c r="E125" s="748"/>
      <c r="F125" s="662"/>
      <c r="G125" s="455" t="s">
        <v>367</v>
      </c>
      <c r="H125" s="544">
        <v>103.2</v>
      </c>
      <c r="I125" s="461"/>
      <c r="J125" s="460"/>
      <c r="K125" s="461"/>
      <c r="L125" s="461"/>
      <c r="M125" s="461"/>
      <c r="N125" s="461"/>
      <c r="O125" s="461"/>
      <c r="P125" s="461"/>
      <c r="Q125" s="422"/>
      <c r="R125" s="422"/>
      <c r="S125" s="456"/>
      <c r="T125" s="63"/>
    </row>
    <row r="126" spans="1:20" ht="24" customHeight="1">
      <c r="A126" s="3"/>
      <c r="B126" s="710" t="s">
        <v>495</v>
      </c>
      <c r="C126" s="667"/>
      <c r="D126" s="668"/>
      <c r="E126" s="675" t="s">
        <v>430</v>
      </c>
      <c r="F126" s="706" t="s">
        <v>369</v>
      </c>
      <c r="G126" s="365" t="s">
        <v>366</v>
      </c>
      <c r="H126" s="454">
        <v>55.8</v>
      </c>
      <c r="I126" s="496"/>
      <c r="J126" s="445"/>
      <c r="K126" s="453"/>
      <c r="L126" s="453"/>
      <c r="M126" s="454"/>
      <c r="N126" s="454"/>
      <c r="O126" s="454"/>
      <c r="P126" s="454"/>
      <c r="Q126" s="454"/>
      <c r="R126" s="454"/>
      <c r="S126" s="259"/>
      <c r="T126" s="63"/>
    </row>
    <row r="127" spans="1:20" ht="24.75" customHeight="1">
      <c r="A127" s="3"/>
      <c r="B127" s="669"/>
      <c r="C127" s="670"/>
      <c r="D127" s="671"/>
      <c r="E127" s="676"/>
      <c r="F127" s="707"/>
      <c r="G127" s="365" t="s">
        <v>367</v>
      </c>
      <c r="H127" s="454">
        <v>51.88</v>
      </c>
      <c r="I127" s="498"/>
      <c r="J127" s="445"/>
      <c r="K127" s="453"/>
      <c r="L127" s="453"/>
      <c r="M127" s="454"/>
      <c r="N127" s="454"/>
      <c r="O127" s="454"/>
      <c r="P127" s="454"/>
      <c r="Q127" s="454"/>
      <c r="R127" s="454"/>
      <c r="S127" s="259"/>
      <c r="T127" s="63"/>
    </row>
    <row r="128" spans="1:20" ht="24.75" customHeight="1">
      <c r="A128" s="3"/>
      <c r="B128" s="666" t="s">
        <v>442</v>
      </c>
      <c r="C128" s="667"/>
      <c r="D128" s="668"/>
      <c r="E128" s="678" t="s">
        <v>368</v>
      </c>
      <c r="F128" s="664" t="s">
        <v>369</v>
      </c>
      <c r="G128" s="431" t="s">
        <v>366</v>
      </c>
      <c r="H128" s="447">
        <v>77</v>
      </c>
      <c r="I128" s="499"/>
      <c r="J128" s="448"/>
      <c r="K128" s="446"/>
      <c r="L128" s="446"/>
      <c r="M128" s="447"/>
      <c r="N128" s="447"/>
      <c r="O128" s="447"/>
      <c r="P128" s="447"/>
      <c r="Q128" s="447"/>
      <c r="R128" s="447"/>
      <c r="S128" s="344"/>
      <c r="T128" s="63"/>
    </row>
    <row r="129" spans="1:21" ht="24" customHeight="1">
      <c r="A129" s="3"/>
      <c r="B129" s="669"/>
      <c r="C129" s="670"/>
      <c r="D129" s="671"/>
      <c r="E129" s="679"/>
      <c r="F129" s="665"/>
      <c r="G129" s="431" t="s">
        <v>367</v>
      </c>
      <c r="H129" s="447">
        <v>72</v>
      </c>
      <c r="I129" s="500"/>
      <c r="J129" s="448"/>
      <c r="K129" s="446"/>
      <c r="L129" s="446"/>
      <c r="M129" s="447"/>
      <c r="N129" s="447"/>
      <c r="O129" s="447"/>
      <c r="P129" s="447"/>
      <c r="Q129" s="447"/>
      <c r="R129" s="447"/>
      <c r="S129" s="344"/>
      <c r="T129" s="63"/>
    </row>
    <row r="130" spans="1:21" ht="39" customHeight="1">
      <c r="A130" s="3"/>
      <c r="B130" s="710" t="s">
        <v>443</v>
      </c>
      <c r="C130" s="667"/>
      <c r="D130" s="668"/>
      <c r="E130" s="675" t="s">
        <v>444</v>
      </c>
      <c r="F130" s="663" t="s">
        <v>369</v>
      </c>
      <c r="G130" s="365" t="s">
        <v>366</v>
      </c>
      <c r="H130" s="449">
        <v>95</v>
      </c>
      <c r="I130" s="496"/>
      <c r="J130" s="444"/>
      <c r="K130" s="449"/>
      <c r="L130" s="449"/>
      <c r="M130" s="449"/>
      <c r="N130" s="449"/>
      <c r="O130" s="449"/>
      <c r="P130" s="449"/>
      <c r="Q130" s="449"/>
      <c r="R130" s="449"/>
      <c r="S130" s="345"/>
      <c r="T130" s="63"/>
    </row>
    <row r="131" spans="1:21" ht="33.75" customHeight="1">
      <c r="A131" s="3"/>
      <c r="B131" s="669"/>
      <c r="C131" s="670"/>
      <c r="D131" s="671"/>
      <c r="E131" s="676"/>
      <c r="F131" s="663"/>
      <c r="G131" s="365" t="s">
        <v>367</v>
      </c>
      <c r="H131" s="449">
        <v>71.3</v>
      </c>
      <c r="I131" s="449"/>
      <c r="J131" s="444"/>
      <c r="K131" s="449"/>
      <c r="L131" s="449"/>
      <c r="M131" s="449"/>
      <c r="N131" s="449"/>
      <c r="O131" s="449"/>
      <c r="P131" s="449"/>
      <c r="Q131" s="449"/>
      <c r="R131" s="449"/>
      <c r="S131" s="345"/>
      <c r="T131" s="63"/>
    </row>
    <row r="132" spans="1:21" ht="24.75" customHeight="1">
      <c r="A132" s="3"/>
      <c r="B132" s="666" t="s">
        <v>445</v>
      </c>
      <c r="C132" s="667"/>
      <c r="D132" s="668"/>
      <c r="E132" s="672" t="s">
        <v>446</v>
      </c>
      <c r="F132" s="662" t="s">
        <v>369</v>
      </c>
      <c r="G132" s="342" t="s">
        <v>52</v>
      </c>
      <c r="H132" s="343">
        <v>456</v>
      </c>
      <c r="I132" s="343"/>
      <c r="J132" s="361"/>
      <c r="K132" s="343"/>
      <c r="L132" s="343"/>
      <c r="M132" s="343"/>
      <c r="N132" s="343"/>
      <c r="O132" s="343"/>
      <c r="P132" s="343"/>
      <c r="Q132" s="343"/>
      <c r="R132" s="343"/>
      <c r="S132" s="344"/>
      <c r="T132" s="63"/>
    </row>
    <row r="133" spans="1:21" ht="24" customHeight="1">
      <c r="A133" s="3"/>
      <c r="B133" s="669"/>
      <c r="C133" s="670"/>
      <c r="D133" s="671"/>
      <c r="E133" s="672"/>
      <c r="F133" s="662"/>
      <c r="G133" s="342" t="s">
        <v>53</v>
      </c>
      <c r="H133" s="343">
        <v>429</v>
      </c>
      <c r="I133" s="343"/>
      <c r="J133" s="361"/>
      <c r="K133" s="343"/>
      <c r="L133" s="343"/>
      <c r="M133" s="343"/>
      <c r="N133" s="343"/>
      <c r="O133" s="343"/>
      <c r="P133" s="343"/>
      <c r="Q133" s="343"/>
      <c r="R133" s="343"/>
      <c r="S133" s="344"/>
      <c r="T133" s="63"/>
    </row>
    <row r="134" spans="1:21" ht="21" customHeight="1">
      <c r="A134" s="3"/>
      <c r="B134" s="710" t="s">
        <v>447</v>
      </c>
      <c r="C134" s="667"/>
      <c r="D134" s="668"/>
      <c r="E134" s="749" t="s">
        <v>448</v>
      </c>
      <c r="F134" s="673" t="s">
        <v>369</v>
      </c>
      <c r="G134" s="341" t="s">
        <v>52</v>
      </c>
      <c r="H134" s="260">
        <v>410</v>
      </c>
      <c r="I134" s="260"/>
      <c r="J134" s="359"/>
      <c r="K134" s="260"/>
      <c r="L134" s="260"/>
      <c r="M134" s="260"/>
      <c r="N134" s="260"/>
      <c r="O134" s="260"/>
      <c r="P134" s="260"/>
      <c r="Q134" s="260"/>
      <c r="R134" s="260"/>
      <c r="S134" s="345"/>
      <c r="T134" s="63"/>
    </row>
    <row r="135" spans="1:21" ht="21.75" customHeight="1">
      <c r="A135" s="3"/>
      <c r="B135" s="669"/>
      <c r="C135" s="670"/>
      <c r="D135" s="671"/>
      <c r="E135" s="750"/>
      <c r="F135" s="674"/>
      <c r="G135" s="341" t="s">
        <v>53</v>
      </c>
      <c r="H135" s="260">
        <v>481</v>
      </c>
      <c r="I135" s="260"/>
      <c r="J135" s="360"/>
      <c r="K135" s="260"/>
      <c r="L135" s="260"/>
      <c r="M135" s="260"/>
      <c r="N135" s="260"/>
      <c r="O135" s="260"/>
      <c r="P135" s="260"/>
      <c r="Q135" s="260"/>
      <c r="R135" s="260"/>
      <c r="S135" s="345"/>
      <c r="T135" s="63"/>
    </row>
    <row r="136" spans="1:21" ht="26.25" customHeight="1">
      <c r="A136" s="3"/>
      <c r="B136" s="666" t="s">
        <v>450</v>
      </c>
      <c r="C136" s="667"/>
      <c r="D136" s="668"/>
      <c r="E136" s="672" t="s">
        <v>449</v>
      </c>
      <c r="F136" s="662" t="s">
        <v>369</v>
      </c>
      <c r="G136" s="342" t="s">
        <v>52</v>
      </c>
      <c r="H136" s="540">
        <v>6.6</v>
      </c>
      <c r="I136" s="343"/>
      <c r="J136" s="361"/>
      <c r="K136" s="343"/>
      <c r="L136" s="343"/>
      <c r="M136" s="343"/>
      <c r="N136" s="343"/>
      <c r="O136" s="343"/>
      <c r="P136" s="343"/>
      <c r="Q136" s="343"/>
      <c r="R136" s="343"/>
      <c r="S136" s="344"/>
      <c r="T136" s="63"/>
    </row>
    <row r="137" spans="1:21" ht="24" customHeight="1">
      <c r="A137" s="3"/>
      <c r="B137" s="669"/>
      <c r="C137" s="670"/>
      <c r="D137" s="671"/>
      <c r="E137" s="672"/>
      <c r="F137" s="662"/>
      <c r="G137" s="342" t="s">
        <v>53</v>
      </c>
      <c r="H137" s="540">
        <v>8.6999999999999993</v>
      </c>
      <c r="I137" s="343"/>
      <c r="J137" s="361"/>
      <c r="K137" s="343"/>
      <c r="L137" s="343"/>
      <c r="M137" s="343"/>
      <c r="N137" s="343"/>
      <c r="O137" s="343"/>
      <c r="P137" s="343"/>
      <c r="Q137" s="343"/>
      <c r="R137" s="343"/>
      <c r="S137" s="344"/>
      <c r="T137" s="63"/>
    </row>
    <row r="138" spans="1:21">
      <c r="A138" s="3"/>
      <c r="B138" s="3"/>
      <c r="C138" s="3"/>
      <c r="D138" s="3"/>
      <c r="E138" s="3"/>
      <c r="F138" s="3"/>
      <c r="G138" s="2"/>
      <c r="H138" s="3"/>
      <c r="I138" s="3"/>
      <c r="J138" s="3"/>
      <c r="K138" s="3"/>
      <c r="L138" s="3"/>
      <c r="M138" s="3"/>
      <c r="N138" s="3"/>
      <c r="O138" s="3"/>
      <c r="R138" s="35"/>
      <c r="S138" s="35"/>
    </row>
    <row r="139" spans="1:21" ht="16.5" thickBot="1">
      <c r="A139" s="3"/>
      <c r="B139" s="262"/>
      <c r="C139" s="3"/>
      <c r="D139" s="3"/>
      <c r="E139" s="3"/>
      <c r="F139" s="3"/>
      <c r="G139" s="2"/>
      <c r="H139" s="3"/>
      <c r="I139" s="3"/>
      <c r="J139" s="3"/>
      <c r="K139" s="3"/>
      <c r="L139" s="3"/>
      <c r="M139" s="3"/>
      <c r="N139" s="3"/>
      <c r="O139" s="3"/>
      <c r="R139" s="35"/>
      <c r="S139" s="35"/>
    </row>
    <row r="140" spans="1:21" ht="41.25" customHeight="1">
      <c r="A140" s="3"/>
      <c r="B140" s="3" t="s">
        <v>420</v>
      </c>
      <c r="C140" s="3"/>
      <c r="D140" s="3"/>
      <c r="E140" s="261" t="s">
        <v>371</v>
      </c>
      <c r="F140" s="370" t="s">
        <v>372</v>
      </c>
      <c r="G140" s="206"/>
      <c r="H140" s="306" t="str">
        <f t="shared" ref="H140:S140" si="5">C30</f>
        <v>P1</v>
      </c>
      <c r="I140" s="306" t="str">
        <f t="shared" si="5"/>
        <v>P2</v>
      </c>
      <c r="J140" s="306" t="str">
        <f t="shared" si="5"/>
        <v>P3</v>
      </c>
      <c r="K140" s="306" t="str">
        <f t="shared" si="5"/>
        <v>P4</v>
      </c>
      <c r="L140" s="306" t="str">
        <f t="shared" si="5"/>
        <v>P5</v>
      </c>
      <c r="M140" s="306" t="str">
        <f t="shared" si="5"/>
        <v>P6</v>
      </c>
      <c r="N140" s="306" t="str">
        <f t="shared" si="5"/>
        <v>P7</v>
      </c>
      <c r="O140" s="306" t="str">
        <f t="shared" si="5"/>
        <v>P8</v>
      </c>
      <c r="P140" s="306" t="str">
        <f t="shared" si="5"/>
        <v>P9</v>
      </c>
      <c r="Q140" s="306" t="str">
        <f t="shared" si="5"/>
        <v>P10</v>
      </c>
      <c r="R140" s="306" t="str">
        <f t="shared" si="5"/>
        <v>P11</v>
      </c>
      <c r="S140" s="307" t="str">
        <f t="shared" si="5"/>
        <v>P12</v>
      </c>
      <c r="T140" s="35"/>
      <c r="U140" s="35"/>
    </row>
    <row r="141" spans="1:21" ht="25.5" customHeight="1">
      <c r="A141" s="3"/>
      <c r="B141" s="734" t="str">
        <f>IF(ISBLANK(B116),"",(B116))</f>
        <v>Rata mortalităţii  - Numărul de decese cauzate de TB (toate formele) pe an, la 100 000 persoane</v>
      </c>
      <c r="C141" s="735"/>
      <c r="D141" s="736"/>
      <c r="E141" s="730" t="str">
        <f>IF(ISBLANK(E116),"",(E116))</f>
        <v>Impact 1</v>
      </c>
      <c r="F141" s="732" t="str">
        <f>IF(ISBLANK(F116),"",(F116))</f>
        <v>Nu</v>
      </c>
      <c r="G141" s="364" t="s">
        <v>366</v>
      </c>
      <c r="H141" s="450">
        <f>H116</f>
        <v>10</v>
      </c>
      <c r="I141" s="450"/>
      <c r="J141" s="450"/>
      <c r="K141" s="450"/>
      <c r="L141" s="450"/>
      <c r="M141" s="450">
        <f t="shared" ref="M141:S141" si="6">M116</f>
        <v>0</v>
      </c>
      <c r="N141" s="450">
        <f t="shared" si="6"/>
        <v>0</v>
      </c>
      <c r="O141" s="450">
        <f t="shared" si="6"/>
        <v>0</v>
      </c>
      <c r="P141" s="450">
        <f t="shared" si="6"/>
        <v>0</v>
      </c>
      <c r="Q141" s="450">
        <f t="shared" si="6"/>
        <v>0</v>
      </c>
      <c r="R141" s="450">
        <f t="shared" si="6"/>
        <v>0</v>
      </c>
      <c r="S141" s="355">
        <f t="shared" si="6"/>
        <v>0</v>
      </c>
      <c r="T141" s="35"/>
      <c r="U141" s="35"/>
    </row>
    <row r="142" spans="1:21" ht="25.5" customHeight="1">
      <c r="A142" s="3"/>
      <c r="B142" s="737"/>
      <c r="C142" s="738"/>
      <c r="D142" s="739"/>
      <c r="E142" s="730"/>
      <c r="F142" s="732"/>
      <c r="G142" s="364" t="s">
        <v>367</v>
      </c>
      <c r="H142" s="547">
        <f>H117</f>
        <v>9.9600000000000009</v>
      </c>
      <c r="I142" s="450"/>
      <c r="J142" s="450"/>
      <c r="K142" s="450"/>
      <c r="L142" s="450"/>
      <c r="M142" s="450">
        <f t="shared" ref="M142:S142" si="7">M117</f>
        <v>0</v>
      </c>
      <c r="N142" s="450">
        <f t="shared" si="7"/>
        <v>0</v>
      </c>
      <c r="O142" s="450">
        <f t="shared" si="7"/>
        <v>0</v>
      </c>
      <c r="P142" s="450">
        <f t="shared" si="7"/>
        <v>0</v>
      </c>
      <c r="Q142" s="450">
        <f t="shared" si="7"/>
        <v>0</v>
      </c>
      <c r="R142" s="450">
        <f t="shared" si="7"/>
        <v>0</v>
      </c>
      <c r="S142" s="355">
        <f t="shared" si="7"/>
        <v>0</v>
      </c>
      <c r="T142" s="35"/>
      <c r="U142" s="35"/>
    </row>
    <row r="143" spans="1:21" ht="26.25" customHeight="1">
      <c r="A143" s="3"/>
      <c r="B143" s="741" t="str">
        <f>IF(ISBLANK(B118),"",(B118))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C143" s="742"/>
      <c r="D143" s="743"/>
      <c r="E143" s="740" t="str">
        <f>IF(ISBLANK(E118),"",(E118))</f>
        <v>Impact 2</v>
      </c>
      <c r="F143" s="729" t="str">
        <f>IF(ISBLANK(F118),"",(F118))</f>
        <v>Nu</v>
      </c>
      <c r="G143" s="365" t="s">
        <v>366</v>
      </c>
      <c r="H143" s="451">
        <f>H118</f>
        <v>22</v>
      </c>
      <c r="I143" s="451"/>
      <c r="J143" s="451"/>
      <c r="K143" s="451"/>
      <c r="L143" s="451"/>
      <c r="M143" s="451">
        <f t="shared" ref="M143:P143" si="8">M118</f>
        <v>0</v>
      </c>
      <c r="N143" s="451">
        <f t="shared" si="8"/>
        <v>0</v>
      </c>
      <c r="O143" s="451">
        <f t="shared" si="8"/>
        <v>0</v>
      </c>
      <c r="P143" s="451">
        <f t="shared" si="8"/>
        <v>0</v>
      </c>
      <c r="Q143" s="451">
        <f t="shared" ref="Q143:S144" si="9">Q118</f>
        <v>0</v>
      </c>
      <c r="R143" s="451">
        <f t="shared" si="9"/>
        <v>0</v>
      </c>
      <c r="S143" s="356">
        <f t="shared" si="9"/>
        <v>0</v>
      </c>
      <c r="T143" s="35"/>
      <c r="U143" s="35"/>
    </row>
    <row r="144" spans="1:21" ht="28.5" customHeight="1">
      <c r="A144" s="3"/>
      <c r="B144" s="744"/>
      <c r="C144" s="745"/>
      <c r="D144" s="746"/>
      <c r="E144" s="740"/>
      <c r="F144" s="729"/>
      <c r="G144" s="365" t="s">
        <v>367</v>
      </c>
      <c r="H144" s="451">
        <f>H119</f>
        <v>27.2</v>
      </c>
      <c r="I144" s="451"/>
      <c r="J144" s="451"/>
      <c r="K144" s="451"/>
      <c r="L144" s="451"/>
      <c r="M144" s="451">
        <f t="shared" ref="M144:P144" si="10">M119</f>
        <v>0</v>
      </c>
      <c r="N144" s="451">
        <f t="shared" si="10"/>
        <v>0</v>
      </c>
      <c r="O144" s="451">
        <f t="shared" si="10"/>
        <v>0</v>
      </c>
      <c r="P144" s="451">
        <f t="shared" si="10"/>
        <v>0</v>
      </c>
      <c r="Q144" s="451">
        <f t="shared" si="9"/>
        <v>0</v>
      </c>
      <c r="R144" s="451">
        <f t="shared" si="9"/>
        <v>0</v>
      </c>
      <c r="S144" s="356">
        <f t="shared" si="9"/>
        <v>0</v>
      </c>
      <c r="T144" s="35"/>
      <c r="U144" s="35"/>
    </row>
    <row r="145" spans="1:21" ht="31.5" customHeight="1">
      <c r="A145" s="3"/>
      <c r="B145" s="734" t="str">
        <f>IF(ISBLANK(B120),"",(B120))</f>
        <v xml:space="preserve">Prevalența TB MDR printre cazurile de tuberculoză anterior tratate - Numărul cazurilor de tuberculoză cu cultura pozitivă, anterior tratate, testate la sensibilitate pentru preparatele de linia I, diagnosticate cu MDR, din numărul total de cazuri de tuberculoză cu cultura pozitivă, anterior tratate, testate la sensibilitate pentru preparatele de linia I, pe parcursul anului </v>
      </c>
      <c r="C145" s="735"/>
      <c r="D145" s="736"/>
      <c r="E145" s="730" t="str">
        <f>IF(ISBLANK(E120),"",(E120))</f>
        <v>Impact 3</v>
      </c>
      <c r="F145" s="732" t="str">
        <f>IF(ISBLANK(F120),"",(F120))</f>
        <v>Nu</v>
      </c>
      <c r="G145" s="364" t="s">
        <v>366</v>
      </c>
      <c r="H145" s="450">
        <f t="shared" ref="H145:H146" si="11">H120</f>
        <v>59</v>
      </c>
      <c r="I145" s="450"/>
      <c r="J145" s="450"/>
      <c r="K145" s="450"/>
      <c r="L145" s="450"/>
      <c r="M145" s="450">
        <f t="shared" ref="M145:S145" si="12">M120</f>
        <v>0</v>
      </c>
      <c r="N145" s="450">
        <f t="shared" si="12"/>
        <v>0</v>
      </c>
      <c r="O145" s="450">
        <f t="shared" si="12"/>
        <v>0</v>
      </c>
      <c r="P145" s="450">
        <f t="shared" si="12"/>
        <v>0</v>
      </c>
      <c r="Q145" s="450">
        <f t="shared" si="12"/>
        <v>0</v>
      </c>
      <c r="R145" s="450">
        <f t="shared" si="12"/>
        <v>0</v>
      </c>
      <c r="S145" s="355">
        <f t="shared" si="12"/>
        <v>0</v>
      </c>
      <c r="T145" s="35"/>
      <c r="U145" s="35"/>
    </row>
    <row r="146" spans="1:21" ht="30.75" customHeight="1" thickBot="1">
      <c r="A146" s="3"/>
      <c r="B146" s="737"/>
      <c r="C146" s="738"/>
      <c r="D146" s="739"/>
      <c r="E146" s="731"/>
      <c r="F146" s="733"/>
      <c r="G146" s="371" t="s">
        <v>367</v>
      </c>
      <c r="H146" s="452">
        <f t="shared" si="11"/>
        <v>65.3</v>
      </c>
      <c r="I146" s="452"/>
      <c r="J146" s="452"/>
      <c r="K146" s="452"/>
      <c r="L146" s="452"/>
      <c r="M146" s="452">
        <f t="shared" ref="M146:S146" si="13">M121</f>
        <v>0</v>
      </c>
      <c r="N146" s="452">
        <f t="shared" si="13"/>
        <v>0</v>
      </c>
      <c r="O146" s="452">
        <f t="shared" si="13"/>
        <v>0</v>
      </c>
      <c r="P146" s="452">
        <f t="shared" si="13"/>
        <v>0</v>
      </c>
      <c r="Q146" s="452">
        <f t="shared" si="13"/>
        <v>0</v>
      </c>
      <c r="R146" s="452">
        <f t="shared" si="13"/>
        <v>0</v>
      </c>
      <c r="S146" s="357">
        <f t="shared" si="13"/>
        <v>0</v>
      </c>
      <c r="T146" s="35"/>
      <c r="U146" s="35"/>
    </row>
    <row r="147" spans="1:21">
      <c r="A147" s="3"/>
      <c r="B147" s="3"/>
      <c r="C147" s="3"/>
      <c r="D147" s="3"/>
      <c r="E147" s="3"/>
      <c r="F147" s="3"/>
      <c r="G147" s="3"/>
      <c r="H147" s="3"/>
      <c r="I147" s="3"/>
      <c r="J147" s="3"/>
      <c r="K147" s="3"/>
      <c r="L147" s="3"/>
      <c r="M147" s="3"/>
      <c r="N147"/>
      <c r="O147"/>
      <c r="P147" s="35"/>
      <c r="Q147" s="35"/>
      <c r="S147" s="346"/>
    </row>
    <row r="148" spans="1:21">
      <c r="N148"/>
      <c r="O148"/>
      <c r="P148" s="35"/>
      <c r="Q148" s="35"/>
    </row>
    <row r="149" spans="1:21">
      <c r="N149"/>
      <c r="O149"/>
      <c r="P149" s="35"/>
      <c r="Q149" s="35"/>
    </row>
    <row r="150" spans="1:21">
      <c r="N150"/>
      <c r="O150"/>
      <c r="P150" s="35"/>
      <c r="Q150" s="35"/>
    </row>
  </sheetData>
  <dataConsolidate/>
  <mergeCells count="76">
    <mergeCell ref="O31:O34"/>
    <mergeCell ref="E116:E117"/>
    <mergeCell ref="F116:F117"/>
    <mergeCell ref="F118:F119"/>
    <mergeCell ref="E118:E119"/>
    <mergeCell ref="F46:I46"/>
    <mergeCell ref="B145:D146"/>
    <mergeCell ref="E143:E144"/>
    <mergeCell ref="B143:D144"/>
    <mergeCell ref="B124:D125"/>
    <mergeCell ref="B126:D127"/>
    <mergeCell ref="B130:D131"/>
    <mergeCell ref="E124:E125"/>
    <mergeCell ref="E126:E127"/>
    <mergeCell ref="B132:D133"/>
    <mergeCell ref="B141:D142"/>
    <mergeCell ref="E132:E133"/>
    <mergeCell ref="B134:D135"/>
    <mergeCell ref="E134:E135"/>
    <mergeCell ref="F143:F144"/>
    <mergeCell ref="E145:E146"/>
    <mergeCell ref="F145:F146"/>
    <mergeCell ref="E141:E142"/>
    <mergeCell ref="F141:F142"/>
    <mergeCell ref="B72:C72"/>
    <mergeCell ref="C6:D6"/>
    <mergeCell ref="E6:F6"/>
    <mergeCell ref="B70:C70"/>
    <mergeCell ref="B26:C26"/>
    <mergeCell ref="D24:E24"/>
    <mergeCell ref="B29:N29"/>
    <mergeCell ref="B59:D59"/>
    <mergeCell ref="G24:H24"/>
    <mergeCell ref="I24:J24"/>
    <mergeCell ref="C8:D8"/>
    <mergeCell ref="B14:J14"/>
    <mergeCell ref="C12:D12"/>
    <mergeCell ref="D18:F18"/>
    <mergeCell ref="B21:J21"/>
    <mergeCell ref="E10:F10"/>
    <mergeCell ref="B115:D115"/>
    <mergeCell ref="B107:B110"/>
    <mergeCell ref="F126:F127"/>
    <mergeCell ref="B116:D117"/>
    <mergeCell ref="F120:F121"/>
    <mergeCell ref="B118:D119"/>
    <mergeCell ref="E122:E123"/>
    <mergeCell ref="F122:F123"/>
    <mergeCell ref="F124:F125"/>
    <mergeCell ref="E120:E121"/>
    <mergeCell ref="B120:D121"/>
    <mergeCell ref="B122:D123"/>
    <mergeCell ref="A116:A121"/>
    <mergeCell ref="B128:D129"/>
    <mergeCell ref="E128:E129"/>
    <mergeCell ref="B2:J2"/>
    <mergeCell ref="C4:D4"/>
    <mergeCell ref="E4:F4"/>
    <mergeCell ref="G4:J4"/>
    <mergeCell ref="H16:I16"/>
    <mergeCell ref="C10:D10"/>
    <mergeCell ref="E12:F12"/>
    <mergeCell ref="I8:J8"/>
    <mergeCell ref="I6:J6"/>
    <mergeCell ref="G12:J12"/>
    <mergeCell ref="G10:J10"/>
    <mergeCell ref="B18:C18"/>
    <mergeCell ref="B71:C71"/>
    <mergeCell ref="F132:F133"/>
    <mergeCell ref="F130:F131"/>
    <mergeCell ref="F128:F129"/>
    <mergeCell ref="B136:D137"/>
    <mergeCell ref="E136:E137"/>
    <mergeCell ref="F136:F137"/>
    <mergeCell ref="F134:F135"/>
    <mergeCell ref="E130:E131"/>
  </mergeCells>
  <phoneticPr fontId="23" type="noConversion"/>
  <conditionalFormatting sqref="B34 B32 E33:N33 E32:H32">
    <cfRule type="expression" dxfId="44" priority="5" stopIfTrue="1">
      <formula>+AND(B31&gt;=#REF!,B31&lt;=#REF!)</formula>
    </cfRule>
  </conditionalFormatting>
  <conditionalFormatting sqref="E34:N34">
    <cfRule type="expression" dxfId="43" priority="6" stopIfTrue="1">
      <formula>+AND(E32&gt;=#REF!,E32&lt;=#REF!)</formula>
    </cfRule>
  </conditionalFormatting>
  <conditionalFormatting sqref="C30:N30 C93:N93">
    <cfRule type="cellIs" dxfId="42" priority="9" stopIfTrue="1" operator="equal">
      <formula>$C$16</formula>
    </cfRule>
  </conditionalFormatting>
  <conditionalFormatting sqref="C12:D12">
    <cfRule type="cellIs" dxfId="41" priority="11" stopIfTrue="1" operator="equal">
      <formula>"C"</formula>
    </cfRule>
    <cfRule type="cellIs" dxfId="40" priority="12" stopIfTrue="1" operator="equal">
      <formula>"B2"</formula>
    </cfRule>
    <cfRule type="cellIs" dxfId="39" priority="13" stopIfTrue="1" operator="equal">
      <formula>"B1"</formula>
    </cfRule>
  </conditionalFormatting>
  <conditionalFormatting sqref="H140:S140 H115:S115">
    <cfRule type="cellIs" dxfId="38" priority="20" stopIfTrue="1" operator="equal">
      <formula>$C$16</formula>
    </cfRule>
  </conditionalFormatting>
  <conditionalFormatting sqref="F46:I46">
    <cfRule type="expression" dxfId="37" priority="21" stopIfTrue="1">
      <formula>LEFT($F$46,2)="OK"</formula>
    </cfRule>
  </conditionalFormatting>
  <conditionalFormatting sqref="C33">
    <cfRule type="expression" dxfId="36" priority="4" stopIfTrue="1">
      <formula>+AND(C31&gt;=#REF!,C31&lt;=#REF!)</formula>
    </cfRule>
  </conditionalFormatting>
  <conditionalFormatting sqref="C34">
    <cfRule type="expression" dxfId="35" priority="3" stopIfTrue="1">
      <formula>+AND(C32&gt;=#REF!,C32&lt;=#REF!)</formula>
    </cfRule>
  </conditionalFormatting>
  <conditionalFormatting sqref="D33">
    <cfRule type="expression" dxfId="34" priority="2" stopIfTrue="1">
      <formula>+AND(D31&gt;=#REF!,D31&lt;=#REF!)</formula>
    </cfRule>
  </conditionalFormatting>
  <conditionalFormatting sqref="D34">
    <cfRule type="expression" dxfId="33" priority="1" stopIfTrue="1">
      <formula>+AND(D32&gt;=#REF!,D32&lt;=#REF!)</formula>
    </cfRule>
  </conditionalFormatting>
  <dataValidations count="9">
    <dataValidation type="list" allowBlank="1" showInputMessage="1" showErrorMessage="1" sqref="B107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7:C110">
      <formula1>Medicaments</formula1>
    </dataValidation>
  </dataValidations>
  <pageMargins left="0.70866141732283472" right="0.70866141732283472" top="0.74803149606299213" bottom="0.74803149606299213" header="0.31496062992125984" footer="0.31496062992125984"/>
  <pageSetup paperSize="8" scale="74" orientation="landscape" r:id="rId1"/>
  <headerFooter>
    <oddFooter>&amp;L&amp;F&amp;C&amp;A&amp;RV1.0          &amp;D</oddFooter>
  </headerFooter>
  <rowBreaks count="3" manualBreakCount="3">
    <brk id="47" max="16383" man="1"/>
    <brk id="103" max="14" man="1"/>
    <brk id="139" max="14" man="1"/>
  </rowBreaks>
  <ignoredErrors>
    <ignoredError sqref="H140:S140 E14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workbookViewId="0">
      <selection activeCell="C19" sqref="C19"/>
    </sheetView>
  </sheetViews>
  <sheetFormatPr defaultColWidth="11.42578125" defaultRowHeight="15"/>
  <cols>
    <col min="1" max="1" width="22.5703125" style="3" customWidth="1"/>
    <col min="2" max="2" width="12.5703125" style="3" customWidth="1"/>
    <col min="3" max="3" width="20.5703125" style="3" customWidth="1"/>
    <col min="4" max="4" width="20.8554687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19"/>
      <c r="H1" s="2"/>
      <c r="I1" s="2"/>
      <c r="J1" s="2"/>
    </row>
    <row r="2" spans="1:24" ht="25.5" customHeight="1"/>
    <row r="3" spans="1:24" ht="36">
      <c r="B3" s="762" t="str">
        <f>+"Tabel Programatic de Evaluare: "&amp;" "&amp;+IF('Introducerea datelor'!C4="Please Select","",'Introducerea datelor'!C4&amp;" - ")&amp;+IF('Introducerea datelor'!G6="Please Select","",'Introducerea datelor'!G6)</f>
        <v>Tabel Programatic de Evaluare:  Moldova - TB</v>
      </c>
      <c r="C3" s="762"/>
      <c r="D3" s="762"/>
      <c r="E3" s="762"/>
      <c r="F3" s="762"/>
      <c r="G3" s="762"/>
      <c r="H3" s="762"/>
      <c r="I3" s="762"/>
      <c r="J3" s="762"/>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15" t="s">
        <v>283</v>
      </c>
      <c r="B6" s="764" t="str">
        <f>+IF('Introducerea datelor'!C4="Please Select","",'Introducerea datelor'!C4)</f>
        <v>Moldova</v>
      </c>
      <c r="C6" s="764"/>
      <c r="D6" s="768" t="s">
        <v>287</v>
      </c>
      <c r="E6" s="768"/>
      <c r="F6" s="769" t="str">
        <f>+'Introducerea datelor'!G4</f>
        <v>Consolidarea controlului Tuberculozei în Republica Moldova</v>
      </c>
      <c r="G6" s="769"/>
      <c r="H6" s="769"/>
      <c r="I6" s="769"/>
      <c r="J6" s="769"/>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00" t="s">
        <v>288</v>
      </c>
      <c r="B9" s="277" t="str">
        <f>+IF('Introducerea datelor'!G6="Please Select","",'Introducerea datelor'!G6)</f>
        <v>TB</v>
      </c>
      <c r="C9" s="187" t="s">
        <v>248</v>
      </c>
      <c r="D9" s="278" t="str">
        <f>+'Introducerea datelor'!C6</f>
        <v>MDA-T-PCIMU (#678)</v>
      </c>
      <c r="E9" s="766" t="s">
        <v>374</v>
      </c>
      <c r="F9" s="766"/>
      <c r="G9" s="387">
        <f>+IF(ISBLANK('Introducerea datelor'!C10),"",'Introducerea datelor'!C10)</f>
        <v>42186</v>
      </c>
      <c r="H9" s="300" t="s">
        <v>289</v>
      </c>
      <c r="I9" s="765">
        <f>+IF(ISBLANK('Introducerea datelor'!I6),"",'Introducerea datelor'!I6)</f>
        <v>7957826</v>
      </c>
      <c r="J9" s="765"/>
      <c r="K9" s="49"/>
      <c r="L9" s="49"/>
      <c r="M9" s="49"/>
      <c r="N9" s="49"/>
      <c r="O9" s="51"/>
      <c r="P9" s="50"/>
      <c r="Q9" s="51"/>
      <c r="R9" s="52"/>
      <c r="S9" s="17"/>
      <c r="T9" s="11"/>
      <c r="U9" s="11"/>
      <c r="V9" s="10"/>
      <c r="W9" s="10"/>
      <c r="X9" s="10"/>
    </row>
    <row r="10" spans="1:24" ht="25.5" customHeight="1">
      <c r="A10" s="300" t="s">
        <v>290</v>
      </c>
      <c r="B10" s="279" t="str">
        <f>+IF('Introducerea datelor'!G8="Please Select","",'Introducerea datelor'!G8)</f>
        <v/>
      </c>
      <c r="C10" s="187" t="s">
        <v>291</v>
      </c>
      <c r="D10" s="280" t="str">
        <f>+IF('Introducerea datelor'!I8="Please Select","",'Introducerea datelor'!I8)</f>
        <v>Period 1</v>
      </c>
      <c r="E10" s="767" t="s">
        <v>375</v>
      </c>
      <c r="F10" s="767"/>
      <c r="G10" s="763" t="str">
        <f>+'Introducerea datelor'!C8</f>
        <v>IP UCIMP DS</v>
      </c>
      <c r="H10" s="763"/>
      <c r="I10" s="763"/>
      <c r="J10" s="763"/>
      <c r="K10" s="53"/>
      <c r="L10" s="53"/>
      <c r="M10" s="49"/>
      <c r="N10" s="53"/>
      <c r="O10" s="51"/>
      <c r="P10" s="50"/>
      <c r="Q10" s="11"/>
      <c r="R10" s="52"/>
      <c r="S10" s="17"/>
      <c r="T10" s="11"/>
      <c r="U10" s="11"/>
    </row>
    <row r="11" spans="1:24" ht="25.5" customHeight="1">
      <c r="A11" s="300" t="s">
        <v>294</v>
      </c>
      <c r="B11" s="281" t="str">
        <f>+'Introducerea datelor'!C16</f>
        <v>P1</v>
      </c>
      <c r="C11" s="265" t="s">
        <v>295</v>
      </c>
      <c r="D11" s="388">
        <f>+IF(ISBLANK('Introducerea datelor'!E16),"",'Introducerea datelor'!E16)</f>
        <v>42186</v>
      </c>
      <c r="E11" s="766" t="s">
        <v>296</v>
      </c>
      <c r="F11" s="766"/>
      <c r="G11" s="388">
        <f>+IF(ISBLANK('Introducerea datelor'!G16),"",'Introducerea datelor'!G16)</f>
        <v>42369</v>
      </c>
      <c r="H11" s="300" t="s">
        <v>286</v>
      </c>
      <c r="I11" s="770">
        <f>+IF('Introducerea datelor'!C12="Please Select","",'Introducerea datelor'!C12)</f>
        <v>0</v>
      </c>
      <c r="J11" s="770"/>
      <c r="K11" s="218"/>
      <c r="L11" s="53"/>
      <c r="M11" s="49"/>
      <c r="N11" s="53"/>
      <c r="O11" s="53"/>
      <c r="P11" s="50"/>
      <c r="Q11" s="11"/>
      <c r="R11" s="52"/>
      <c r="S11" s="17"/>
      <c r="T11" s="12"/>
      <c r="U11" s="11"/>
    </row>
    <row r="12" spans="1:24" ht="25.5" customHeight="1">
      <c r="A12" s="300" t="s">
        <v>292</v>
      </c>
      <c r="B12" s="763" t="str">
        <f>+IF('Introducerea datelor'!G10="Please Select","",'Introducerea datelor'!G10)</f>
        <v>PwC (PricewaterhouseCoopers)</v>
      </c>
      <c r="C12" s="763"/>
      <c r="D12" s="763"/>
      <c r="E12" s="767" t="s">
        <v>233</v>
      </c>
      <c r="F12" s="767"/>
      <c r="G12" s="763" t="str">
        <f>+'Introducerea datelor'!G12</f>
        <v>Tsovinar Sakanyan</v>
      </c>
      <c r="H12" s="763"/>
      <c r="I12" s="763"/>
      <c r="J12" s="763"/>
      <c r="K12" s="53"/>
      <c r="L12" s="53"/>
      <c r="M12" s="49"/>
      <c r="N12" s="53"/>
      <c r="O12" s="17"/>
      <c r="P12" s="50"/>
      <c r="Q12" s="11"/>
      <c r="R12" s="52"/>
      <c r="S12" s="17"/>
      <c r="T12" s="11"/>
      <c r="U12" s="54"/>
      <c r="V12" s="11"/>
      <c r="W12" s="12"/>
      <c r="X12" s="11"/>
    </row>
    <row r="13" spans="1:24" ht="30.75" customHeight="1">
      <c r="A13" s="300" t="s">
        <v>376</v>
      </c>
      <c r="B13" s="763" t="str">
        <f>+'Introducerea datelor'!D18</f>
        <v>IP UCIMP DS</v>
      </c>
      <c r="C13" s="763"/>
      <c r="D13" s="763"/>
      <c r="E13" s="771" t="s">
        <v>377</v>
      </c>
      <c r="F13" s="771"/>
      <c r="G13" s="772">
        <f>+IF(ISBLANK('Introducerea datelor'!J16),"",'Introducerea datelor'!J16)</f>
        <v>42478</v>
      </c>
      <c r="H13" s="773"/>
      <c r="I13" s="773"/>
      <c r="J13" s="773"/>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6"/>
      <c r="D16" s="16"/>
      <c r="E16" s="30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23"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88"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view="pageBreakPreview" topLeftCell="A16" zoomScaleNormal="100" zoomScaleSheetLayoutView="100" workbookViewId="0">
      <selection activeCell="G26" sqref="G26"/>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93"/>
      <c r="E1" s="194"/>
    </row>
    <row r="2" spans="1:16" ht="27.75" customHeight="1">
      <c r="B2" s="789" t="str">
        <f>+"Tabel Programatic de Evaluare:  "&amp;"  "&amp;IF(+'Introducerea datelor'!C4="Please Select","",'Introducerea datelor'!C4&amp;" - ")&amp;IF('Introducerea datelor'!G6="Please Select","",'Introducerea datelor'!G6)</f>
        <v>Tabel Programatic de Evaluare:    Moldova - TB</v>
      </c>
      <c r="C2" s="789"/>
      <c r="D2" s="789"/>
      <c r="E2" s="789"/>
      <c r="F2" s="789"/>
      <c r="G2" s="789"/>
      <c r="H2" s="789"/>
      <c r="I2" s="789"/>
      <c r="J2" s="789"/>
      <c r="K2" s="789"/>
      <c r="L2" s="789"/>
      <c r="M2" s="25"/>
      <c r="N2" s="25"/>
      <c r="O2" s="25"/>
      <c r="P2" s="25"/>
    </row>
    <row r="3" spans="1:16">
      <c r="B3" s="23" t="str">
        <f>+IF('Introducerea datelor'!G8="Please Select","",'Introducerea datelor'!G8)</f>
        <v/>
      </c>
      <c r="C3" s="793" t="str">
        <f>+IF('Introducerea datelor'!I8="Please Select","",'Introducerea datelor'!I8)</f>
        <v>Period 1</v>
      </c>
      <c r="D3" s="793"/>
      <c r="E3" s="787"/>
      <c r="F3" s="787"/>
      <c r="G3" s="787"/>
      <c r="H3" s="787"/>
      <c r="I3" s="787"/>
      <c r="J3" s="792" t="str">
        <f>+'Introducerea datelor'!B16</f>
        <v>Perioada de Raportare:</v>
      </c>
      <c r="K3" s="792"/>
      <c r="L3" s="162" t="str">
        <f>+'Introducerea datelor'!C16</f>
        <v>P1</v>
      </c>
    </row>
    <row r="4" spans="1:16">
      <c r="B4" s="23" t="str">
        <f>+'Introducerea datelor'!B12</f>
        <v>Ultimul Rating:</v>
      </c>
      <c r="C4" s="790">
        <f>+IF('Introducerea datelor'!C12="Please Select","",'Introducerea datelor'!C12)</f>
        <v>0</v>
      </c>
      <c r="D4" s="790"/>
      <c r="E4" s="787" t="str">
        <f>+'Introducerea datelor'!C8</f>
        <v>IP UCIMP DS</v>
      </c>
      <c r="F4" s="787"/>
      <c r="G4" s="787"/>
      <c r="H4" s="787"/>
      <c r="I4" s="787"/>
      <c r="J4" s="792" t="str">
        <f>+'Introducerea datelor'!D16</f>
        <v>De la:</v>
      </c>
      <c r="K4" s="794"/>
      <c r="L4" s="420">
        <f>+IF(ISBLANK('Introducerea datelor'!E16),"",'Introducerea datelor'!E16)</f>
        <v>42186</v>
      </c>
    </row>
    <row r="5" spans="1:16" ht="18.75" customHeight="1">
      <c r="B5" s="23"/>
      <c r="C5" s="23"/>
      <c r="D5" s="787" t="str">
        <f>+'Introducerea datelor'!G4</f>
        <v>Consolidarea controlului Tuberculozei în Republica Moldova</v>
      </c>
      <c r="E5" s="787"/>
      <c r="F5" s="787"/>
      <c r="G5" s="787"/>
      <c r="H5" s="787"/>
      <c r="I5" s="787"/>
      <c r="J5" s="787"/>
      <c r="K5" s="23" t="str">
        <f>+'Introducerea datelor'!F16</f>
        <v>Pînă la:</v>
      </c>
      <c r="L5" s="420">
        <f>+IF(ISBLANK('Introducerea datelor'!G16),"",'Introducerea datelor'!G16)</f>
        <v>42369</v>
      </c>
    </row>
    <row r="6" spans="1:16" ht="18.75">
      <c r="B6" s="22"/>
      <c r="C6" s="23"/>
      <c r="D6" s="24"/>
      <c r="E6" s="791" t="s">
        <v>382</v>
      </c>
      <c r="F6" s="791"/>
      <c r="G6" s="791"/>
      <c r="H6" s="791"/>
      <c r="I6" s="791"/>
    </row>
    <row r="7" spans="1:16" ht="26.25" customHeight="1">
      <c r="B7" s="776" t="str">
        <f>+'Introducerea datelor'!B68&amp;"                "&amp;+J3&amp;" "&amp;+L3</f>
        <v>M1: Statutul Condițiilor Precedente și a Acțiunilor Prestabilite în Timp                 Perioada de Raportare: P1</v>
      </c>
      <c r="C7" s="777"/>
      <c r="D7" s="777"/>
      <c r="E7" s="777"/>
      <c r="F7" s="777"/>
      <c r="H7" s="776" t="str">
        <f>+'Introducerea datelor'!B75&amp;"                                                                             "&amp;+J3&amp;"  "&amp;+L3</f>
        <v>M2: Statutul pozițiilor cheie a RP                                                                              Perioada de Raportare:  P1</v>
      </c>
      <c r="I7" s="777"/>
      <c r="J7" s="777"/>
      <c r="K7" s="777"/>
      <c r="L7" s="777"/>
    </row>
    <row r="8" spans="1:16" ht="72" customHeight="1">
      <c r="B8" s="284" t="s">
        <v>381</v>
      </c>
      <c r="C8" s="779" t="s">
        <v>487</v>
      </c>
      <c r="D8" s="782"/>
      <c r="E8" s="782"/>
      <c r="F8" s="783"/>
      <c r="G8" s="501"/>
      <c r="H8" s="284" t="s">
        <v>381</v>
      </c>
      <c r="I8" s="779" t="s">
        <v>488</v>
      </c>
      <c r="J8" s="780"/>
      <c r="K8" s="780"/>
      <c r="L8" s="781"/>
    </row>
    <row r="9" spans="1:16" ht="22.5" customHeight="1">
      <c r="B9" s="19"/>
      <c r="C9" s="19"/>
      <c r="D9" s="19"/>
      <c r="E9" s="19"/>
      <c r="F9" s="19"/>
      <c r="G9" s="19"/>
      <c r="H9" s="19"/>
    </row>
    <row r="10" spans="1:16" ht="21" customHeight="1">
      <c r="A10" s="46"/>
      <c r="B10" s="19"/>
      <c r="C10" s="19"/>
      <c r="D10" s="788"/>
      <c r="E10" s="644"/>
      <c r="F10" s="644"/>
      <c r="G10" s="170"/>
      <c r="H10" s="19"/>
      <c r="N10" s="48"/>
      <c r="O10" s="48"/>
      <c r="P10" s="47"/>
    </row>
    <row r="11" spans="1:16">
      <c r="B11" s="19"/>
      <c r="C11" s="27"/>
      <c r="D11" s="788"/>
      <c r="E11" s="27"/>
      <c r="F11" s="27"/>
      <c r="G11" s="27"/>
      <c r="H11" s="27"/>
      <c r="N11" s="19"/>
      <c r="O11" s="19"/>
    </row>
    <row r="12" spans="1:16">
      <c r="B12" s="27"/>
      <c r="C12" s="78"/>
      <c r="D12" s="79"/>
      <c r="E12" s="79"/>
      <c r="F12" s="79"/>
      <c r="G12" s="79"/>
      <c r="H12" s="80"/>
      <c r="N12" s="537"/>
    </row>
    <row r="13" spans="1:16">
      <c r="B13" s="27"/>
      <c r="C13" s="78"/>
      <c r="D13" s="79"/>
      <c r="E13" s="79"/>
      <c r="F13" s="79"/>
      <c r="G13" s="79"/>
      <c r="H13" s="80"/>
    </row>
    <row r="14" spans="1:16" ht="27" customHeight="1"/>
    <row r="15" spans="1:16" ht="35.25" customHeight="1">
      <c r="B15" s="776" t="str">
        <f>+'Introducerea datelor'!B80&amp;"                                                                                                 "&amp;+J3&amp;" "&amp;+L3</f>
        <v>M3: Aranjamente contractuale (SR)                                                                                                  Perioada de Raportare: P1</v>
      </c>
      <c r="C15" s="777"/>
      <c r="D15" s="777"/>
      <c r="E15" s="777"/>
      <c r="F15" s="777"/>
      <c r="G15" s="777"/>
      <c r="H15" s="776" t="str">
        <f>+'Introducerea datelor'!B85&amp;"                        "&amp;+J3&amp;" "&amp;+L3</f>
        <v>M4: Numărul rapoartelor complete recepționate la timp                        Perioada de Raportare: P1</v>
      </c>
      <c r="I15" s="777"/>
      <c r="J15" s="777"/>
      <c r="K15" s="777"/>
      <c r="L15" s="777"/>
    </row>
    <row r="16" spans="1:16" ht="79.5" customHeight="1">
      <c r="B16" s="284" t="s">
        <v>381</v>
      </c>
      <c r="C16" s="779" t="s">
        <v>489</v>
      </c>
      <c r="D16" s="780"/>
      <c r="E16" s="780"/>
      <c r="F16" s="781"/>
      <c r="G16" s="501"/>
      <c r="H16" s="284" t="s">
        <v>381</v>
      </c>
      <c r="I16" s="779" t="s">
        <v>490</v>
      </c>
      <c r="J16" s="782"/>
      <c r="K16" s="782"/>
      <c r="L16" s="783"/>
    </row>
    <row r="17" spans="2:13">
      <c r="B17" s="28"/>
      <c r="H17" s="29"/>
    </row>
    <row r="18" spans="2:13">
      <c r="M18" s="82"/>
    </row>
    <row r="26" spans="2:13" ht="40.5" customHeight="1">
      <c r="B26" s="774" t="str">
        <f>+'Introducerea datelor'!B91</f>
        <v xml:space="preserve">M5: Bugetul și Procurarea produselor medicale, echipamentului medical, medicamentelor și produselor farmaceutice </v>
      </c>
      <c r="C26" s="775"/>
      <c r="D26" s="775"/>
      <c r="E26" s="775"/>
      <c r="F26" s="775"/>
      <c r="H26" s="776" t="str">
        <f>+'Introducerea datelor'!B104&amp;"                                                                "&amp;+J3&amp;"  "&amp;+L3</f>
        <v>M6: Diferență între stocul curent și stocul de siguranță                                                                Perioada de Raportare:  P1</v>
      </c>
      <c r="I26" s="777"/>
      <c r="J26" s="777"/>
      <c r="K26" s="777"/>
      <c r="L26" s="777"/>
    </row>
    <row r="27" spans="2:13" ht="51" customHeight="1">
      <c r="B27" s="284" t="s">
        <v>381</v>
      </c>
      <c r="C27" s="779" t="s">
        <v>491</v>
      </c>
      <c r="D27" s="780"/>
      <c r="E27" s="780"/>
      <c r="F27" s="781"/>
      <c r="G27" s="501"/>
      <c r="H27" s="284" t="s">
        <v>1</v>
      </c>
      <c r="I27" s="779" t="s">
        <v>492</v>
      </c>
      <c r="J27" s="782"/>
      <c r="K27" s="782"/>
      <c r="L27" s="783"/>
    </row>
    <row r="28" spans="2:13" ht="15.75" thickBot="1"/>
    <row r="29" spans="2:13" ht="59.25" customHeight="1">
      <c r="F29" s="269"/>
      <c r="G29" s="269"/>
      <c r="H29" s="374" t="s">
        <v>356</v>
      </c>
      <c r="I29" s="373" t="s">
        <v>383</v>
      </c>
      <c r="J29" s="283" t="s">
        <v>385</v>
      </c>
      <c r="K29" s="181" t="s">
        <v>386</v>
      </c>
      <c r="L29" s="266" t="s">
        <v>387</v>
      </c>
    </row>
    <row r="30" spans="2:13" ht="15" customHeight="1">
      <c r="F30" s="269"/>
      <c r="G30" s="269"/>
      <c r="H30" s="784" t="str">
        <f>+'Introducerea datelor'!B107</f>
        <v>Please Select</v>
      </c>
      <c r="I30" s="267" t="str">
        <f>+'Introducerea datelor'!C107</f>
        <v>Please Select</v>
      </c>
      <c r="J30" s="337" t="str">
        <f>+'Introducerea datelor'!I107</f>
        <v/>
      </c>
      <c r="K30" s="338">
        <f>+'Introducerea datelor'!J107</f>
        <v>0</v>
      </c>
      <c r="L30" s="333" t="str">
        <f>+'Introducerea datelor'!K107</f>
        <v/>
      </c>
    </row>
    <row r="31" spans="2:13">
      <c r="F31" s="269"/>
      <c r="G31" s="269"/>
      <c r="H31" s="785"/>
      <c r="I31" s="267" t="str">
        <f>+'Introducerea datelor'!C108</f>
        <v>Please Select</v>
      </c>
      <c r="J31" s="337" t="str">
        <f>+'Introducerea datelor'!I108</f>
        <v/>
      </c>
      <c r="K31" s="338">
        <f>+'Introducerea datelor'!J108</f>
        <v>0</v>
      </c>
      <c r="L31" s="334" t="str">
        <f>+'Introducerea datelor'!K108</f>
        <v/>
      </c>
    </row>
    <row r="32" spans="2:13">
      <c r="F32" s="269"/>
      <c r="G32" s="269"/>
      <c r="H32" s="785"/>
      <c r="I32" s="267" t="str">
        <f>+'Introducerea datelor'!C109</f>
        <v>Please Select</v>
      </c>
      <c r="J32" s="337" t="str">
        <f>+'Introducerea datelor'!I109</f>
        <v/>
      </c>
      <c r="K32" s="338">
        <f>+'Introducerea datelor'!J109</f>
        <v>0</v>
      </c>
      <c r="L32" s="333" t="str">
        <f>+'Introducerea datelor'!K109</f>
        <v/>
      </c>
    </row>
    <row r="33" spans="2:12" ht="15.75" thickBot="1">
      <c r="F33" s="269"/>
      <c r="G33" s="269"/>
      <c r="H33" s="786"/>
      <c r="I33" s="268" t="str">
        <f>+'Introducerea datelor'!C110</f>
        <v>Please Select</v>
      </c>
      <c r="J33" s="339" t="str">
        <f>+'Introducerea datelor'!I110</f>
        <v/>
      </c>
      <c r="K33" s="340">
        <f>+'Introducerea datelor'!J110</f>
        <v>0</v>
      </c>
      <c r="L33" s="333" t="str">
        <f>+'Introducerea datelor'!K110</f>
        <v/>
      </c>
    </row>
    <row r="34" spans="2:12" ht="22.5" customHeight="1">
      <c r="B34" s="778" t="str">
        <f>+'Introducerea datelor'!B101</f>
        <v>* Include numai AFR categoriile 4,5 și 6  (Produse medicale și Echipamente medicale &amp; Medicamente și Produse farmaceutice)</v>
      </c>
      <c r="C34" s="778"/>
      <c r="D34" s="778"/>
      <c r="E34" s="778"/>
      <c r="F34" s="19"/>
      <c r="G34" s="19"/>
      <c r="H34" s="178"/>
      <c r="I34" s="179"/>
      <c r="J34" s="180"/>
      <c r="K34" s="170"/>
      <c r="L34" s="20"/>
    </row>
    <row r="35" spans="2:12">
      <c r="F35" s="19"/>
      <c r="G35" s="19"/>
      <c r="H35" s="19"/>
      <c r="I35" s="19"/>
      <c r="J35" s="19"/>
      <c r="K35" s="19"/>
      <c r="L35" s="19"/>
    </row>
  </sheetData>
  <mergeCells count="25">
    <mergeCell ref="B2:L2"/>
    <mergeCell ref="C4:D4"/>
    <mergeCell ref="E6:I6"/>
    <mergeCell ref="E3:I3"/>
    <mergeCell ref="J3:K3"/>
    <mergeCell ref="C3:D3"/>
    <mergeCell ref="E4:I4"/>
    <mergeCell ref="J4:K4"/>
    <mergeCell ref="B15:G15"/>
    <mergeCell ref="H15:L15"/>
    <mergeCell ref="I8:L8"/>
    <mergeCell ref="D5:J5"/>
    <mergeCell ref="C16:F16"/>
    <mergeCell ref="E10:F10"/>
    <mergeCell ref="C8:F8"/>
    <mergeCell ref="B7:F7"/>
    <mergeCell ref="I16:L16"/>
    <mergeCell ref="D10:D11"/>
    <mergeCell ref="H7:L7"/>
    <mergeCell ref="B26:F26"/>
    <mergeCell ref="H26:L26"/>
    <mergeCell ref="B34:E34"/>
    <mergeCell ref="C27:F27"/>
    <mergeCell ref="I27:L27"/>
    <mergeCell ref="H30:H33"/>
  </mergeCells>
  <phoneticPr fontId="23"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8" scale="95"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abSelected="1" view="pageBreakPreview" zoomScale="115" zoomScaleNormal="100" zoomScaleSheetLayoutView="115" workbookViewId="0">
      <selection activeCell="M9" sqref="M9"/>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815" t="str">
        <f>+"Tabel Programatic de Evaluare:  "&amp;"  "&amp;IF(+'Introducerea datelor'!C4="Please Select","",'Introducerea datelor'!C4&amp;" - ")&amp;IF('Introducerea datelor'!G6="Please Select","",'Introducerea datelor'!G6)</f>
        <v>Tabel Programatic de Evaluare:    Moldova - TB</v>
      </c>
      <c r="C2" s="815"/>
      <c r="D2" s="815"/>
      <c r="E2" s="815"/>
      <c r="F2" s="815"/>
      <c r="G2" s="815"/>
      <c r="H2" s="815"/>
      <c r="I2" s="815"/>
      <c r="J2" s="815"/>
      <c r="K2" s="815"/>
      <c r="L2" s="1"/>
      <c r="M2" s="1"/>
      <c r="N2" s="1"/>
      <c r="O2" s="1"/>
    </row>
    <row r="3" spans="2:15">
      <c r="B3" s="128" t="str">
        <f>+IF('Introducerea datelor'!G8="Please Select","",'Introducerea datelor'!G8)</f>
        <v/>
      </c>
      <c r="C3" s="820" t="str">
        <f>+IF('Introducerea datelor'!I8="Please Select","",'Introducerea datelor'!I8)</f>
        <v>Period 1</v>
      </c>
      <c r="D3" s="820"/>
      <c r="E3" s="819"/>
      <c r="F3" s="819"/>
      <c r="G3" s="819"/>
      <c r="H3" s="819"/>
      <c r="I3" s="817" t="str">
        <f>+'Introducerea datelor'!B16</f>
        <v>Perioada de Raportare:</v>
      </c>
      <c r="J3" s="817"/>
      <c r="K3" s="162" t="str">
        <f>+'Introducerea datelor'!C16</f>
        <v>P1</v>
      </c>
      <c r="L3" s="82"/>
    </row>
    <row r="4" spans="2:15">
      <c r="B4" s="128" t="str">
        <f>+'Introducerea datelor'!B12</f>
        <v>Ultimul Rating:</v>
      </c>
      <c r="C4" s="790">
        <f>+IF('Introducerea datelor'!C12="Please Select","",'Introducerea datelor'!C12)</f>
        <v>0</v>
      </c>
      <c r="D4" s="790"/>
      <c r="E4" s="819" t="str">
        <f>+'Introducerea datelor'!C8</f>
        <v>IP UCIMP DS</v>
      </c>
      <c r="F4" s="819"/>
      <c r="G4" s="819"/>
      <c r="H4" s="819"/>
      <c r="I4" s="817" t="str">
        <f>+'Introducerea datelor'!D16</f>
        <v>De la:</v>
      </c>
      <c r="J4" s="818"/>
      <c r="K4" s="420">
        <f>+IF(ISBLANK('Introducerea datelor'!E16),"",'Introducerea datelor'!E16)</f>
        <v>42186</v>
      </c>
    </row>
    <row r="5" spans="2:15" ht="18.75" customHeight="1">
      <c r="B5" s="128"/>
      <c r="C5" s="128"/>
      <c r="D5" s="816" t="str">
        <f>+'Introducerea datelor'!G4</f>
        <v>Consolidarea controlului Tuberculozei în Republica Moldova</v>
      </c>
      <c r="E5" s="816"/>
      <c r="F5" s="816"/>
      <c r="G5" s="816"/>
      <c r="H5" s="816"/>
      <c r="I5" s="816"/>
      <c r="J5" s="128" t="str">
        <f>+'Introducerea datelor'!F16</f>
        <v>Pînă la:</v>
      </c>
      <c r="K5" s="420">
        <f>+IF(ISBLANK('Introducerea datelor'!G16),"",'Introducerea datelor'!G16)</f>
        <v>42369</v>
      </c>
    </row>
    <row r="6" spans="2:15" ht="18.75">
      <c r="B6" s="132"/>
      <c r="C6" s="128"/>
      <c r="D6" s="129"/>
      <c r="E6" s="800" t="s">
        <v>380</v>
      </c>
      <c r="F6" s="800"/>
      <c r="G6" s="800"/>
      <c r="H6" s="800"/>
      <c r="I6" s="3"/>
      <c r="J6" s="3"/>
      <c r="K6" s="3"/>
    </row>
    <row r="7" spans="2:15" ht="10.5" customHeight="1">
      <c r="B7" s="133"/>
      <c r="C7" s="134"/>
      <c r="D7" s="135"/>
      <c r="E7" s="136"/>
      <c r="F7" s="136"/>
      <c r="G7" s="137"/>
      <c r="H7" s="137"/>
      <c r="I7" s="131"/>
      <c r="J7" s="131"/>
      <c r="K7" s="130"/>
      <c r="O7" t="s">
        <v>379</v>
      </c>
    </row>
    <row r="8" spans="2:15" ht="26.25" customHeight="1">
      <c r="B8" s="803" t="str">
        <f>+'Introducerea datelor'!B27&amp; " - in ("&amp;'Introducerea datelor'!D26&amp;")  "&amp;+I3&amp;" "&amp;+K3</f>
        <v>F1: Bugetul și debursările de către Fondul Global - in (€)  Perioada de Raportare: P1</v>
      </c>
      <c r="C8" s="777"/>
      <c r="D8" s="777"/>
      <c r="E8" s="777"/>
      <c r="F8" s="777"/>
      <c r="H8" s="167" t="str">
        <f>+'Introducerea datelor'!B48&amp; " - in ("&amp;'Introducerea datelor'!D26&amp;")         "&amp;+I3&amp;" "&amp;+K3</f>
        <v>F3: Debursări și cheltuieli - in (€)         Perioada de Raportare: P1</v>
      </c>
      <c r="I8" s="3"/>
      <c r="J8" s="3"/>
      <c r="K8" s="3"/>
    </row>
    <row r="9" spans="2:15" ht="174" customHeight="1">
      <c r="B9" s="284" t="s">
        <v>381</v>
      </c>
      <c r="C9" s="809" t="s">
        <v>509</v>
      </c>
      <c r="D9" s="810"/>
      <c r="E9" s="810"/>
      <c r="F9" s="811"/>
      <c r="G9" s="502"/>
      <c r="H9" s="284" t="s">
        <v>381</v>
      </c>
      <c r="I9" s="779" t="s">
        <v>512</v>
      </c>
      <c r="J9" s="807"/>
      <c r="K9" s="808"/>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3">
      <c r="B17" s="2"/>
      <c r="C17" s="2"/>
      <c r="D17" s="2"/>
      <c r="E17" s="2"/>
      <c r="F17" s="2"/>
      <c r="G17" s="3"/>
      <c r="H17" s="3"/>
      <c r="I17" s="3"/>
      <c r="J17" s="3"/>
      <c r="K17" s="3"/>
    </row>
    <row r="18" spans="1:13">
      <c r="B18" s="2"/>
      <c r="C18" s="2"/>
      <c r="D18" s="2"/>
      <c r="E18" s="2"/>
      <c r="F18" s="2"/>
      <c r="G18" s="3"/>
      <c r="H18" s="3"/>
      <c r="I18" s="3"/>
      <c r="J18" s="3"/>
      <c r="K18" s="3"/>
    </row>
    <row r="19" spans="1:13">
      <c r="B19" s="2"/>
      <c r="C19" s="2"/>
      <c r="D19" s="2"/>
      <c r="E19" s="2"/>
      <c r="F19" s="2"/>
      <c r="G19" s="3"/>
      <c r="H19" s="3"/>
      <c r="I19" s="3"/>
      <c r="J19" s="3"/>
      <c r="K19" s="3"/>
    </row>
    <row r="20" spans="1:13">
      <c r="B20" s="2"/>
      <c r="C20" s="2"/>
      <c r="D20" s="2"/>
      <c r="E20" s="2"/>
      <c r="F20" s="2"/>
      <c r="G20" s="3"/>
      <c r="H20" s="3"/>
      <c r="I20" s="3"/>
      <c r="J20" s="3"/>
      <c r="K20" s="3"/>
    </row>
    <row r="21" spans="1:13">
      <c r="A21" s="19"/>
      <c r="B21" s="19"/>
      <c r="C21" s="19"/>
      <c r="D21" s="19"/>
      <c r="E21" s="19"/>
      <c r="F21" s="19"/>
      <c r="G21" s="19"/>
      <c r="H21" s="19"/>
      <c r="I21" s="19"/>
      <c r="J21" s="19"/>
      <c r="K21" s="19"/>
      <c r="M21" s="530"/>
    </row>
    <row r="22" spans="1:13" ht="24" customHeight="1">
      <c r="B22" s="799" t="str">
        <f>+'Introducerea datelor'!B36&amp; " - in ("&amp;'Introducerea datelor'!D26&amp;")  "&amp;+I3&amp;" "&amp;+K3</f>
        <v>F2: Bugetul și cheltuielile actuale după Obiectivele Grantului - in (€)  Perioada de Raportare: P1</v>
      </c>
      <c r="C22" s="560"/>
      <c r="D22" s="560"/>
      <c r="E22" s="560"/>
      <c r="F22" s="560"/>
      <c r="G22" s="368"/>
      <c r="H22" s="799" t="str">
        <f>+'Introducerea datelor'!B57&amp;"      "&amp;+I3&amp;" "&amp;+K3</f>
        <v>F4: Ultima perioadă de raportare și debursare a RP       Perioada de Raportare: P1</v>
      </c>
      <c r="I22" s="777"/>
      <c r="J22" s="777"/>
      <c r="K22" s="777"/>
    </row>
    <row r="23" spans="1:13" ht="176.25" customHeight="1">
      <c r="B23" s="284" t="s">
        <v>381</v>
      </c>
      <c r="C23" s="812" t="s">
        <v>511</v>
      </c>
      <c r="D23" s="813"/>
      <c r="E23" s="813"/>
      <c r="F23" s="814"/>
      <c r="G23" s="503"/>
      <c r="H23" s="284" t="s">
        <v>381</v>
      </c>
      <c r="I23" s="779" t="s">
        <v>510</v>
      </c>
      <c r="J23" s="782"/>
      <c r="K23" s="783"/>
    </row>
    <row r="24" spans="1:13" ht="15.75" thickBot="1">
      <c r="B24" s="176"/>
      <c r="C24" s="176"/>
      <c r="D24" s="176"/>
      <c r="E24" s="176"/>
      <c r="F24" s="176"/>
      <c r="G24" s="176"/>
      <c r="H24" s="177"/>
      <c r="I24" s="177"/>
      <c r="J24" s="176"/>
      <c r="K24" s="176"/>
    </row>
    <row r="25" spans="1:13" ht="29.25" customHeight="1" thickBot="1">
      <c r="B25" s="3"/>
      <c r="C25" s="3"/>
      <c r="D25" s="3"/>
      <c r="E25" s="3"/>
      <c r="F25" s="3"/>
      <c r="G25" s="263"/>
      <c r="H25" s="804" t="s">
        <v>423</v>
      </c>
      <c r="I25" s="805"/>
      <c r="J25" s="805"/>
      <c r="K25" s="806"/>
    </row>
    <row r="26" spans="1:13" ht="24.75">
      <c r="B26" s="3"/>
      <c r="C26" s="3"/>
      <c r="D26" s="3"/>
      <c r="E26" s="3"/>
      <c r="F26" s="3"/>
      <c r="G26" s="232"/>
      <c r="H26" s="795"/>
      <c r="I26" s="796"/>
      <c r="J26" s="246" t="s">
        <v>319</v>
      </c>
      <c r="K26" s="247" t="s">
        <v>320</v>
      </c>
    </row>
    <row r="27" spans="1:13" ht="23.25" customHeight="1">
      <c r="B27" s="3"/>
      <c r="C27" s="3"/>
      <c r="D27" s="3"/>
      <c r="E27" s="3"/>
      <c r="F27" s="3"/>
      <c r="G27" s="264"/>
      <c r="H27" s="801" t="str">
        <f>'Introducerea datelor'!B61</f>
        <v>Zile necesare pentru remiterea PU/DR final către ALF</v>
      </c>
      <c r="I27" s="802"/>
      <c r="J27" s="385">
        <f>+'Introducerea datelor'!C61</f>
        <v>45</v>
      </c>
      <c r="K27" s="417">
        <f>+'Introducerea datelor'!D61</f>
        <v>43</v>
      </c>
    </row>
    <row r="28" spans="1:13" ht="25.5" customHeight="1">
      <c r="B28" s="3"/>
      <c r="C28" s="3"/>
      <c r="D28" s="3"/>
      <c r="E28" s="3"/>
      <c r="F28" s="3"/>
      <c r="G28" s="264"/>
      <c r="H28" s="801" t="str">
        <f>'Introducerea datelor'!B62</f>
        <v>Zile necesare pentru debursare către RP</v>
      </c>
      <c r="I28" s="802"/>
      <c r="J28" s="385">
        <f>+'Introducerea datelor'!C62</f>
        <v>0</v>
      </c>
      <c r="K28" s="417">
        <f>+'Introducerea datelor'!D62</f>
        <v>0</v>
      </c>
    </row>
    <row r="29" spans="1:13" ht="24.75" customHeight="1" thickBot="1">
      <c r="B29" s="3"/>
      <c r="C29" s="3"/>
      <c r="D29" s="3"/>
      <c r="E29" s="3"/>
      <c r="F29" s="3"/>
      <c r="G29" s="264"/>
      <c r="H29" s="797" t="str">
        <f>'Introducerea datelor'!B63</f>
        <v>Zile necesare pentru debursare către SR</v>
      </c>
      <c r="I29" s="798"/>
      <c r="J29" s="386">
        <f>+'Introducerea datelor'!C63</f>
        <v>5</v>
      </c>
      <c r="K29" s="418">
        <f>+'Introducerea datelor'!D63</f>
        <v>5</v>
      </c>
    </row>
    <row r="30" spans="1:13">
      <c r="B30" s="3"/>
      <c r="C30" s="3"/>
      <c r="D30" s="3"/>
      <c r="E30" s="3"/>
      <c r="F30" s="3"/>
      <c r="G30" s="3"/>
      <c r="H30" s="3"/>
      <c r="I30" s="3"/>
      <c r="J30" s="3"/>
      <c r="K30" s="3"/>
    </row>
    <row r="31" spans="1:13">
      <c r="B31" s="3"/>
      <c r="C31" s="15"/>
      <c r="D31" s="197"/>
      <c r="E31" s="3"/>
      <c r="F31" s="3"/>
      <c r="G31" s="3"/>
      <c r="H31" s="3"/>
      <c r="I31" s="3"/>
      <c r="J31" s="3"/>
      <c r="K31" s="3"/>
    </row>
    <row r="32" spans="1:13">
      <c r="B32" s="3"/>
      <c r="C32" s="15"/>
      <c r="D32" s="197"/>
      <c r="E32" s="3"/>
      <c r="F32" s="3"/>
      <c r="G32" s="3"/>
      <c r="H32" s="3"/>
      <c r="I32" s="3"/>
      <c r="J32" s="3"/>
      <c r="K32" s="3"/>
    </row>
    <row r="34" spans="5:5">
      <c r="E34" s="19"/>
    </row>
  </sheetData>
  <mergeCells count="21">
    <mergeCell ref="B2:K2"/>
    <mergeCell ref="D5:I5"/>
    <mergeCell ref="I4:J4"/>
    <mergeCell ref="I3:J3"/>
    <mergeCell ref="E3:H3"/>
    <mergeCell ref="E4:H4"/>
    <mergeCell ref="C3:D3"/>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s>
  <phoneticPr fontId="23" type="noConversion"/>
  <conditionalFormatting sqref="K27:K29">
    <cfRule type="cellIs" dxfId="17" priority="4" stopIfTrue="1" operator="greaterThan">
      <formula>J27</formula>
    </cfRule>
    <cfRule type="cellIs" dxfId="16" priority="5" stopIfTrue="1" operator="between">
      <formula>J27</formula>
      <formula>1</formula>
    </cfRule>
    <cfRule type="cellIs" dxfId="15" priority="6" stopIfTrue="1" operator="equal">
      <formula>0</formula>
    </cfRule>
  </conditionalFormatting>
  <conditionalFormatting sqref="C4:D4">
    <cfRule type="cellIs" dxfId="14" priority="1" stopIfTrue="1" operator="equal">
      <formula>"C"</formula>
    </cfRule>
    <cfRule type="cellIs" dxfId="13" priority="2" stopIfTrue="1" operator="equal">
      <formula>"B2"</formula>
    </cfRule>
    <cfRule type="cellIs" dxfId="12" priority="3" stopIfTrue="1" operator="equal">
      <formula>"B1"</formula>
    </cfRule>
  </conditionalFormatting>
  <pageMargins left="0.70866141732283472" right="0.70866141732283472" top="0.74803149606299213" bottom="0.74803149606299213" header="0.31496062992125984" footer="0.31496062992125984"/>
  <pageSetup paperSize="8" scale="105"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7"/>
  <sheetViews>
    <sheetView showGridLines="0" view="pageBreakPreview" topLeftCell="A7" zoomScaleNormal="100" zoomScaleSheetLayoutView="100" workbookViewId="0">
      <selection activeCell="L29" sqref="L29:Q29"/>
    </sheetView>
  </sheetViews>
  <sheetFormatPr defaultColWidth="11" defaultRowHeight="15"/>
  <cols>
    <col min="1" max="1" width="9.42578125" style="381" customWidth="1"/>
    <col min="2" max="2" width="11.28515625" customWidth="1"/>
    <col min="3" max="3" width="14.140625" customWidth="1"/>
    <col min="4" max="4" width="14.85546875" customWidth="1"/>
    <col min="5" max="5" width="6.7109375" style="382" customWidth="1"/>
    <col min="6" max="6" width="11.5703125" style="382" customWidth="1"/>
    <col min="7" max="7" width="5.7109375" customWidth="1"/>
    <col min="8" max="8" width="6.28515625" customWidth="1"/>
    <col min="9" max="9" width="7.5703125" customWidth="1"/>
    <col min="10" max="10" width="6.85546875" customWidth="1"/>
    <col min="11" max="11" width="12.42578125" customWidth="1"/>
    <col min="12" max="12" width="11.42578125" customWidth="1"/>
    <col min="13" max="13" width="5" customWidth="1"/>
    <col min="14" max="14" width="6.5703125" customWidth="1"/>
    <col min="15" max="15" width="4.140625" customWidth="1"/>
    <col min="16" max="16" width="10.7109375" customWidth="1"/>
    <col min="17" max="17" width="14.28515625" customWidth="1"/>
    <col min="18" max="18" width="6.5703125" customWidth="1"/>
  </cols>
  <sheetData>
    <row r="1" spans="1:35" ht="26.25" customHeight="1">
      <c r="A1" s="380"/>
      <c r="B1" s="3"/>
      <c r="C1" s="3"/>
      <c r="D1" s="3"/>
      <c r="E1" s="383"/>
      <c r="F1" s="383"/>
      <c r="G1" s="3"/>
      <c r="H1" s="3"/>
      <c r="I1" s="3"/>
      <c r="J1" s="3"/>
      <c r="K1" s="3"/>
      <c r="L1" s="3"/>
      <c r="M1" s="3"/>
      <c r="N1" s="3"/>
      <c r="O1" s="3"/>
      <c r="P1" s="3"/>
    </row>
    <row r="2" spans="1:35" ht="21.75" customHeight="1">
      <c r="A2" s="380"/>
      <c r="B2" s="861" t="str">
        <f>+"Tabel Programatic de Evaluare:  "&amp;"  "&amp;IF(+'Introducerea datelor'!C4="Please Select","",'Introducerea datelor'!C4&amp;" - ")&amp;IF('Introducerea datelor'!G6="Please Select","",'Introducerea datelor'!G6)</f>
        <v>Tabel Programatic de Evaluare:    Moldova - TB</v>
      </c>
      <c r="C2" s="861"/>
      <c r="D2" s="861"/>
      <c r="E2" s="861"/>
      <c r="F2" s="861"/>
      <c r="G2" s="861"/>
      <c r="H2" s="861"/>
      <c r="I2" s="861"/>
      <c r="J2" s="861"/>
      <c r="K2" s="861"/>
      <c r="L2" s="861"/>
      <c r="M2" s="861"/>
      <c r="N2" s="861"/>
      <c r="O2" s="861"/>
      <c r="P2" s="861"/>
      <c r="Q2" s="861"/>
    </row>
    <row r="3" spans="1:35" ht="18.75" customHeight="1">
      <c r="A3" s="380"/>
      <c r="B3" s="128" t="str">
        <f>+IF('Introducerea datelor'!G8="Please Select","",'Introducerea datelor'!G8)</f>
        <v/>
      </c>
      <c r="C3" s="820" t="str">
        <f>+IF('Introducerea datelor'!I8="Please Select","",'Introducerea datelor'!I8)</f>
        <v>Period 1</v>
      </c>
      <c r="D3" s="820"/>
      <c r="E3" s="819"/>
      <c r="F3" s="819"/>
      <c r="G3" s="819"/>
      <c r="H3" s="819"/>
      <c r="I3" s="863"/>
      <c r="J3" s="863"/>
      <c r="K3" s="863"/>
      <c r="L3" s="3"/>
      <c r="M3" s="3"/>
      <c r="N3" s="826" t="str">
        <f>+'Introducerea datelor'!B16</f>
        <v>Perioada de Raportare:</v>
      </c>
      <c r="O3" s="777"/>
      <c r="P3" s="777"/>
      <c r="Q3" s="163" t="str">
        <f>+'Introducerea datelor'!C16</f>
        <v>P1</v>
      </c>
    </row>
    <row r="4" spans="1:35" ht="12" customHeight="1">
      <c r="A4" s="380"/>
      <c r="B4" s="128" t="str">
        <f>+'Introducerea datelor'!B12</f>
        <v>Ultimul Rating:</v>
      </c>
      <c r="C4" s="864">
        <f>+IF('Introducerea datelor'!C12="Please Select","",'Introducerea datelor'!C12)</f>
        <v>0</v>
      </c>
      <c r="D4" s="864"/>
      <c r="E4" s="819" t="str">
        <f>+'Introducerea datelor'!C8</f>
        <v>IP UCIMP DS</v>
      </c>
      <c r="F4" s="819"/>
      <c r="G4" s="819"/>
      <c r="H4" s="819"/>
      <c r="I4" s="819"/>
      <c r="J4" s="819"/>
      <c r="K4" s="819"/>
      <c r="L4" s="819"/>
      <c r="M4" s="3"/>
      <c r="O4" s="271"/>
      <c r="P4" s="128" t="str">
        <f>+'Introducerea datelor'!D16</f>
        <v>De la:</v>
      </c>
      <c r="Q4" s="421">
        <f>+IF(ISBLANK('Introducerea datelor'!E16),"",'Introducerea datelor'!E16)</f>
        <v>42186</v>
      </c>
      <c r="Y4" s="70"/>
      <c r="Z4" s="70"/>
      <c r="AA4" s="70"/>
      <c r="AB4" s="70"/>
      <c r="AC4" s="70"/>
    </row>
    <row r="5" spans="1:35" ht="15.75" customHeight="1">
      <c r="A5" s="380"/>
      <c r="B5" s="128"/>
      <c r="C5" s="128"/>
      <c r="D5" s="819" t="str">
        <f>+'Introducerea datelor'!G4</f>
        <v>Consolidarea controlului Tuberculozei în Republica Moldova</v>
      </c>
      <c r="E5" s="819"/>
      <c r="F5" s="819"/>
      <c r="G5" s="819"/>
      <c r="H5" s="819"/>
      <c r="I5" s="819"/>
      <c r="J5" s="819"/>
      <c r="K5" s="819"/>
      <c r="L5" s="819"/>
      <c r="M5" s="819"/>
      <c r="N5" s="819"/>
      <c r="P5" s="128" t="str">
        <f>+'Introducerea datelor'!F16</f>
        <v>Pînă la:</v>
      </c>
      <c r="Q5" s="421">
        <f>+IF(ISBLANK('Introducerea datelor'!G16),"",'Introducerea datelor'!G16)</f>
        <v>42369</v>
      </c>
      <c r="S5" s="188"/>
      <c r="T5" s="188"/>
      <c r="U5" s="188"/>
      <c r="V5" s="188"/>
      <c r="W5" s="188"/>
      <c r="X5" s="188"/>
      <c r="Y5" s="70"/>
      <c r="Z5" s="70"/>
      <c r="AA5" s="70" t="s">
        <v>23</v>
      </c>
      <c r="AB5" s="70"/>
      <c r="AC5" s="70" t="s">
        <v>214</v>
      </c>
      <c r="AD5" s="188"/>
      <c r="AE5" s="188"/>
      <c r="AF5" s="188"/>
      <c r="AG5" s="188"/>
      <c r="AH5" s="188"/>
      <c r="AI5" s="188"/>
    </row>
    <row r="6" spans="1:35" ht="15.75" customHeight="1">
      <c r="A6" s="380"/>
      <c r="B6" s="128"/>
      <c r="C6" s="128"/>
      <c r="D6" s="186"/>
      <c r="E6" s="186"/>
      <c r="F6" s="862" t="s">
        <v>393</v>
      </c>
      <c r="G6" s="862"/>
      <c r="H6" s="862"/>
      <c r="I6" s="862"/>
      <c r="J6" s="862"/>
      <c r="K6" s="862"/>
      <c r="L6" s="186"/>
      <c r="M6" s="3"/>
      <c r="N6" s="3"/>
      <c r="O6" s="165"/>
      <c r="P6" s="211"/>
      <c r="S6" s="188"/>
      <c r="T6" s="188"/>
      <c r="U6" s="188"/>
      <c r="V6" s="188"/>
      <c r="W6" s="188"/>
      <c r="X6" s="188"/>
      <c r="Y6" s="70"/>
      <c r="Z6" s="70"/>
      <c r="AA6" s="70"/>
      <c r="AB6" s="70"/>
      <c r="AC6" s="70"/>
      <c r="AD6" s="188"/>
      <c r="AE6" s="188"/>
      <c r="AF6" s="188"/>
      <c r="AG6" s="188"/>
      <c r="AH6" s="188"/>
      <c r="AI6" s="188"/>
    </row>
    <row r="7" spans="1:35" ht="3" customHeight="1">
      <c r="A7" s="380"/>
      <c r="B7" s="128"/>
      <c r="C7" s="128"/>
      <c r="D7" s="186"/>
      <c r="E7" s="186"/>
      <c r="F7" s="186"/>
      <c r="G7" s="186"/>
      <c r="H7" s="186"/>
      <c r="I7" s="186"/>
      <c r="J7" s="186"/>
      <c r="K7" s="186"/>
      <c r="L7" s="186"/>
      <c r="M7" s="3"/>
      <c r="N7" s="3"/>
      <c r="O7" s="165"/>
      <c r="P7" s="164"/>
      <c r="Q7" s="164"/>
      <c r="S7" s="188"/>
      <c r="T7" s="188"/>
      <c r="U7" s="188"/>
      <c r="V7" s="188"/>
      <c r="W7" s="188"/>
      <c r="X7" s="188"/>
      <c r="Y7" s="70"/>
      <c r="Z7" s="70"/>
      <c r="AA7" s="70"/>
      <c r="AB7" s="70"/>
      <c r="AC7" s="70"/>
      <c r="AD7" s="188"/>
      <c r="AE7" s="188"/>
      <c r="AF7" s="188"/>
      <c r="AG7" s="188"/>
      <c r="AH7" s="188"/>
      <c r="AI7" s="188"/>
    </row>
    <row r="8" spans="1:35" ht="95.25" customHeight="1">
      <c r="A8" s="380"/>
      <c r="C8" s="828" t="str">
        <f>+'Introducerea datelor'!B116</f>
        <v>Rata mortalităţii  - Numărul de decese cauzate de TB (toate formele) pe an, la 100 000 persoane</v>
      </c>
      <c r="D8" s="828"/>
      <c r="E8" s="828"/>
      <c r="F8" s="552"/>
      <c r="G8" s="828" t="str">
        <f>+'Introducerea datelor'!B118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H8" s="828"/>
      <c r="I8" s="828"/>
      <c r="J8" s="828"/>
      <c r="K8" s="828"/>
      <c r="L8" s="553"/>
      <c r="M8" s="827" t="str">
        <f>+'Introducerea datelor'!B120</f>
        <v xml:space="preserve">Prevalența TB MDR printre cazurile de tuberculoză anterior tratate - Numărul cazurilor de tuberculoză cu cultura pozitivă, anterior tratate, testate la sensibilitate pentru preparatele de linia I, diagnosticate cu MDR, din numărul total de cazuri de tuberculoză cu cultura pozitivă, anterior tratate, testate la sensibilitate pentru preparatele de linia I, pe parcursul anului </v>
      </c>
      <c r="N8" s="827"/>
      <c r="O8" s="827"/>
      <c r="P8" s="827"/>
      <c r="Q8" s="827"/>
      <c r="S8" s="188"/>
      <c r="T8" s="188"/>
      <c r="U8" s="188"/>
      <c r="V8" s="188"/>
      <c r="W8" s="188"/>
      <c r="X8" s="188"/>
      <c r="Y8" s="70"/>
      <c r="Z8" s="70"/>
      <c r="AA8" s="70"/>
      <c r="AB8" s="70"/>
      <c r="AC8" s="70"/>
      <c r="AD8" s="188"/>
      <c r="AE8" s="188"/>
      <c r="AF8" s="188"/>
      <c r="AG8" s="188"/>
      <c r="AH8" s="188"/>
      <c r="AI8" s="188"/>
    </row>
    <row r="9" spans="1:35" ht="96" customHeight="1">
      <c r="A9" s="380"/>
      <c r="B9" s="358" t="s">
        <v>388</v>
      </c>
      <c r="C9" s="821" t="s">
        <v>496</v>
      </c>
      <c r="D9" s="822"/>
      <c r="E9" s="823"/>
      <c r="F9" s="554" t="s">
        <v>389</v>
      </c>
      <c r="G9" s="821" t="s">
        <v>497</v>
      </c>
      <c r="H9" s="822"/>
      <c r="I9" s="822"/>
      <c r="J9" s="822"/>
      <c r="K9" s="823"/>
      <c r="L9" s="555" t="s">
        <v>390</v>
      </c>
      <c r="M9" s="821" t="s">
        <v>498</v>
      </c>
      <c r="N9" s="824"/>
      <c r="O9" s="824"/>
      <c r="P9" s="824"/>
      <c r="Q9" s="825"/>
      <c r="S9" s="471"/>
      <c r="T9" s="188"/>
      <c r="U9" s="188"/>
      <c r="V9" s="188"/>
      <c r="W9" s="188"/>
      <c r="X9" s="188"/>
      <c r="Y9" s="188"/>
      <c r="Z9" s="188"/>
      <c r="AA9" s="188"/>
      <c r="AB9" s="188"/>
      <c r="AC9" s="188"/>
      <c r="AD9" s="188"/>
      <c r="AE9" s="188"/>
      <c r="AF9" s="188"/>
      <c r="AG9" s="188"/>
      <c r="AH9" s="188"/>
      <c r="AI9" s="188"/>
    </row>
    <row r="10" spans="1:35" ht="18.75" customHeight="1">
      <c r="A10" s="380"/>
      <c r="B10" s="128"/>
      <c r="C10" s="128"/>
      <c r="D10" s="186"/>
      <c r="E10" s="186"/>
      <c r="F10" s="186"/>
      <c r="G10" s="186"/>
      <c r="H10" s="186"/>
      <c r="I10" s="186"/>
      <c r="J10" s="186"/>
      <c r="K10" s="186"/>
      <c r="L10" s="186"/>
      <c r="M10" s="3"/>
      <c r="N10" s="3"/>
      <c r="O10" s="165"/>
      <c r="P10" s="164"/>
      <c r="S10" s="188"/>
      <c r="T10" s="188"/>
      <c r="U10" s="188"/>
      <c r="V10" s="188"/>
      <c r="W10" s="188"/>
      <c r="X10" s="188"/>
      <c r="Y10" s="188"/>
      <c r="Z10" s="188"/>
      <c r="AA10" s="188"/>
      <c r="AB10" s="188"/>
      <c r="AC10" s="188"/>
      <c r="AD10" s="188"/>
      <c r="AE10" s="188"/>
      <c r="AF10" s="188"/>
      <c r="AG10" s="188"/>
      <c r="AH10" s="188"/>
      <c r="AI10" s="188"/>
    </row>
    <row r="11" spans="1:35" ht="18.75" customHeight="1">
      <c r="A11" s="380"/>
      <c r="B11" s="128"/>
      <c r="C11" s="128"/>
      <c r="D11" s="186"/>
      <c r="E11" s="186"/>
      <c r="F11" s="186"/>
      <c r="G11" s="186"/>
      <c r="H11" s="186"/>
      <c r="I11" s="186"/>
      <c r="J11" s="186"/>
      <c r="K11" s="186"/>
      <c r="L11" s="186"/>
      <c r="M11" s="3"/>
      <c r="N11" s="3"/>
      <c r="O11" s="165"/>
      <c r="P11" s="164"/>
      <c r="S11" s="188"/>
      <c r="T11" s="188"/>
      <c r="U11" s="188"/>
      <c r="V11" s="188"/>
      <c r="W11" s="188"/>
      <c r="X11" s="188"/>
      <c r="Y11" s="188"/>
      <c r="Z11" s="188"/>
      <c r="AA11" s="188"/>
      <c r="AB11" s="188"/>
      <c r="AC11" s="188"/>
      <c r="AD11" s="188"/>
      <c r="AE11" s="188"/>
      <c r="AF11" s="188"/>
      <c r="AG11" s="188"/>
      <c r="AH11" s="188"/>
      <c r="AI11" s="188"/>
    </row>
    <row r="12" spans="1:35" ht="18.75" customHeight="1">
      <c r="A12" s="380"/>
      <c r="B12" s="128"/>
      <c r="C12" s="128"/>
      <c r="D12" s="186"/>
      <c r="E12" s="186"/>
      <c r="F12" s="186"/>
      <c r="G12" s="186"/>
      <c r="H12" s="186"/>
      <c r="I12" s="186"/>
      <c r="J12" s="186"/>
      <c r="K12" s="186"/>
      <c r="L12" s="186"/>
      <c r="M12" s="3"/>
      <c r="N12" s="3"/>
      <c r="O12" s="165"/>
      <c r="P12" s="164"/>
      <c r="S12" s="188"/>
      <c r="T12" s="188"/>
      <c r="U12" s="188"/>
      <c r="V12" s="188"/>
      <c r="W12" s="188"/>
      <c r="X12" s="188"/>
      <c r="Y12" s="188"/>
      <c r="Z12" s="188"/>
      <c r="AA12" s="188"/>
      <c r="AB12" s="188"/>
      <c r="AC12" s="188"/>
      <c r="AD12" s="188"/>
      <c r="AE12" s="188"/>
      <c r="AF12" s="188"/>
      <c r="AG12" s="188"/>
      <c r="AH12" s="188"/>
      <c r="AI12" s="188"/>
    </row>
    <row r="13" spans="1:35" ht="18.75" customHeight="1">
      <c r="A13" s="380"/>
      <c r="B13" s="128"/>
      <c r="C13" s="128"/>
      <c r="D13" s="186"/>
      <c r="E13" s="186"/>
      <c r="F13" s="186"/>
      <c r="G13" s="186"/>
      <c r="H13" s="186"/>
      <c r="I13" s="186"/>
      <c r="J13" s="186"/>
      <c r="K13" s="186"/>
      <c r="L13" s="186"/>
      <c r="M13" s="3"/>
      <c r="N13" s="3"/>
      <c r="O13" s="165"/>
      <c r="P13" s="164"/>
      <c r="S13" s="188"/>
      <c r="T13" s="188"/>
      <c r="U13" s="188"/>
      <c r="V13" s="188"/>
      <c r="W13" s="188"/>
      <c r="X13" s="188"/>
      <c r="Y13" s="188"/>
      <c r="Z13" s="188"/>
      <c r="AA13" s="188"/>
      <c r="AB13" s="188"/>
      <c r="AC13" s="188"/>
      <c r="AD13" s="188"/>
      <c r="AE13" s="188"/>
      <c r="AF13" s="188"/>
      <c r="AG13" s="188"/>
      <c r="AH13" s="188"/>
      <c r="AI13" s="188"/>
    </row>
    <row r="14" spans="1:35" ht="18.75" customHeight="1">
      <c r="A14" s="380"/>
      <c r="B14" s="128"/>
      <c r="C14" s="128"/>
      <c r="D14" s="186"/>
      <c r="E14" s="186"/>
      <c r="F14" s="186"/>
      <c r="G14" s="186"/>
      <c r="H14" s="186"/>
      <c r="I14" s="186"/>
      <c r="J14" s="186"/>
      <c r="K14" s="186"/>
      <c r="L14" s="186"/>
      <c r="M14" s="3"/>
      <c r="N14" s="3"/>
      <c r="O14" s="165"/>
      <c r="P14" s="164"/>
      <c r="S14" s="188"/>
      <c r="T14" s="188"/>
      <c r="U14" s="188"/>
      <c r="V14" s="188"/>
      <c r="W14" s="188"/>
      <c r="X14" s="188"/>
      <c r="Y14" s="188"/>
      <c r="Z14" s="188"/>
      <c r="AA14" s="188"/>
      <c r="AB14" s="188"/>
      <c r="AC14" s="188"/>
      <c r="AD14" s="188"/>
      <c r="AE14" s="188"/>
      <c r="AF14" s="188"/>
      <c r="AG14" s="188"/>
      <c r="AH14" s="188"/>
      <c r="AI14" s="188"/>
    </row>
    <row r="15" spans="1:35" ht="18.75" customHeight="1">
      <c r="A15" s="380"/>
      <c r="B15" s="128"/>
      <c r="C15" s="128"/>
      <c r="D15" s="186"/>
      <c r="E15" s="186"/>
      <c r="F15" s="186"/>
      <c r="G15" s="186"/>
      <c r="H15" s="186"/>
      <c r="I15" s="186"/>
      <c r="J15" s="186"/>
      <c r="K15" s="186"/>
      <c r="L15" s="186"/>
      <c r="M15" s="3"/>
      <c r="N15" s="3"/>
      <c r="O15" s="165"/>
      <c r="P15" s="164"/>
      <c r="S15" s="188"/>
      <c r="T15" s="188"/>
      <c r="U15" s="188"/>
      <c r="V15" s="188"/>
      <c r="W15" s="188"/>
      <c r="X15" s="188"/>
      <c r="Y15" s="188"/>
      <c r="Z15" s="188"/>
      <c r="AA15" s="188"/>
      <c r="AB15" s="188"/>
      <c r="AC15" s="188"/>
      <c r="AD15" s="188"/>
      <c r="AE15" s="188"/>
      <c r="AF15" s="188"/>
      <c r="AG15" s="188"/>
      <c r="AH15" s="188"/>
      <c r="AI15" s="188"/>
    </row>
    <row r="16" spans="1:35" ht="18.75" customHeight="1">
      <c r="A16" s="380"/>
      <c r="B16" s="128"/>
      <c r="C16" s="128"/>
      <c r="D16" s="186"/>
      <c r="E16" s="186"/>
      <c r="F16" s="186"/>
      <c r="G16" s="186"/>
      <c r="H16" s="186"/>
      <c r="I16" s="186"/>
      <c r="J16" s="186"/>
      <c r="K16" s="186"/>
      <c r="L16" s="186"/>
      <c r="M16" s="3"/>
      <c r="N16" s="3"/>
      <c r="O16" s="165"/>
      <c r="P16" s="164"/>
      <c r="S16" s="188"/>
      <c r="T16" s="188"/>
      <c r="U16" s="188"/>
      <c r="V16" s="188"/>
      <c r="W16" s="188"/>
      <c r="X16" s="188"/>
      <c r="Y16" s="188"/>
      <c r="Z16" s="188"/>
      <c r="AA16" s="188"/>
      <c r="AB16" s="188"/>
      <c r="AC16" s="188"/>
      <c r="AD16" s="188"/>
      <c r="AE16" s="188"/>
      <c r="AF16" s="188"/>
      <c r="AG16" s="188"/>
      <c r="AH16" s="188"/>
      <c r="AI16" s="188"/>
    </row>
    <row r="17" spans="1:35" ht="17.25" customHeight="1">
      <c r="A17" s="380"/>
      <c r="B17" s="128"/>
      <c r="C17" s="128"/>
      <c r="D17" s="186"/>
      <c r="E17" s="186"/>
      <c r="F17" s="186"/>
      <c r="G17" s="186"/>
      <c r="H17" s="186"/>
      <c r="I17" s="186"/>
      <c r="J17" s="186"/>
      <c r="K17" s="186"/>
      <c r="L17" s="186"/>
      <c r="M17" s="3"/>
      <c r="N17" s="3"/>
      <c r="O17" s="165"/>
      <c r="P17" s="164"/>
      <c r="S17" s="188"/>
      <c r="T17" s="188"/>
      <c r="U17" s="188"/>
      <c r="V17" s="188"/>
      <c r="W17" s="188"/>
      <c r="X17" s="188"/>
      <c r="Y17" s="188"/>
      <c r="Z17" s="188"/>
      <c r="AA17" s="188"/>
      <c r="AB17" s="188"/>
      <c r="AC17" s="188"/>
      <c r="AD17" s="188"/>
      <c r="AE17" s="188"/>
      <c r="AF17" s="188"/>
      <c r="AG17" s="188"/>
      <c r="AH17" s="188"/>
      <c r="AI17" s="188"/>
    </row>
    <row r="18" spans="1:35" ht="6" customHeight="1">
      <c r="A18" s="380"/>
      <c r="B18" s="132"/>
      <c r="C18" s="128"/>
      <c r="D18" s="129"/>
      <c r="E18" s="849"/>
      <c r="F18" s="849"/>
      <c r="G18" s="849"/>
      <c r="H18" s="849"/>
      <c r="I18" s="849"/>
      <c r="J18" s="849"/>
      <c r="K18" s="849"/>
      <c r="L18" s="3"/>
      <c r="M18" s="3"/>
      <c r="N18" s="3"/>
      <c r="O18" s="3"/>
      <c r="P18" s="3"/>
      <c r="S18" s="188"/>
      <c r="T18" s="188"/>
      <c r="U18" s="188"/>
      <c r="V18" s="188"/>
      <c r="W18" s="188"/>
      <c r="X18" s="188"/>
      <c r="Y18" s="188"/>
      <c r="Z18" s="188"/>
      <c r="AA18" s="188"/>
      <c r="AB18" s="188"/>
      <c r="AC18" s="188"/>
      <c r="AD18" s="188"/>
      <c r="AE18" s="188"/>
      <c r="AF18" s="188"/>
      <c r="AG18" s="188"/>
      <c r="AH18" s="188"/>
      <c r="AI18" s="188"/>
    </row>
    <row r="19" spans="1:35" ht="24" customHeight="1">
      <c r="A19" s="380"/>
      <c r="B19" s="850" t="s">
        <v>391</v>
      </c>
      <c r="C19" s="850"/>
      <c r="D19" s="850"/>
      <c r="E19" s="138" t="s">
        <v>366</v>
      </c>
      <c r="F19" s="138" t="s">
        <v>367</v>
      </c>
      <c r="G19" s="857" t="s">
        <v>249</v>
      </c>
      <c r="H19" s="858"/>
      <c r="I19" s="859" t="s">
        <v>250</v>
      </c>
      <c r="J19" s="860"/>
      <c r="K19" s="270" t="s">
        <v>251</v>
      </c>
      <c r="L19" s="854" t="s">
        <v>392</v>
      </c>
      <c r="M19" s="855"/>
      <c r="N19" s="855"/>
      <c r="O19" s="855"/>
      <c r="P19" s="855"/>
      <c r="Q19" s="856"/>
      <c r="S19" s="64" t="s">
        <v>55</v>
      </c>
      <c r="T19" s="65">
        <v>0</v>
      </c>
      <c r="U19" s="66">
        <v>0.3</v>
      </c>
      <c r="V19" s="66">
        <v>0.6</v>
      </c>
      <c r="W19" s="66">
        <v>0.9</v>
      </c>
      <c r="X19" s="66">
        <v>1</v>
      </c>
      <c r="Y19" s="70"/>
      <c r="Z19" s="70"/>
      <c r="AA19" s="64" t="s">
        <v>55</v>
      </c>
      <c r="AB19" s="65">
        <v>0</v>
      </c>
      <c r="AC19" s="66">
        <v>0.2</v>
      </c>
      <c r="AD19" s="66">
        <v>0.4</v>
      </c>
      <c r="AE19" s="66">
        <v>0.6</v>
      </c>
      <c r="AF19" s="66">
        <v>0.8</v>
      </c>
      <c r="AG19" s="70"/>
      <c r="AH19" s="70"/>
      <c r="AI19" s="70"/>
    </row>
    <row r="20" spans="1:35" ht="90" customHeight="1">
      <c r="A20" s="545" t="s">
        <v>421</v>
      </c>
      <c r="B20" s="837" t="str">
        <f>+'Introducerea datelor'!B116</f>
        <v>Rata mortalităţii  - Numărul de decese cauzate de TB (toate formele) pe an, la 100 000 persoane</v>
      </c>
      <c r="C20" s="837"/>
      <c r="D20" s="837"/>
      <c r="E20" s="429">
        <f ca="1">OFFSET('Introducerea datelor'!$G$115,1,RIGHT('Introducerea datelor'!$C$16,LEN('Introducerea datelor'!$C$16)-1),1,1)</f>
        <v>10</v>
      </c>
      <c r="F20" s="548">
        <f ca="1">OFFSET('Introducerea datelor'!$G$115,2,RIGHT('Introducerea datelor'!$C$16,LEN('Introducerea datelor'!$C$16)-1),1,1)</f>
        <v>9.9600000000000009</v>
      </c>
      <c r="G20" s="834">
        <f ca="1">+IF(ISERROR(F20/E20),0,F20/E20)</f>
        <v>0.99600000000000011</v>
      </c>
      <c r="H20" s="835"/>
      <c r="I20" s="835"/>
      <c r="J20" s="835"/>
      <c r="K20" s="836"/>
      <c r="L20" s="843" t="str">
        <f>C9</f>
        <v xml:space="preserve">Date preliminare pentru anul 2015: 405 persoane au decedat de tuberculoză în anul 2015 (9,96 decese la 100 000 persoane). 
Notă: Se constată o micșorare cu 20,3% a ratei de mortalitate față de datele anului 2014 (508 cazuri de deces cauzate de tuberculoză) și cu 11,2% față de datele anului 2013 (456 cazuri de deces cauzate de tuberculoză).     </v>
      </c>
      <c r="M20" s="844"/>
      <c r="N20" s="844"/>
      <c r="O20" s="844"/>
      <c r="P20" s="844"/>
      <c r="Q20" s="845"/>
      <c r="S20" s="64" t="s">
        <v>56</v>
      </c>
      <c r="T20" s="67">
        <v>0.3</v>
      </c>
      <c r="U20" s="66">
        <v>0.6</v>
      </c>
      <c r="V20" s="66">
        <v>0.9</v>
      </c>
      <c r="W20" s="66">
        <v>1</v>
      </c>
      <c r="X20" s="66">
        <v>2</v>
      </c>
      <c r="Y20" s="70"/>
      <c r="Z20" s="70"/>
      <c r="AA20" s="64" t="s">
        <v>56</v>
      </c>
      <c r="AB20" s="67">
        <v>0.2</v>
      </c>
      <c r="AC20" s="66">
        <v>0.4</v>
      </c>
      <c r="AD20" s="66">
        <v>0.6</v>
      </c>
      <c r="AE20" s="66">
        <v>0.8</v>
      </c>
      <c r="AF20" s="66">
        <v>1</v>
      </c>
      <c r="AG20" s="70"/>
      <c r="AH20" s="70"/>
      <c r="AI20" s="70"/>
    </row>
    <row r="21" spans="1:35" ht="108.75" customHeight="1">
      <c r="A21" s="545" t="s">
        <v>462</v>
      </c>
      <c r="B21" s="837" t="str">
        <f>+'Introducerea datelor'!B118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C21" s="837"/>
      <c r="D21" s="837"/>
      <c r="E21" s="429">
        <f ca="1">OFFSET('Introducerea datelor'!$G$115,3,RIGHT('Introducerea datelor'!$C$16,LEN('Introducerea datelor'!$C$16)-1),1,1)</f>
        <v>22</v>
      </c>
      <c r="F21" s="429">
        <f ca="1">OFFSET('Introducerea datelor'!$G$115,4,RIGHT('Introducerea datelor'!$C$16,LEN('Introducerea datelor'!$C$16)-1),1,1)</f>
        <v>27.2</v>
      </c>
      <c r="G21" s="834">
        <f ca="1">+IF(ISERROR(E21/F21),0,E21/F21)</f>
        <v>0.80882352941176472</v>
      </c>
      <c r="H21" s="835"/>
      <c r="I21" s="835"/>
      <c r="J21" s="835"/>
      <c r="K21" s="836"/>
      <c r="L21" s="843" t="str">
        <f>G9</f>
        <v xml:space="preserve">Date preliminare pentru anul 2015: 343 cazuri noi de tuberculoză cu cultura pozitivă, testate la sensibilitate pentru preparatele de linia I, din 1 262 investigate în 2015, au fost diagnosticate cu MDR.
Notă: Se constată menținerea unei rate înalte a TB MDR printre cazurile noi, situație caracteristică ultimilor ani.                                                                                                                                                                                                                                                                  </v>
      </c>
      <c r="M21" s="844"/>
      <c r="N21" s="844"/>
      <c r="O21" s="844"/>
      <c r="P21" s="844"/>
      <c r="Q21" s="845"/>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70" t="s">
        <v>215</v>
      </c>
      <c r="AA21" s="68" t="s">
        <v>214</v>
      </c>
      <c r="AB21" s="69" t="str">
        <f>"de "&amp;AB19&amp;" a "&amp;AB20</f>
        <v>de 0 a 0,2</v>
      </c>
      <c r="AC21" s="69" t="str">
        <f>"de "&amp;AC19&amp;" a "&amp;AC20</f>
        <v>de 0,2 a 0,4</v>
      </c>
      <c r="AD21" s="69" t="str">
        <f>"de "&amp;AD19&amp;" a "&amp;AD20</f>
        <v>de 0,4 a 0,6</v>
      </c>
      <c r="AE21" s="69" t="str">
        <f>"de "&amp;AE19&amp;" a "&amp;AE20</f>
        <v>de 0,6 a 0,8</v>
      </c>
      <c r="AF21" s="69" t="str">
        <f>"de "&amp;AF19&amp;" a "&amp;AF20</f>
        <v>de 0,8 a 1</v>
      </c>
      <c r="AG21" s="70"/>
      <c r="AH21" s="70"/>
      <c r="AI21" s="70"/>
    </row>
    <row r="22" spans="1:35" ht="117" customHeight="1">
      <c r="A22" s="419" t="s">
        <v>441</v>
      </c>
      <c r="B22" s="837" t="str">
        <f>+'Introducerea datelor'!B120</f>
        <v xml:space="preserve">Prevalența TB MDR printre cazurile de tuberculoză anterior tratate - Numărul cazurilor de tuberculoză cu cultura pozitivă, anterior tratate, testate la sensibilitate pentru preparatele de linia I, diagnosticate cu MDR, din numărul total de cazuri de tuberculoză cu cultura pozitivă, anterior tratate, testate la sensibilitate pentru preparatele de linia I, pe parcursul anului </v>
      </c>
      <c r="C22" s="837"/>
      <c r="D22" s="837"/>
      <c r="E22" s="429">
        <f ca="1">OFFSET('Introducerea datelor'!$G$115,5,RIGHT('Introducerea datelor'!$C$16,LEN('Introducerea datelor'!$C$16)-1),1,1)</f>
        <v>59</v>
      </c>
      <c r="F22" s="429">
        <f ca="1">OFFSET('Introducerea datelor'!$G$115,6,RIGHT('Introducerea datelor'!$C$16,LEN('Introducerea datelor'!$C$16)-1),1,1)</f>
        <v>65.3</v>
      </c>
      <c r="G22" s="834">
        <f ca="1">+IF(ISERROR(E22/F22),0,E22/F22)</f>
        <v>0.9035222052067382</v>
      </c>
      <c r="H22" s="835"/>
      <c r="I22" s="835"/>
      <c r="J22" s="835"/>
      <c r="K22" s="836"/>
      <c r="L22" s="843" t="str">
        <f>M9</f>
        <v xml:space="preserve">Date preliminare pentru anul 2015: 407 cazuri de tuberculoză cu cultura pozitivă, anterior tratate, testate la sensibilitate pentru preparatele de linia I, din 623 investigate în 2015, au fost diagnosticate cu MDR.
Notă: Se constată menținerea unei rate înalte a TB MDR printre cazurile anterior tratate, situație caracteristică ultimilor ani.  </v>
      </c>
      <c r="M22" s="844"/>
      <c r="N22" s="844"/>
      <c r="O22" s="844"/>
      <c r="P22" s="844"/>
      <c r="Q22" s="845"/>
      <c r="S22" s="68"/>
      <c r="T22" s="66" t="e">
        <f t="shared" ref="T22:W34" si="0">IF($K20&gt;T$19,IF($K20&lt;=T$20,$K20,NA()),NA())</f>
        <v>#N/A</v>
      </c>
      <c r="U22" s="66" t="e">
        <f t="shared" si="0"/>
        <v>#N/A</v>
      </c>
      <c r="V22" s="66" t="e">
        <f t="shared" si="0"/>
        <v>#N/A</v>
      </c>
      <c r="W22" s="66" t="e">
        <f t="shared" si="0"/>
        <v>#N/A</v>
      </c>
      <c r="X22" s="66" t="e">
        <f>IF($K20&gt;X$19,IF($K20&lt;=X$20,1,NA()),NA())</f>
        <v>#N/A</v>
      </c>
      <c r="Y22" s="70"/>
      <c r="Z22" s="161" t="e">
        <f>+'Detail despre Grant'!#REF!</f>
        <v>#REF!</v>
      </c>
      <c r="AA22" s="66" t="e">
        <f>+IF(Z22="A1",1,IF(Z22="A2",0.8,IF(Z22="B1",0.6,IF(Z22="B2",0.4,0.2))))</f>
        <v>#REF!</v>
      </c>
      <c r="AB22" s="66" t="e">
        <f>IF($AA22&gt;AB$19,IF($AA22&lt;=AB$20,$AA22,NA()),NA())</f>
        <v>#REF!</v>
      </c>
      <c r="AC22" s="66" t="e">
        <f t="shared" ref="AC22:AF24" si="1">IF($AA22&gt;AC$19,IF($AA22&lt;=AC$20,$AA22,NA()),NA())</f>
        <v>#REF!</v>
      </c>
      <c r="AD22" s="66" t="e">
        <f t="shared" si="1"/>
        <v>#REF!</v>
      </c>
      <c r="AE22" s="66" t="e">
        <f t="shared" si="1"/>
        <v>#REF!</v>
      </c>
      <c r="AF22" s="66" t="e">
        <f t="shared" si="1"/>
        <v>#REF!</v>
      </c>
      <c r="AG22" s="70"/>
      <c r="AH22" s="70"/>
      <c r="AI22" s="70"/>
    </row>
    <row r="23" spans="1:35" ht="138.75" customHeight="1">
      <c r="A23" s="419" t="s">
        <v>429</v>
      </c>
      <c r="B23" s="837" t="str">
        <f>+'Introducerea datelor'!B122</f>
        <v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v>
      </c>
      <c r="C23" s="837"/>
      <c r="D23" s="837"/>
      <c r="E23" s="429">
        <f ca="1">OFFSET('Introducerea datelor'!$G$115,7,RIGHT('Introducerea datelor'!$C$16,LEN('Introducerea datelor'!$C$16)-1),1,1)</f>
        <v>55</v>
      </c>
      <c r="F23" s="429">
        <f ca="1">OFFSET('Introducerea datelor'!$G$115,8,RIGHT('Introducerea datelor'!$C$16,LEN('Introducerea datelor'!$C$16)-1),1,1)</f>
        <v>59</v>
      </c>
      <c r="G23" s="834">
        <f ca="1">+IF(ISERROR(F23/E23),0,F23/E23)</f>
        <v>1.0727272727272728</v>
      </c>
      <c r="H23" s="835"/>
      <c r="I23" s="835"/>
      <c r="J23" s="835"/>
      <c r="K23" s="836"/>
      <c r="L23" s="848" t="s">
        <v>499</v>
      </c>
      <c r="M23" s="844"/>
      <c r="N23" s="844"/>
      <c r="O23" s="844"/>
      <c r="P23" s="844"/>
      <c r="Q23" s="845"/>
      <c r="S23" s="68"/>
      <c r="T23" s="66" t="e">
        <f t="shared" si="0"/>
        <v>#N/A</v>
      </c>
      <c r="U23" s="66" t="e">
        <f t="shared" si="0"/>
        <v>#N/A</v>
      </c>
      <c r="V23" s="66" t="e">
        <f t="shared" si="0"/>
        <v>#N/A</v>
      </c>
      <c r="W23" s="66" t="e">
        <f t="shared" si="0"/>
        <v>#N/A</v>
      </c>
      <c r="X23" s="66" t="e">
        <f>IF($K21&gt;X$19,IF($K21&lt;=X$20,1,1),NA())</f>
        <v>#N/A</v>
      </c>
      <c r="Y23" s="70"/>
      <c r="Z23" s="161" t="e">
        <f>+'Detail despre Grant'!#REF!</f>
        <v>#REF!</v>
      </c>
      <c r="AA23" s="66" t="e">
        <f>+IF(Z23="A1",1,IF(Z23="A2",0.8,IF(Z23="B1",0.6,IF(Z23="B2",0.4,0.2))))</f>
        <v>#REF!</v>
      </c>
      <c r="AB23" s="66" t="e">
        <f>IF($AA23&gt;AB$19,IF($AA23&lt;=AB$20,$AA23,NA()),NA())</f>
        <v>#REF!</v>
      </c>
      <c r="AC23" s="66" t="e">
        <f t="shared" si="1"/>
        <v>#REF!</v>
      </c>
      <c r="AD23" s="66" t="e">
        <f t="shared" si="1"/>
        <v>#REF!</v>
      </c>
      <c r="AE23" s="66" t="e">
        <f t="shared" si="1"/>
        <v>#REF!</v>
      </c>
      <c r="AF23" s="66" t="e">
        <f t="shared" si="1"/>
        <v>#REF!</v>
      </c>
      <c r="AG23" s="70"/>
      <c r="AH23" s="70"/>
      <c r="AI23" s="70"/>
    </row>
    <row r="24" spans="1:35" ht="87.75" customHeight="1">
      <c r="A24" s="419" t="s">
        <v>428</v>
      </c>
      <c r="B24" s="837" t="str">
        <f>+'Introducerea datelor'!B124</f>
        <v xml:space="preserve">Rata de notificare a cazurilor de tuberculoză (toate formele) per 100 000 populație - Toate cazurile de tuberculoză (bacteriologic confirmate și diagnosticate clinic, cazuri noi și recidive) notificate către autoritatea națională într-o perioadă anumită de timp per 100 000 populație          </v>
      </c>
      <c r="C24" s="837"/>
      <c r="D24" s="837"/>
      <c r="E24" s="543">
        <f ca="1">OFFSET('Introducerea datelor'!$G$115,9,RIGHT('Introducerea datelor'!$C$16,LEN('Introducerea datelor'!$C$16)-1),1,1)</f>
        <v>107.2</v>
      </c>
      <c r="F24" s="542">
        <f ca="1">OFFSET('Introducerea datelor'!$G$115,10,RIGHT('Introducerea datelor'!$C$16,LEN('Introducerea datelor'!$C$16)-1),1,1)</f>
        <v>103.2</v>
      </c>
      <c r="G24" s="834">
        <f ca="1">+IF(ISERROR(F24/E24),0,F24/E24)</f>
        <v>0.96268656716417911</v>
      </c>
      <c r="H24" s="835"/>
      <c r="I24" s="835"/>
      <c r="J24" s="835"/>
      <c r="K24" s="836"/>
      <c r="L24" s="848" t="s">
        <v>500</v>
      </c>
      <c r="M24" s="844"/>
      <c r="N24" s="844"/>
      <c r="O24" s="844"/>
      <c r="P24" s="844"/>
      <c r="Q24" s="845"/>
      <c r="S24" s="68"/>
      <c r="T24" s="66" t="e">
        <f t="shared" si="0"/>
        <v>#N/A</v>
      </c>
      <c r="U24" s="66" t="e">
        <f t="shared" si="0"/>
        <v>#N/A</v>
      </c>
      <c r="V24" s="66" t="e">
        <f t="shared" si="0"/>
        <v>#N/A</v>
      </c>
      <c r="W24" s="66" t="e">
        <f t="shared" si="0"/>
        <v>#N/A</v>
      </c>
      <c r="X24" s="66" t="e">
        <f t="shared" ref="X24:X34" si="2">IF($K22&gt;X$19,IF($K22&lt;=X$20,1,NA()),NA())</f>
        <v>#N/A</v>
      </c>
      <c r="Y24" s="70"/>
      <c r="Z24" s="161" t="e">
        <f>+'Detail despre Grant'!#REF!</f>
        <v>#REF!</v>
      </c>
      <c r="AA24" s="66" t="e">
        <f>+IF(Z24="A1",1,IF(Z24="A2",0.8,IF(Z24="B1",0.6,IF(Z24="B2",0.4,0.2))))</f>
        <v>#REF!</v>
      </c>
      <c r="AB24" s="66" t="e">
        <f>IF($AA24&gt;AB$19,IF($AA24&lt;=AB$20,$AA24,NA()),NA())</f>
        <v>#REF!</v>
      </c>
      <c r="AC24" s="66" t="e">
        <f t="shared" si="1"/>
        <v>#REF!</v>
      </c>
      <c r="AD24" s="66" t="e">
        <f t="shared" si="1"/>
        <v>#REF!</v>
      </c>
      <c r="AE24" s="66" t="e">
        <f t="shared" si="1"/>
        <v>#REF!</v>
      </c>
      <c r="AF24" s="66" t="e">
        <f t="shared" si="1"/>
        <v>#REF!</v>
      </c>
      <c r="AG24" s="70"/>
      <c r="AH24" s="70"/>
      <c r="AI24" s="70"/>
    </row>
    <row r="25" spans="1:35" ht="89.25" customHeight="1">
      <c r="A25" s="419" t="s">
        <v>430</v>
      </c>
      <c r="B25" s="831" t="str">
        <f>+'Introducerea datelor'!B126</f>
        <v>Rata de notificare a cazurilor de tuberculoză (bacteriologic confirmate) per 100 000 populație - Cazurile de tuberculoză (bacteriologic confirmate, cazuri noi și recidive) notificate către autoritatea națională într-o perioadă anumită de timp per 100 000 populație</v>
      </c>
      <c r="C25" s="832"/>
      <c r="D25" s="833"/>
      <c r="E25" s="429">
        <f ca="1">OFFSET('Introducerea datelor'!$G$115,11,RIGHT('Introducerea datelor'!$C$16,LEN('Introducerea datelor'!$C$16)-1),1,1)</f>
        <v>55.8</v>
      </c>
      <c r="F25" s="429">
        <f ca="1">OFFSET('Introducerea datelor'!$G$115,12,RIGHT('Introducerea datelor'!$C$16,LEN('Introducerea datelor'!$C$16)-1),1,1)</f>
        <v>51.88</v>
      </c>
      <c r="G25" s="834">
        <f t="shared" ref="G25" ca="1" si="3">+IF(ISERROR(F25/E25),0,F25/E25)</f>
        <v>0.92974910394265242</v>
      </c>
      <c r="H25" s="835"/>
      <c r="I25" s="835"/>
      <c r="J25" s="835"/>
      <c r="K25" s="836"/>
      <c r="L25" s="848" t="s">
        <v>501</v>
      </c>
      <c r="M25" s="844"/>
      <c r="N25" s="844"/>
      <c r="O25" s="844"/>
      <c r="P25" s="844"/>
      <c r="Q25" s="845"/>
      <c r="S25" s="68"/>
      <c r="T25" s="66"/>
      <c r="U25" s="66"/>
      <c r="V25" s="66"/>
      <c r="W25" s="66"/>
      <c r="X25" s="66"/>
      <c r="Y25" s="70"/>
      <c r="Z25" s="70"/>
      <c r="AA25" s="70"/>
      <c r="AB25" s="70"/>
      <c r="AC25" s="70"/>
      <c r="AD25" s="70"/>
      <c r="AE25" s="70"/>
      <c r="AF25" s="70"/>
      <c r="AG25" s="70"/>
      <c r="AH25" s="70"/>
      <c r="AI25" s="70"/>
    </row>
    <row r="26" spans="1:35" ht="102" customHeight="1">
      <c r="A26" s="419" t="s">
        <v>463</v>
      </c>
      <c r="B26" s="837" t="str">
        <f>+'Introducerea datelor'!B128</f>
        <v>Rata succesului tratamentului cazurilor noi - Numărul şi procentul cazurilor noi de tuberculoză confirmate bacteriologic, tratate cu succes (vindecate și cu tratamente încheiate), din numărul total de cazuri noi cu tuberculoză confirmate bacteriologic, înregistrate într-un an</v>
      </c>
      <c r="C26" s="837"/>
      <c r="D26" s="837"/>
      <c r="E26" s="429">
        <f ca="1">OFFSET('Introducerea datelor'!$G$115,13,RIGHT('Introducerea datelor'!$C$16,LEN('Introducerea datelor'!$C$16)-1),1,1)</f>
        <v>77</v>
      </c>
      <c r="F26" s="430">
        <f ca="1">OFFSET('Introducerea datelor'!$G$115,14,RIGHT('Introducerea datelor'!$C$16,LEN('Introducerea datelor'!$C$16)-1),1,1)</f>
        <v>72</v>
      </c>
      <c r="G26" s="834">
        <f ca="1">+IF(ISERROR(F26/E26),0,F26/E26)</f>
        <v>0.93506493506493504</v>
      </c>
      <c r="H26" s="835"/>
      <c r="I26" s="835"/>
      <c r="J26" s="835"/>
      <c r="K26" s="836"/>
      <c r="L26" s="846" t="s">
        <v>502</v>
      </c>
      <c r="M26" s="846"/>
      <c r="N26" s="846"/>
      <c r="O26" s="846"/>
      <c r="P26" s="846"/>
      <c r="Q26" s="846"/>
      <c r="S26" s="68"/>
      <c r="T26" s="66" t="e">
        <f>IF($K24&gt;T$19,IF($K24&lt;=T$20,$K24,NA()),NA())</f>
        <v>#N/A</v>
      </c>
      <c r="U26" s="66" t="e">
        <f>IF($K24&gt;U$19,IF($K24&lt;=U$20,$K24,NA()),NA())</f>
        <v>#N/A</v>
      </c>
      <c r="V26" s="66" t="e">
        <f>IF($K24&gt;V$19,IF($K24&lt;=V$20,$K24,NA()),NA())</f>
        <v>#N/A</v>
      </c>
      <c r="W26" s="66" t="e">
        <f>IF($K24&gt;W$19,IF($K24&lt;=W$20,$K24,NA()),NA())</f>
        <v>#N/A</v>
      </c>
      <c r="X26" s="66" t="e">
        <f>IF($K24&gt;X$19,IF($K24&lt;=X$20,1,NA()),NA())</f>
        <v>#N/A</v>
      </c>
      <c r="Y26" s="70"/>
      <c r="Z26" s="70"/>
      <c r="AA26" s="70"/>
      <c r="AB26" s="70"/>
      <c r="AC26" s="70"/>
      <c r="AD26" s="70"/>
      <c r="AE26" s="70"/>
      <c r="AF26" s="70"/>
      <c r="AG26" s="70"/>
      <c r="AH26" s="70"/>
      <c r="AI26" s="70"/>
    </row>
    <row r="27" spans="1:35" ht="139.5" customHeight="1">
      <c r="A27" s="419" t="s">
        <v>444</v>
      </c>
      <c r="B27" s="831" t="str">
        <f>+'Introducerea datelor'!B130</f>
        <v>Numărul și procentul cazurilor retratamente de tuberculoză, care efectuează teste de diagnostic al sensibilității la preparatele de linia I (doar cazurile TB confirmate bacteriologic) - Numărul cazurilor retratamente de tuberculoză cu rezultatele testelor la sensibilitate pentru preparatele isoniazid și rifampicin, înregistrate în perioada de raportare, din numărul total de cazuri retratamente de tuberculoză confirmate bacteriologic, înregistrate în aceeași perioadă</v>
      </c>
      <c r="C27" s="832"/>
      <c r="D27" s="833"/>
      <c r="E27" s="429">
        <f ca="1">OFFSET('Introducerea datelor'!$G$115,15,RIGHT('Introducerea datelor'!$C$16,LEN('Introducerea datelor'!$C$16)-1),1,1)</f>
        <v>95</v>
      </c>
      <c r="F27" s="429">
        <f ca="1">OFFSET('Introducerea datelor'!$G$115,16,RIGHT('Introducerea datelor'!$C$16,LEN('Introducerea datelor'!$C$16)-1),1,1)</f>
        <v>71.3</v>
      </c>
      <c r="G27" s="834">
        <f ca="1">+IF(ISERROR(F27/E27),0,F27/E27)</f>
        <v>0.75052631578947371</v>
      </c>
      <c r="H27" s="835"/>
      <c r="I27" s="835"/>
      <c r="J27" s="835"/>
      <c r="K27" s="836"/>
      <c r="L27" s="846" t="s">
        <v>503</v>
      </c>
      <c r="M27" s="846"/>
      <c r="N27" s="846"/>
      <c r="O27" s="846"/>
      <c r="P27" s="846"/>
      <c r="Q27" s="846"/>
      <c r="S27" s="68"/>
      <c r="T27" s="66" t="e">
        <f>IF(#REF!&gt;T$19,IF(#REF!&lt;=T$20,#REF!,NA()),NA())</f>
        <v>#REF!</v>
      </c>
      <c r="U27" s="66" t="e">
        <f>IF(#REF!&gt;U$19,IF(#REF!&lt;=U$20,#REF!,NA()),NA())</f>
        <v>#REF!</v>
      </c>
      <c r="V27" s="66" t="e">
        <f>IF(#REF!&gt;V$19,IF(#REF!&lt;=V$20,#REF!,NA()),NA())</f>
        <v>#REF!</v>
      </c>
      <c r="W27" s="66" t="e">
        <f>IF(#REF!&gt;W$19,IF(#REF!&lt;=W$20,#REF!,NA()),NA())</f>
        <v>#REF!</v>
      </c>
      <c r="X27" s="66" t="e">
        <f>IF(#REF!&gt;X$19,IF(#REF!&lt;=X$20,1,NA()),NA())</f>
        <v>#REF!</v>
      </c>
      <c r="Y27" s="70"/>
      <c r="Z27" s="70"/>
      <c r="AA27" s="70"/>
      <c r="AB27" s="70"/>
      <c r="AC27" s="70"/>
      <c r="AD27" s="70"/>
      <c r="AE27" s="70"/>
      <c r="AF27" s="70"/>
      <c r="AG27" s="70"/>
      <c r="AH27" s="70"/>
      <c r="AI27" s="70"/>
    </row>
    <row r="28" spans="1:35" ht="66" customHeight="1">
      <c r="A28" s="419" t="s">
        <v>469</v>
      </c>
      <c r="B28" s="831" t="str">
        <f>+'Introducerea datelor'!B132</f>
        <v>Numărul de cazuri de TB DR (RR-TB și/sau MDR-TB), confirmate bacteriologic, notificate</v>
      </c>
      <c r="C28" s="832"/>
      <c r="D28" s="833"/>
      <c r="E28" s="541">
        <f ca="1">OFFSET('Introducerea datelor'!$G$115,17,RIGHT('Introducerea datelor'!$C$16,LEN('Introducerea datelor'!$C$16)-1),1,1)</f>
        <v>456</v>
      </c>
      <c r="F28" s="541">
        <f ca="1">OFFSET('Introducerea datelor'!$G$115,18,RIGHT('Introducerea datelor'!$C$16,LEN('Introducerea datelor'!$C$16)-1),1,1)</f>
        <v>429</v>
      </c>
      <c r="G28" s="838">
        <f ca="1">+IF(ISERROR(F28/E28),0,F28/E28)</f>
        <v>0.94078947368421051</v>
      </c>
      <c r="H28" s="839"/>
      <c r="I28" s="839"/>
      <c r="J28" s="839"/>
      <c r="K28" s="840"/>
      <c r="L28" s="846" t="s">
        <v>504</v>
      </c>
      <c r="M28" s="846"/>
      <c r="N28" s="846"/>
      <c r="O28" s="846"/>
      <c r="P28" s="846"/>
      <c r="Q28" s="846"/>
      <c r="S28" s="68"/>
      <c r="T28" s="66" t="e">
        <f t="shared" si="0"/>
        <v>#N/A</v>
      </c>
      <c r="U28" s="66" t="e">
        <f t="shared" si="0"/>
        <v>#N/A</v>
      </c>
      <c r="V28" s="66" t="e">
        <f t="shared" si="0"/>
        <v>#N/A</v>
      </c>
      <c r="W28" s="66" t="e">
        <f t="shared" si="0"/>
        <v>#N/A</v>
      </c>
      <c r="X28" s="66" t="e">
        <f t="shared" si="2"/>
        <v>#N/A</v>
      </c>
      <c r="Y28" s="70"/>
      <c r="Z28" s="70"/>
      <c r="AA28" s="70"/>
      <c r="AB28" s="70"/>
      <c r="AC28" s="70"/>
      <c r="AD28" s="70"/>
      <c r="AE28" s="70"/>
      <c r="AF28" s="70"/>
      <c r="AG28" s="70"/>
      <c r="AH28" s="70"/>
      <c r="AI28" s="70"/>
    </row>
    <row r="29" spans="1:35" ht="124.5" customHeight="1">
      <c r="A29" s="419" t="s">
        <v>448</v>
      </c>
      <c r="B29" s="831" t="str">
        <f>+'Introducerea datelor'!B134</f>
        <v xml:space="preserve">Numărul cazurilor cu tuberculoză drog-rezistentă (RR-TB și/sau MDR-TB), confirmate bacteriologic, care au demarat tratamentul DOTS-Plus în perioada raportată                 </v>
      </c>
      <c r="C29" s="832"/>
      <c r="D29" s="833"/>
      <c r="E29" s="541">
        <f ca="1">OFFSET('Introducerea datelor'!$G$115,19,RIGHT('Introducerea datelor'!$C$16,LEN('Introducerea datelor'!$C$16)-1),1,1)</f>
        <v>410</v>
      </c>
      <c r="F29" s="541">
        <f ca="1">OFFSET('Introducerea datelor'!$G$115,20,RIGHT('Introducerea datelor'!$C$16,LEN('Introducerea datelor'!$C$16)-1),1,1)</f>
        <v>481</v>
      </c>
      <c r="G29" s="838">
        <f t="shared" ref="G29" ca="1" si="4">+IF(ISERROR(F29/E29),0,F29/E29)</f>
        <v>1.173170731707317</v>
      </c>
      <c r="H29" s="839"/>
      <c r="I29" s="839"/>
      <c r="J29" s="839"/>
      <c r="K29" s="840"/>
      <c r="L29" s="846" t="s">
        <v>505</v>
      </c>
      <c r="M29" s="846"/>
      <c r="N29" s="846"/>
      <c r="O29" s="846"/>
      <c r="P29" s="846"/>
      <c r="Q29" s="846"/>
      <c r="S29" s="68"/>
      <c r="T29" s="66"/>
      <c r="U29" s="66"/>
      <c r="V29" s="66"/>
      <c r="W29" s="66"/>
      <c r="X29" s="66"/>
      <c r="Y29" s="70"/>
      <c r="Z29" s="70"/>
      <c r="AA29" s="70"/>
      <c r="AB29" s="70"/>
      <c r="AC29" s="70"/>
      <c r="AD29" s="70"/>
      <c r="AE29" s="70"/>
      <c r="AF29" s="70"/>
      <c r="AG29" s="70"/>
      <c r="AH29" s="70"/>
      <c r="AI29" s="70"/>
    </row>
    <row r="30" spans="1:35" ht="122.25" customHeight="1">
      <c r="A30" s="419" t="s">
        <v>449</v>
      </c>
      <c r="B30" s="831" t="str">
        <f>+'Introducerea datelor'!B136</f>
        <v xml:space="preserve">Rezultatul interimar de abandon al tratamentului cazurilor MDR-TB: numărul și procentul pacienţilor cu tuberculoză drog-rezistentă (RR-TB și/sau MDR-TB) care au întrerupt tratamentul DOTS-Plus către luna a 6 de la demararea acestuia   </v>
      </c>
      <c r="C30" s="832"/>
      <c r="D30" s="833"/>
      <c r="E30" s="429">
        <f ca="1">OFFSET('Introducerea datelor'!$G$115,21,RIGHT('Introducerea datelor'!$C$16,LEN('Introducerea datelor'!$C$16)-1),1,1)</f>
        <v>6.6</v>
      </c>
      <c r="F30" s="429">
        <f ca="1">OFFSET('Introducerea datelor'!$G$115,22,RIGHT('Introducerea datelor'!$C$16,LEN('Introducerea datelor'!$C$16)-1),1,1)</f>
        <v>8.6999999999999993</v>
      </c>
      <c r="G30" s="838">
        <f ca="1">+IF(ISERROR(E30/F30),0,E30/F30)</f>
        <v>0.75862068965517249</v>
      </c>
      <c r="H30" s="839"/>
      <c r="I30" s="839"/>
      <c r="J30" s="839"/>
      <c r="K30" s="840"/>
      <c r="L30" s="846" t="s">
        <v>506</v>
      </c>
      <c r="M30" s="846"/>
      <c r="N30" s="846"/>
      <c r="O30" s="846"/>
      <c r="P30" s="846"/>
      <c r="Q30" s="846"/>
      <c r="S30" s="68"/>
      <c r="T30" s="66"/>
      <c r="U30" s="66"/>
      <c r="V30" s="66"/>
      <c r="W30" s="66"/>
      <c r="X30" s="66"/>
      <c r="Y30" s="70"/>
      <c r="Z30" s="70"/>
      <c r="AA30" s="70"/>
      <c r="AB30" s="70"/>
      <c r="AC30" s="70"/>
      <c r="AD30" s="70"/>
      <c r="AE30" s="70"/>
      <c r="AF30" s="70"/>
      <c r="AG30" s="70"/>
      <c r="AH30" s="70"/>
      <c r="AI30" s="70"/>
    </row>
    <row r="31" spans="1:35" ht="22.5" customHeight="1">
      <c r="A31" s="380"/>
      <c r="B31" s="830"/>
      <c r="C31" s="830"/>
      <c r="D31" s="830"/>
      <c r="E31" s="830"/>
      <c r="F31" s="829"/>
      <c r="G31" s="829"/>
      <c r="H31" s="829"/>
      <c r="I31" s="829"/>
      <c r="J31" s="829"/>
      <c r="K31" s="829"/>
      <c r="L31" s="847"/>
      <c r="M31" s="847"/>
      <c r="N31" s="847"/>
      <c r="O31" s="847"/>
      <c r="P31" s="847"/>
      <c r="Q31" s="502"/>
      <c r="S31" s="68"/>
      <c r="T31" s="66" t="e">
        <f>IF($K28&gt;T$19,IF($K28&lt;=T$20,$K28,NA()),NA())</f>
        <v>#N/A</v>
      </c>
      <c r="U31" s="66" t="e">
        <f>IF($K28&gt;U$19,IF($K28&lt;=U$20,$K28,NA()),NA())</f>
        <v>#N/A</v>
      </c>
      <c r="V31" s="66" t="e">
        <f>IF($K28&gt;V$19,IF($K28&lt;=V$20,$K28,NA()),NA())</f>
        <v>#N/A</v>
      </c>
      <c r="W31" s="66" t="e">
        <f>IF($K28&gt;W$19,IF($K28&lt;=W$20,$K28,NA()),NA())</f>
        <v>#N/A</v>
      </c>
      <c r="X31" s="66" t="e">
        <f>IF($K28&gt;X$19,IF($K28&lt;=X$20,1,NA()),NA())</f>
        <v>#N/A</v>
      </c>
      <c r="Y31" s="70"/>
      <c r="Z31" s="70"/>
      <c r="AA31" s="70"/>
      <c r="AB31" s="70"/>
      <c r="AC31" s="70"/>
      <c r="AD31" s="70"/>
      <c r="AE31" s="70"/>
      <c r="AF31" s="70"/>
      <c r="AG31" s="70"/>
      <c r="AH31" s="70"/>
      <c r="AI31" s="70"/>
    </row>
    <row r="32" spans="1:35" ht="22.5" customHeight="1">
      <c r="A32" s="380"/>
      <c r="B32" s="852"/>
      <c r="C32" s="852"/>
      <c r="D32" s="852"/>
      <c r="E32" s="853"/>
      <c r="F32" s="841"/>
      <c r="G32" s="842"/>
      <c r="H32" s="842"/>
      <c r="I32" s="842"/>
      <c r="J32" s="842"/>
      <c r="K32" s="853"/>
      <c r="L32" s="841"/>
      <c r="M32" s="842"/>
      <c r="N32" s="842"/>
      <c r="O32" s="842"/>
      <c r="P32" s="842"/>
      <c r="S32" s="68"/>
      <c r="T32" s="66" t="e">
        <f>IF(#REF!&gt;T$19,IF(#REF!&lt;=T$20,#REF!,NA()),NA())</f>
        <v>#REF!</v>
      </c>
      <c r="U32" s="66" t="e">
        <f>IF(#REF!&gt;U$19,IF(#REF!&lt;=U$20,#REF!,NA()),NA())</f>
        <v>#REF!</v>
      </c>
      <c r="V32" s="66" t="e">
        <f>IF(#REF!&gt;V$19,IF(#REF!&lt;=V$20,#REF!,NA()),NA())</f>
        <v>#REF!</v>
      </c>
      <c r="W32" s="66" t="e">
        <f>IF(#REF!&gt;W$19,IF(#REF!&lt;=W$20,#REF!,NA()),NA())</f>
        <v>#REF!</v>
      </c>
      <c r="X32" s="66" t="e">
        <f>IF(#REF!&gt;X$19,IF(#REF!&lt;=X$20,1,NA()),NA())</f>
        <v>#REF!</v>
      </c>
      <c r="Y32" s="70"/>
      <c r="Z32" s="70"/>
      <c r="AA32" s="70"/>
      <c r="AB32" s="70"/>
      <c r="AC32" s="70"/>
      <c r="AD32" s="70"/>
      <c r="AE32" s="70"/>
      <c r="AF32" s="70"/>
      <c r="AG32" s="70"/>
      <c r="AH32" s="70"/>
      <c r="AI32" s="70"/>
    </row>
    <row r="33" spans="1:35">
      <c r="A33" s="380"/>
      <c r="B33" s="189"/>
      <c r="C33" s="189"/>
      <c r="D33" s="189"/>
      <c r="E33" s="384"/>
      <c r="F33" s="384"/>
      <c r="G33" s="189"/>
      <c r="H33" s="190"/>
      <c r="I33" s="189"/>
      <c r="J33" s="189"/>
      <c r="K33" s="189"/>
      <c r="L33" s="189"/>
      <c r="M33" s="189"/>
      <c r="N33" s="189"/>
      <c r="O33" s="189"/>
      <c r="P33" s="189"/>
      <c r="S33" s="68"/>
      <c r="T33" s="66" t="e">
        <f t="shared" si="0"/>
        <v>#N/A</v>
      </c>
      <c r="U33" s="66" t="e">
        <f t="shared" si="0"/>
        <v>#N/A</v>
      </c>
      <c r="V33" s="66" t="e">
        <f t="shared" si="0"/>
        <v>#N/A</v>
      </c>
      <c r="W33" s="66" t="e">
        <f t="shared" si="0"/>
        <v>#N/A</v>
      </c>
      <c r="X33" s="66" t="e">
        <f t="shared" si="2"/>
        <v>#N/A</v>
      </c>
      <c r="Y33" s="70"/>
      <c r="Z33" s="70"/>
      <c r="AA33" s="70"/>
      <c r="AB33" s="70"/>
      <c r="AC33" s="70"/>
      <c r="AD33" s="70"/>
      <c r="AE33" s="70"/>
      <c r="AF33" s="70"/>
      <c r="AG33" s="70"/>
      <c r="AH33" s="70"/>
      <c r="AI33" s="70"/>
    </row>
    <row r="34" spans="1:35">
      <c r="A34" s="380"/>
      <c r="B34" s="851"/>
      <c r="C34" s="851"/>
      <c r="D34" s="851"/>
      <c r="E34" s="851"/>
      <c r="F34" s="851"/>
      <c r="G34" s="851"/>
      <c r="H34" s="851"/>
      <c r="I34" s="851"/>
      <c r="J34" s="851"/>
      <c r="K34" s="851"/>
      <c r="L34" s="189"/>
      <c r="M34" s="189"/>
      <c r="N34" s="189"/>
      <c r="O34" s="189"/>
      <c r="P34" s="189"/>
      <c r="S34" s="68"/>
      <c r="T34" s="66" t="e">
        <f t="shared" si="0"/>
        <v>#N/A</v>
      </c>
      <c r="U34" s="66" t="e">
        <f t="shared" si="0"/>
        <v>#N/A</v>
      </c>
      <c r="V34" s="66" t="e">
        <f t="shared" si="0"/>
        <v>#N/A</v>
      </c>
      <c r="W34" s="66" t="e">
        <f t="shared" si="0"/>
        <v>#N/A</v>
      </c>
      <c r="X34" s="66" t="e">
        <f t="shared" si="2"/>
        <v>#N/A</v>
      </c>
      <c r="Y34" s="70"/>
      <c r="Z34" s="70"/>
      <c r="AA34" s="70"/>
      <c r="AB34" s="70"/>
      <c r="AC34" s="70"/>
      <c r="AD34" s="70"/>
      <c r="AE34" s="70"/>
      <c r="AF34" s="70"/>
      <c r="AG34" s="70"/>
      <c r="AH34" s="70"/>
      <c r="AI34" s="70"/>
    </row>
    <row r="35" spans="1:35">
      <c r="A35" s="380"/>
      <c r="B35" s="851"/>
      <c r="C35" s="851"/>
      <c r="D35" s="851"/>
      <c r="E35" s="851"/>
      <c r="F35" s="851"/>
      <c r="G35" s="851"/>
      <c r="H35" s="851"/>
      <c r="I35" s="851"/>
      <c r="J35" s="851"/>
      <c r="K35" s="851"/>
      <c r="L35" s="189"/>
      <c r="M35" s="189"/>
      <c r="N35" s="189"/>
      <c r="O35" s="189"/>
      <c r="P35" s="189"/>
      <c r="S35" s="70"/>
      <c r="T35" s="70"/>
      <c r="U35" s="70"/>
      <c r="V35" s="70"/>
      <c r="W35" s="70"/>
      <c r="X35" s="70"/>
      <c r="Y35" s="70"/>
      <c r="Z35" s="70"/>
      <c r="AA35" s="70"/>
      <c r="AB35" s="70"/>
      <c r="AC35" s="70"/>
      <c r="AD35" s="70"/>
      <c r="AE35" s="70"/>
      <c r="AF35" s="70"/>
      <c r="AG35" s="70"/>
      <c r="AH35" s="70"/>
      <c r="AI35" s="70"/>
    </row>
    <row r="36" spans="1:35">
      <c r="A36" s="380"/>
      <c r="B36" s="3"/>
      <c r="C36" s="3"/>
      <c r="D36" s="3"/>
      <c r="E36" s="383"/>
      <c r="F36" s="383"/>
      <c r="G36" s="3"/>
      <c r="H36" s="3"/>
      <c r="I36" s="98"/>
      <c r="J36" s="98"/>
      <c r="K36" s="98"/>
      <c r="L36" s="3"/>
      <c r="M36" s="3"/>
      <c r="N36" s="3"/>
      <c r="O36" s="3"/>
      <c r="P36" s="3"/>
      <c r="S36" s="70"/>
      <c r="T36" s="70"/>
      <c r="U36" s="70"/>
      <c r="V36" s="70"/>
      <c r="W36" s="70"/>
      <c r="X36" s="70"/>
      <c r="Y36" s="70"/>
      <c r="Z36" s="70"/>
      <c r="AA36" s="70"/>
      <c r="AB36" s="70"/>
      <c r="AC36" s="70"/>
      <c r="AD36" s="70"/>
      <c r="AE36" s="70"/>
      <c r="AF36" s="70"/>
      <c r="AG36" s="70"/>
      <c r="AH36" s="70"/>
      <c r="AI36" s="70"/>
    </row>
    <row r="37" spans="1:35">
      <c r="A37" s="380"/>
      <c r="B37" s="3"/>
      <c r="C37" s="3"/>
      <c r="D37" s="3"/>
      <c r="E37" s="383"/>
      <c r="F37" s="383"/>
      <c r="G37" s="3"/>
      <c r="H37" s="3"/>
      <c r="I37" s="139"/>
      <c r="J37" s="140"/>
      <c r="K37" s="140"/>
      <c r="L37" s="3"/>
      <c r="M37" s="3"/>
      <c r="N37" s="3"/>
      <c r="O37" s="3"/>
      <c r="P37" s="3"/>
      <c r="S37" s="70"/>
      <c r="T37" s="70"/>
      <c r="U37" s="70"/>
      <c r="V37" s="70"/>
      <c r="W37" s="70"/>
      <c r="X37" s="70"/>
      <c r="Y37" s="70"/>
      <c r="Z37" s="70"/>
      <c r="AA37" s="70"/>
      <c r="AB37" s="70"/>
      <c r="AC37" s="70"/>
      <c r="AD37" s="70"/>
      <c r="AE37" s="70"/>
      <c r="AF37" s="70"/>
      <c r="AG37" s="70"/>
      <c r="AH37" s="70"/>
      <c r="AI37" s="70"/>
    </row>
    <row r="38" spans="1:35">
      <c r="A38" s="380"/>
      <c r="B38" s="3"/>
      <c r="C38" s="3"/>
      <c r="D38" s="3"/>
      <c r="E38" s="383"/>
      <c r="F38" s="383"/>
      <c r="G38" s="3"/>
      <c r="H38" s="3"/>
      <c r="I38" s="141"/>
      <c r="J38" s="142"/>
      <c r="K38" s="100"/>
      <c r="L38" s="3"/>
      <c r="M38" s="3"/>
      <c r="N38" s="3"/>
      <c r="O38" s="3"/>
      <c r="P38" s="3"/>
      <c r="S38" s="70"/>
      <c r="T38" s="70"/>
      <c r="U38" s="70"/>
      <c r="V38" s="70"/>
      <c r="W38" s="70"/>
      <c r="X38" s="70"/>
      <c r="Y38" s="70"/>
      <c r="Z38" s="70"/>
      <c r="AA38" s="70"/>
      <c r="AB38" s="70"/>
      <c r="AC38" s="70"/>
      <c r="AD38" s="70"/>
      <c r="AE38" s="70"/>
      <c r="AF38" s="70"/>
      <c r="AG38" s="70"/>
      <c r="AH38" s="70"/>
      <c r="AI38" s="70"/>
    </row>
    <row r="39" spans="1:35">
      <c r="A39" s="380"/>
      <c r="B39" s="3"/>
      <c r="C39" s="3"/>
      <c r="D39" s="3"/>
      <c r="E39" s="383"/>
      <c r="F39" s="383"/>
      <c r="G39" s="3"/>
      <c r="H39" s="3"/>
      <c r="I39" s="143"/>
      <c r="J39" s="142"/>
      <c r="K39" s="100"/>
      <c r="L39" s="3"/>
      <c r="M39" s="3"/>
      <c r="N39" s="3"/>
      <c r="O39" s="3"/>
      <c r="P39" s="3"/>
      <c r="S39" s="70"/>
      <c r="T39" s="70"/>
      <c r="U39" s="70"/>
      <c r="V39" s="70"/>
      <c r="W39" s="70"/>
      <c r="X39" s="70"/>
      <c r="Y39" s="70"/>
      <c r="Z39" s="70"/>
      <c r="AA39" s="70"/>
      <c r="AB39" s="70"/>
      <c r="AC39" s="70"/>
      <c r="AD39" s="70"/>
      <c r="AE39" s="70"/>
      <c r="AF39" s="70"/>
      <c r="AG39" s="70"/>
      <c r="AH39" s="70"/>
      <c r="AI39" s="70"/>
    </row>
    <row r="40" spans="1:35">
      <c r="A40" s="380"/>
      <c r="B40" s="3"/>
      <c r="C40" s="3"/>
      <c r="D40" s="3"/>
      <c r="E40" s="383"/>
      <c r="F40" s="383"/>
      <c r="G40" s="3"/>
      <c r="H40" s="3"/>
      <c r="I40" s="141"/>
      <c r="J40" s="142"/>
      <c r="K40" s="100"/>
      <c r="L40" s="3"/>
      <c r="M40" s="3"/>
      <c r="N40" s="3"/>
      <c r="O40" s="3"/>
      <c r="P40" s="3"/>
      <c r="S40" s="70"/>
      <c r="T40" s="70"/>
      <c r="U40" s="70"/>
      <c r="V40" s="70"/>
      <c r="W40" s="70"/>
      <c r="X40" s="70"/>
      <c r="Y40" s="70"/>
      <c r="Z40" s="70"/>
      <c r="AA40" s="70"/>
      <c r="AB40" s="70"/>
      <c r="AC40" s="70"/>
      <c r="AD40" s="70"/>
      <c r="AE40" s="70"/>
      <c r="AF40" s="70"/>
      <c r="AG40" s="70"/>
      <c r="AH40" s="70"/>
      <c r="AI40" s="70"/>
    </row>
    <row r="41" spans="1:35">
      <c r="A41" s="380"/>
      <c r="B41" s="3"/>
      <c r="C41" s="3"/>
      <c r="D41" s="3"/>
      <c r="E41" s="383"/>
      <c r="F41" s="383"/>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380"/>
      <c r="B42" s="3"/>
      <c r="C42" s="3"/>
      <c r="D42" s="3"/>
      <c r="E42" s="383"/>
      <c r="F42" s="383"/>
      <c r="G42" s="3"/>
      <c r="H42" s="3"/>
      <c r="I42" s="3"/>
      <c r="J42" s="3"/>
      <c r="K42" s="3"/>
      <c r="L42" s="3"/>
      <c r="M42" s="3"/>
      <c r="N42" s="3"/>
      <c r="O42" s="3"/>
      <c r="P42" s="3"/>
      <c r="S42" s="70"/>
      <c r="T42" s="70"/>
      <c r="U42" s="70"/>
      <c r="V42" s="70"/>
      <c r="W42" s="70"/>
      <c r="X42" s="70"/>
      <c r="Y42" s="70"/>
      <c r="Z42" s="70"/>
      <c r="AA42" s="70"/>
      <c r="AB42" s="70"/>
      <c r="AC42" s="70"/>
      <c r="AD42" s="70"/>
      <c r="AE42" s="70"/>
      <c r="AF42" s="70"/>
      <c r="AG42" s="70"/>
      <c r="AH42" s="70"/>
      <c r="AI42" s="70"/>
    </row>
    <row r="43" spans="1:35">
      <c r="A43" s="380"/>
      <c r="B43" s="3"/>
      <c r="C43" s="3"/>
      <c r="D43" s="3"/>
      <c r="E43" s="383"/>
      <c r="F43" s="383"/>
      <c r="G43" s="3"/>
      <c r="H43" s="3"/>
      <c r="I43" s="3"/>
      <c r="J43" s="3"/>
      <c r="K43" s="3"/>
      <c r="L43" s="3"/>
      <c r="M43" s="3"/>
      <c r="N43" s="3"/>
      <c r="O43" s="3"/>
      <c r="P43" s="3"/>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row r="47" spans="1:35">
      <c r="S47" s="63"/>
      <c r="T47" s="63"/>
      <c r="U47" s="63"/>
      <c r="V47" s="63"/>
      <c r="W47" s="63"/>
      <c r="X47" s="63"/>
      <c r="Y47" s="63"/>
      <c r="Z47" s="63"/>
      <c r="AA47" s="63"/>
      <c r="AB47" s="63"/>
    </row>
  </sheetData>
  <mergeCells count="61">
    <mergeCell ref="B2:Q2"/>
    <mergeCell ref="D5:N5"/>
    <mergeCell ref="F6:K6"/>
    <mergeCell ref="E3:K3"/>
    <mergeCell ref="C4:D4"/>
    <mergeCell ref="G24:K24"/>
    <mergeCell ref="G26:K26"/>
    <mergeCell ref="L19:Q19"/>
    <mergeCell ref="L26:Q26"/>
    <mergeCell ref="G22:K22"/>
    <mergeCell ref="G19:H19"/>
    <mergeCell ref="I19:J19"/>
    <mergeCell ref="L25:Q25"/>
    <mergeCell ref="E18:K18"/>
    <mergeCell ref="B19:D19"/>
    <mergeCell ref="B20:D20"/>
    <mergeCell ref="G20:K20"/>
    <mergeCell ref="B34:D35"/>
    <mergeCell ref="E34:G35"/>
    <mergeCell ref="H34:K35"/>
    <mergeCell ref="B23:D23"/>
    <mergeCell ref="B24:D24"/>
    <mergeCell ref="B22:D22"/>
    <mergeCell ref="G21:K21"/>
    <mergeCell ref="B32:E32"/>
    <mergeCell ref="F32:K32"/>
    <mergeCell ref="B21:D21"/>
    <mergeCell ref="G28:K28"/>
    <mergeCell ref="G23:K23"/>
    <mergeCell ref="L32:P32"/>
    <mergeCell ref="L20:Q20"/>
    <mergeCell ref="L21:Q21"/>
    <mergeCell ref="L22:Q22"/>
    <mergeCell ref="L28:Q28"/>
    <mergeCell ref="L31:P31"/>
    <mergeCell ref="L23:Q23"/>
    <mergeCell ref="L24:Q24"/>
    <mergeCell ref="L27:Q27"/>
    <mergeCell ref="L29:Q29"/>
    <mergeCell ref="L30:Q30"/>
    <mergeCell ref="F31:K31"/>
    <mergeCell ref="B31:E31"/>
    <mergeCell ref="B27:D27"/>
    <mergeCell ref="B28:D28"/>
    <mergeCell ref="G25:K25"/>
    <mergeCell ref="B25:D25"/>
    <mergeCell ref="B26:D26"/>
    <mergeCell ref="G27:K27"/>
    <mergeCell ref="B29:D29"/>
    <mergeCell ref="B30:D30"/>
    <mergeCell ref="G29:K29"/>
    <mergeCell ref="G30:K30"/>
    <mergeCell ref="C9:E9"/>
    <mergeCell ref="G9:K9"/>
    <mergeCell ref="M9:Q9"/>
    <mergeCell ref="C3:D3"/>
    <mergeCell ref="E4:L4"/>
    <mergeCell ref="N3:P3"/>
    <mergeCell ref="M8:Q8"/>
    <mergeCell ref="G8:K8"/>
    <mergeCell ref="C8:E8"/>
  </mergeCells>
  <phoneticPr fontId="23" type="noConversion"/>
  <conditionalFormatting sqref="C4:D4">
    <cfRule type="cellIs" dxfId="11" priority="56" stopIfTrue="1" operator="equal">
      <formula>"C"</formula>
    </cfRule>
    <cfRule type="cellIs" dxfId="10" priority="57" stopIfTrue="1" operator="equal">
      <formula>"B2"</formula>
    </cfRule>
    <cfRule type="cellIs" dxfId="9" priority="58" stopIfTrue="1" operator="equal">
      <formula>"B1"</formula>
    </cfRule>
  </conditionalFormatting>
  <conditionalFormatting sqref="G20:G30">
    <cfRule type="cellIs" dxfId="8" priority="62" stopIfTrue="1" operator="between">
      <formula>0</formula>
      <formula>0.599</formula>
    </cfRule>
    <cfRule type="cellIs" dxfId="7" priority="63" stopIfTrue="1" operator="between">
      <formula>0.6</formula>
      <formula>0.899</formula>
    </cfRule>
    <cfRule type="cellIs" dxfId="6" priority="64" stopIfTrue="1" operator="greaterThanOrEqual">
      <formula>0.9</formula>
    </cfRule>
  </conditionalFormatting>
  <pageMargins left="0.70866141732283472" right="0.70866141732283472" top="0.74803149606299213" bottom="0.74803149606299213" header="0.31496062992125984" footer="0.31496062992125984"/>
  <pageSetup paperSize="8" scale="66" orientation="portrait" r:id="rId1"/>
  <headerFooter alignWithMargins="0">
    <oddFooter>&amp;L&amp;F&amp;C&amp;A&amp;RV1.0          &amp;D</oddFooter>
  </headerFooter>
  <rowBreaks count="1" manualBreakCount="1">
    <brk id="30"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T42"/>
  <sheetViews>
    <sheetView showGridLines="0" view="pageBreakPreview" zoomScale="75" zoomScaleNormal="90" zoomScaleSheetLayoutView="75" workbookViewId="0">
      <selection activeCell="Q12" sqref="Q12"/>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38.140625"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45"/>
      <c r="B1" s="145"/>
      <c r="C1" s="145"/>
      <c r="D1" s="145"/>
      <c r="E1" s="145"/>
      <c r="F1" s="145"/>
      <c r="G1" s="145"/>
      <c r="H1" s="145"/>
      <c r="I1" s="145"/>
      <c r="J1" s="145"/>
      <c r="K1" s="146"/>
      <c r="L1" s="145"/>
      <c r="M1" s="145"/>
      <c r="N1" s="145"/>
    </row>
    <row r="2" spans="1:15" customFormat="1" ht="27.75" customHeight="1">
      <c r="A2" s="3"/>
      <c r="B2" s="861" t="str">
        <f>+"Tabel Programatic de evaluare:  "&amp;"  "&amp;IF(+'Introducerea datelor'!C4="Please Select","",'Introducerea datelor'!C4&amp;" - ")&amp;IF('Introducerea datelor'!G6="Please Select","",'Introducerea datelor'!G6)</f>
        <v>Tabel Programatic de evaluare:    Moldova - TB</v>
      </c>
      <c r="C2" s="861"/>
      <c r="D2" s="861"/>
      <c r="E2" s="861"/>
      <c r="F2" s="861"/>
      <c r="G2" s="861"/>
      <c r="H2" s="861"/>
      <c r="I2" s="861"/>
      <c r="J2" s="861"/>
      <c r="K2" s="861"/>
      <c r="L2" s="861"/>
      <c r="M2" s="861"/>
      <c r="N2" s="861"/>
      <c r="O2" s="72"/>
    </row>
    <row r="3" spans="1:15" customFormat="1" ht="18.75">
      <c r="A3" s="3"/>
      <c r="B3" s="128" t="str">
        <f>+IF('Introducerea datelor'!G8="Please Select","",'Introducerea datelor'!G8)</f>
        <v/>
      </c>
      <c r="C3" s="820" t="str">
        <f>+IF('Introducerea datelor'!I8="Please Select","",'Introducerea datelor'!I8)</f>
        <v>Period 1</v>
      </c>
      <c r="D3" s="820"/>
      <c r="E3" s="369"/>
      <c r="F3" s="369"/>
      <c r="G3" s="369"/>
      <c r="H3" s="369"/>
      <c r="I3" s="369"/>
      <c r="J3" s="369"/>
      <c r="K3" s="369"/>
      <c r="L3" s="128" t="str">
        <f>+'Introducerea datelor'!B16</f>
        <v>Perioada de Raportare:</v>
      </c>
      <c r="M3" s="163" t="str">
        <f>+'Introducerea datelor'!C16</f>
        <v>P1</v>
      </c>
      <c r="N3" s="163"/>
      <c r="O3" s="30"/>
    </row>
    <row r="4" spans="1:15" customFormat="1" ht="15">
      <c r="A4" s="3"/>
      <c r="B4" s="128" t="str">
        <f>+'Introducerea datelor'!B12</f>
        <v>Ultimul Rating:</v>
      </c>
      <c r="C4" s="864">
        <f>+IF('Introducerea datelor'!C12="Please Select","",'Introducerea datelor'!C12)</f>
        <v>0</v>
      </c>
      <c r="D4" s="864"/>
      <c r="E4" s="819" t="str">
        <f>+'Introducerea datelor'!C8</f>
        <v>IP UCIMP DS</v>
      </c>
      <c r="F4" s="819"/>
      <c r="G4" s="819"/>
      <c r="H4" s="819"/>
      <c r="I4" s="819"/>
      <c r="J4" s="819"/>
      <c r="K4" s="819"/>
      <c r="L4" s="128" t="str">
        <f>+'Introducerea datelor'!D16</f>
        <v>De la:</v>
      </c>
      <c r="M4" s="164">
        <f>+IF(ISBLANK('Introducerea datelor'!E16),"",'Introducerea datelor'!E16)</f>
        <v>42186</v>
      </c>
      <c r="N4" s="164"/>
      <c r="O4" s="30"/>
    </row>
    <row r="5" spans="1:15" customFormat="1" ht="18.75" customHeight="1">
      <c r="A5" s="3"/>
      <c r="B5" s="128"/>
      <c r="C5" s="128"/>
      <c r="D5" s="129"/>
      <c r="E5" s="819" t="str">
        <f>+'Introducerea datelor'!G4</f>
        <v>Consolidarea controlului Tuberculozei în Republica Moldova</v>
      </c>
      <c r="F5" s="819"/>
      <c r="G5" s="819"/>
      <c r="H5" s="819"/>
      <c r="I5" s="819"/>
      <c r="J5" s="819"/>
      <c r="K5" s="819"/>
      <c r="L5" s="128" t="str">
        <f>+'Introducerea datelor'!F16</f>
        <v>Pînă la:</v>
      </c>
      <c r="M5" s="164">
        <f>+IF(ISBLANK('Introducerea datelor'!G16),"",'Introducerea datelor'!G16)</f>
        <v>42369</v>
      </c>
      <c r="N5" s="164"/>
    </row>
    <row r="6" spans="1:15" customFormat="1" ht="22.5" customHeight="1">
      <c r="A6" s="3"/>
      <c r="B6" s="133"/>
      <c r="C6" s="134"/>
      <c r="D6" s="135"/>
      <c r="E6" s="893" t="s">
        <v>394</v>
      </c>
      <c r="F6" s="893"/>
      <c r="G6" s="893"/>
      <c r="H6" s="893"/>
      <c r="I6" s="893"/>
      <c r="J6" s="893"/>
      <c r="K6" s="893"/>
      <c r="L6" s="2"/>
      <c r="M6" s="2"/>
      <c r="N6" s="2"/>
    </row>
    <row r="7" spans="1:15" s="32" customFormat="1" ht="4.5" customHeight="1">
      <c r="A7" s="147"/>
      <c r="B7" s="148"/>
      <c r="C7" s="148"/>
      <c r="D7" s="148"/>
      <c r="E7" s="148"/>
      <c r="F7" s="148"/>
      <c r="G7" s="148"/>
      <c r="H7" s="148"/>
      <c r="I7" s="148"/>
      <c r="J7" s="148"/>
      <c r="K7" s="148"/>
      <c r="L7" s="149"/>
      <c r="M7" s="149"/>
      <c r="N7" s="150"/>
    </row>
    <row r="8" spans="1:15" s="32" customFormat="1" ht="21" customHeight="1" thickBot="1">
      <c r="A8" s="147"/>
      <c r="B8" s="892" t="s">
        <v>400</v>
      </c>
      <c r="C8" s="892"/>
      <c r="D8" s="892"/>
      <c r="E8" s="892"/>
      <c r="F8" s="892"/>
      <c r="G8" s="892"/>
      <c r="H8" s="892"/>
      <c r="I8" s="892"/>
      <c r="J8" s="892"/>
      <c r="K8" s="892"/>
      <c r="L8" s="892"/>
      <c r="M8" s="892"/>
      <c r="N8" s="892"/>
    </row>
    <row r="9" spans="1:15" s="32" customFormat="1" ht="3.75" customHeight="1" thickBot="1">
      <c r="A9" s="147"/>
      <c r="B9" s="148"/>
      <c r="C9" s="148"/>
      <c r="D9" s="148"/>
      <c r="E9" s="148"/>
      <c r="F9" s="148"/>
      <c r="G9" s="148"/>
      <c r="H9" s="148"/>
      <c r="I9" s="148"/>
      <c r="J9" s="148"/>
      <c r="K9" s="148"/>
      <c r="L9" s="149"/>
      <c r="M9" s="149"/>
      <c r="N9" s="150"/>
    </row>
    <row r="10" spans="1:15" s="33" customFormat="1" ht="25.5" customHeight="1" thickBot="1">
      <c r="A10" s="151"/>
      <c r="B10" s="910" t="s">
        <v>395</v>
      </c>
      <c r="C10" s="911"/>
      <c r="D10" s="900" t="s">
        <v>396</v>
      </c>
      <c r="E10" s="901"/>
      <c r="F10" s="901"/>
      <c r="G10" s="902"/>
      <c r="H10" s="152"/>
      <c r="I10" s="900" t="s">
        <v>394</v>
      </c>
      <c r="J10" s="901"/>
      <c r="K10" s="901"/>
      <c r="L10" s="901"/>
      <c r="M10" s="901"/>
      <c r="N10" s="902"/>
    </row>
    <row r="11" spans="1:15" s="33" customFormat="1" ht="42.75" customHeight="1">
      <c r="A11" s="151"/>
      <c r="B11" s="389" t="s">
        <v>58</v>
      </c>
      <c r="C11" s="390"/>
      <c r="D11" s="919" t="str">
        <f>IF(ISBLANK(Financiar!C9),"",(Financiar!C9))</f>
        <v>Fondul Global a debursat în avans 2 488 378,00 EUR din suma grantului la data de 17 iulie 2015.</v>
      </c>
      <c r="E11" s="919"/>
      <c r="F11" s="919"/>
      <c r="G11" s="920"/>
      <c r="H11" s="504"/>
      <c r="I11" s="912"/>
      <c r="J11" s="913"/>
      <c r="K11" s="913"/>
      <c r="L11" s="913"/>
      <c r="M11" s="913"/>
      <c r="N11" s="914"/>
    </row>
    <row r="12" spans="1:15" s="33" customFormat="1" ht="152.25" customHeight="1">
      <c r="A12" s="151"/>
      <c r="B12" s="393" t="s">
        <v>59</v>
      </c>
      <c r="C12" s="394"/>
      <c r="D12" s="884" t="str">
        <f>IF(ISBLANK(Financiar!C23),"",(Financiar!C23))</f>
        <v xml:space="preserve">
În cadrul activităților din Obiectivul I au fost valorificați                 248 005,81 EUR față de 724 392,08 EUR bugetați pentru perioada raportată (34,2%). 
În cadrul activităților din Obiectivul II au fost valorificați 
1 344 420,97 EUR față de 2 189 086,93 EUR bugetați pentru perioada raportată (61,4%).
În cadrul activităților din Obiectivul V au fost valorificați                 50 913,85 EUR față de 95 465,5 EUR bugetați pentru perioada raportată (53,3%).
Totodată au fost finalizate angajamentele pentru perioada II a Grantului consolidat în sumă de 11 710,80 EUR.
Analiza detaliată a cheltuielilor, inclusiv sumele restante și economiile obținute către 31 decembrie 2015 sunt prezentate în nota informativă narativă la dashboard.
</v>
      </c>
      <c r="E12" s="884"/>
      <c r="F12" s="884"/>
      <c r="G12" s="915"/>
      <c r="H12" s="504"/>
      <c r="I12" s="912"/>
      <c r="J12" s="913"/>
      <c r="K12" s="913"/>
      <c r="L12" s="913"/>
      <c r="M12" s="913"/>
      <c r="N12" s="914"/>
    </row>
    <row r="13" spans="1:15" s="33" customFormat="1" ht="135.75" customHeight="1">
      <c r="A13" s="151"/>
      <c r="B13" s="393" t="s">
        <v>60</v>
      </c>
      <c r="C13" s="394"/>
      <c r="D13" s="884" t="str">
        <f>IF(ISBLANK(Financiar!I9),"",(Financiar!I9))</f>
        <v>În perioada 01 Iulie - 31 Decembrie 2015, au fost valorificați 
1 741 265,07 EUR față de 3 093 788,06 EUR bugetați pentru perioada raportată, ceea ce constituie 56,3%.
Variația pentru perioada cumulativă constituie suma de                   1 352 522,99 EUR, compusă din:  
(-) 35 171,29 EUR – cheltuieli peste nivelul planificat,
1 401 910,66 EUR – cheltuieli sub nivelul planificat, 
(-) 11,710.79 EUR – angajamente din perioada 2 a Grantului TB consolidat la data de 30 Iunie 2015 și 
(-) 2 505,59 EUR utilizarea dobânzii inițial ne bugetate. 
Analiza detaliată a cheltuielilor, inclusiv sumele restante și economiile obținute către 31 decembrie 2015 sunt prezentate în nota informativă narativă la dashboard.</v>
      </c>
      <c r="E13" s="884"/>
      <c r="F13" s="884"/>
      <c r="G13" s="915"/>
      <c r="H13" s="504"/>
      <c r="I13" s="912"/>
      <c r="J13" s="913"/>
      <c r="K13" s="913"/>
      <c r="L13" s="913"/>
      <c r="M13" s="913"/>
      <c r="N13" s="914"/>
    </row>
    <row r="14" spans="1:15" s="33" customFormat="1" ht="61.5" customHeight="1" thickBot="1">
      <c r="A14" s="151"/>
      <c r="B14" s="391" t="s">
        <v>61</v>
      </c>
      <c r="C14" s="392"/>
      <c r="D14" s="921" t="str">
        <f>IF(ISBLANK(Financiar!I23),"",(Financiar!I23))</f>
        <v xml:space="preserve">Raportul de progres standard către Secretariatul Fondului Global pentru semestrul II.2015 si raportul AFR semi-anual (sem II.2015) au fost remise donatorului pentru analiză și aprobare la 12 Februarie 2016. </v>
      </c>
      <c r="E14" s="921"/>
      <c r="F14" s="921"/>
      <c r="G14" s="922"/>
      <c r="H14" s="504"/>
      <c r="I14" s="894"/>
      <c r="J14" s="895"/>
      <c r="K14" s="895"/>
      <c r="L14" s="895"/>
      <c r="M14" s="895"/>
      <c r="N14" s="896"/>
    </row>
    <row r="15" spans="1:15" s="33" customFormat="1" ht="4.5" customHeight="1">
      <c r="A15" s="151"/>
      <c r="B15" s="156"/>
      <c r="C15" s="157"/>
      <c r="D15" s="505"/>
      <c r="E15" s="505"/>
      <c r="F15" s="505"/>
      <c r="G15" s="505"/>
      <c r="H15" s="504"/>
      <c r="I15" s="506"/>
      <c r="J15" s="506"/>
      <c r="K15" s="506"/>
      <c r="L15" s="506"/>
      <c r="M15" s="506"/>
      <c r="N15" s="506"/>
      <c r="O15" s="74"/>
    </row>
    <row r="16" spans="1:15" s="32" customFormat="1" ht="21" customHeight="1" thickBot="1">
      <c r="A16" s="147"/>
      <c r="B16" s="892" t="s">
        <v>399</v>
      </c>
      <c r="C16" s="892"/>
      <c r="D16" s="892"/>
      <c r="E16" s="892"/>
      <c r="F16" s="892"/>
      <c r="G16" s="892"/>
      <c r="H16" s="892"/>
      <c r="I16" s="892"/>
      <c r="J16" s="892"/>
      <c r="K16" s="892"/>
      <c r="L16" s="892"/>
      <c r="M16" s="892"/>
      <c r="N16" s="892"/>
    </row>
    <row r="17" spans="1:20" s="33" customFormat="1" ht="3.75" customHeight="1" thickBot="1">
      <c r="A17" s="151"/>
      <c r="B17" s="507"/>
      <c r="C17" s="154"/>
      <c r="D17" s="508"/>
      <c r="E17" s="509"/>
      <c r="F17" s="510"/>
      <c r="G17" s="510"/>
      <c r="H17" s="511"/>
      <c r="I17" s="155"/>
      <c r="J17" s="512"/>
      <c r="K17" s="513"/>
      <c r="L17" s="514"/>
      <c r="M17" s="153"/>
      <c r="N17" s="515"/>
    </row>
    <row r="18" spans="1:20" s="33" customFormat="1" ht="22.5" customHeight="1" thickBot="1">
      <c r="A18" s="151"/>
      <c r="B18" s="909" t="s">
        <v>57</v>
      </c>
      <c r="C18" s="889"/>
      <c r="D18" s="881" t="s">
        <v>396</v>
      </c>
      <c r="E18" s="882"/>
      <c r="F18" s="882"/>
      <c r="G18" s="883"/>
      <c r="H18" s="516"/>
      <c r="I18" s="916" t="s">
        <v>394</v>
      </c>
      <c r="J18" s="917"/>
      <c r="K18" s="917"/>
      <c r="L18" s="917"/>
      <c r="M18" s="918"/>
      <c r="N18" s="918"/>
    </row>
    <row r="19" spans="1:20" s="33" customFormat="1" ht="82.5" customHeight="1">
      <c r="A19" s="151"/>
      <c r="B19" s="395" t="s">
        <v>66</v>
      </c>
      <c r="C19" s="396"/>
      <c r="D19" s="886" t="str">
        <f>IF(ISBLANK(Management!C8),"",(Management!C8))</f>
        <v>Două (axate pe procurarea medicamentelor antituberculoase de linia a doua pentru tratamentul pacienților cu TB DR) din cele trei condiții precedente stipulate în Acordul de Grant au fost îndeplinite în perioada raportată. Termenul limită pentru îndeplinirea celei de a treia condiție, de dezvoltare a planului de sustenabilitate, este de 31 decembrie 2016.</v>
      </c>
      <c r="E19" s="886"/>
      <c r="F19" s="886"/>
      <c r="G19" s="887"/>
      <c r="H19" s="517"/>
      <c r="I19" s="903"/>
      <c r="J19" s="904"/>
      <c r="K19" s="904"/>
      <c r="L19" s="904"/>
      <c r="M19" s="904"/>
      <c r="N19" s="905"/>
    </row>
    <row r="20" spans="1:20" ht="47.25" customHeight="1">
      <c r="A20" s="145"/>
      <c r="B20" s="399" t="s">
        <v>67</v>
      </c>
      <c r="C20" s="400"/>
      <c r="D20" s="884" t="str">
        <f>IF(ISBLANK(Management!I8),"",(Management!I8))</f>
        <v>Toate posturile în cadrul echipei ce gestionează Grantul TB al Noului Mecanism de Finanțare sunt ocupate.</v>
      </c>
      <c r="E20" s="884" t="e">
        <f>+'Introducerea datelor'!D72/'Introducerea datelor'!G72</f>
        <v>#DIV/0!</v>
      </c>
      <c r="F20" s="884" t="e">
        <f>+('Introducerea datelor'!E72+'Introducerea datelor'!F72)/'Introducerea datelor'!G72</f>
        <v>#DIV/0!</v>
      </c>
      <c r="G20" s="885"/>
      <c r="H20" s="517"/>
      <c r="I20" s="897"/>
      <c r="J20" s="898"/>
      <c r="K20" s="898"/>
      <c r="L20" s="898"/>
      <c r="M20" s="898"/>
      <c r="N20" s="899"/>
      <c r="O20" s="34"/>
    </row>
    <row r="21" spans="1:20" ht="91.5" customHeight="1">
      <c r="A21" s="145"/>
      <c r="B21" s="401" t="s">
        <v>68</v>
      </c>
      <c r="C21" s="400"/>
      <c r="D21" s="884" t="str">
        <f>IF(ISBLANK(Management!C16),"",(Management!C16))</f>
        <v>Contractul de Sub-recipient cu IMSP IFP ”Chiril Draganiuc” a fost semnat la 24 iulie 2015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v>
      </c>
      <c r="E21" s="884"/>
      <c r="F21" s="884"/>
      <c r="G21" s="885"/>
      <c r="H21" s="517"/>
      <c r="I21" s="897"/>
      <c r="J21" s="898"/>
      <c r="K21" s="898"/>
      <c r="L21" s="898"/>
      <c r="M21" s="898"/>
      <c r="N21" s="899"/>
      <c r="O21" s="34"/>
    </row>
    <row r="22" spans="1:20" ht="35.25" customHeight="1">
      <c r="A22" s="145"/>
      <c r="B22" s="401" t="s">
        <v>69</v>
      </c>
      <c r="C22" s="400"/>
      <c r="D22" s="884" t="str">
        <f>IF(ISBLANK(Management!I16),"",(Management!I16))</f>
        <v>În perioada raportată Sub-Recipientul a prezentat în conformitate cu Acordul două rapoarte trimestriale.</v>
      </c>
      <c r="E22" s="884"/>
      <c r="F22" s="884"/>
      <c r="G22" s="885"/>
      <c r="H22" s="517"/>
      <c r="I22" s="897"/>
      <c r="J22" s="898"/>
      <c r="K22" s="898"/>
      <c r="L22" s="898"/>
      <c r="M22" s="898"/>
      <c r="N22" s="899"/>
      <c r="O22" s="34"/>
    </row>
    <row r="23" spans="1:20" ht="43.5" customHeight="1">
      <c r="A23" s="145"/>
      <c r="B23" s="401" t="s">
        <v>70</v>
      </c>
      <c r="C23" s="400"/>
      <c r="D23" s="884" t="str">
        <f>IF(ISBLANK(Management!C27),"",(Management!C27))</f>
        <v>RP avea la 31 decembrie 2015 angajamente semnate pentru livrarea consumabilelor și reagenților in suma de 87 919,04 EUR.</v>
      </c>
      <c r="E23" s="884"/>
      <c r="F23" s="884"/>
      <c r="G23" s="885"/>
      <c r="H23" s="517"/>
      <c r="I23" s="897"/>
      <c r="J23" s="898"/>
      <c r="K23" s="898"/>
      <c r="L23" s="898"/>
      <c r="M23" s="898"/>
      <c r="N23" s="899"/>
      <c r="O23" s="34"/>
    </row>
    <row r="24" spans="1:20" ht="56.25" customHeight="1" thickBot="1">
      <c r="A24" s="145"/>
      <c r="B24" s="397" t="s">
        <v>71</v>
      </c>
      <c r="C24" s="398"/>
      <c r="D24" s="890" t="str">
        <f>IF(ISBLANK(Management!I27),"",(Management!I27))</f>
        <v>Analiza stocului (la data de 31 decembrie 2015) a medicamentelor de linia a II și a III, a numărului de pacienți în tratament la aceeași dată, precum si a livrarilor planificate arata prezența unui stock buffer între 4 și 23 de luni ce previne riscul lipsei de preparate.</v>
      </c>
      <c r="E24" s="890"/>
      <c r="F24" s="890"/>
      <c r="G24" s="891"/>
      <c r="H24" s="517"/>
      <c r="I24" s="906"/>
      <c r="J24" s="907"/>
      <c r="K24" s="907"/>
      <c r="L24" s="907"/>
      <c r="M24" s="907"/>
      <c r="N24" s="908"/>
      <c r="O24" s="34"/>
      <c r="T24" s="472"/>
    </row>
    <row r="25" spans="1:20" ht="4.5" customHeight="1">
      <c r="A25" s="147"/>
      <c r="B25" s="518"/>
      <c r="C25" s="519"/>
      <c r="D25" s="520"/>
      <c r="E25" s="521"/>
      <c r="F25" s="522"/>
      <c r="G25" s="522"/>
      <c r="H25" s="516"/>
      <c r="I25" s="521"/>
      <c r="J25" s="523"/>
      <c r="K25" s="513"/>
      <c r="L25" s="514"/>
      <c r="M25" s="153"/>
      <c r="N25" s="515"/>
      <c r="O25" s="34"/>
    </row>
    <row r="26" spans="1:20" s="32" customFormat="1" ht="21" customHeight="1" thickBot="1">
      <c r="A26" s="147"/>
      <c r="B26" s="892" t="s">
        <v>398</v>
      </c>
      <c r="C26" s="892"/>
      <c r="D26" s="892"/>
      <c r="E26" s="892"/>
      <c r="F26" s="892"/>
      <c r="G26" s="892"/>
      <c r="H26" s="892"/>
      <c r="I26" s="892"/>
      <c r="J26" s="892"/>
      <c r="K26" s="892"/>
      <c r="L26" s="892"/>
      <c r="M26" s="892"/>
      <c r="N26" s="892"/>
      <c r="R26" s="473"/>
    </row>
    <row r="27" spans="1:20" ht="3.75" customHeight="1" thickBot="1">
      <c r="A27" s="147"/>
      <c r="B27" s="518"/>
      <c r="C27" s="519"/>
      <c r="D27" s="520"/>
      <c r="E27" s="521"/>
      <c r="F27" s="522"/>
      <c r="G27" s="522"/>
      <c r="H27" s="516"/>
      <c r="I27" s="521"/>
      <c r="J27" s="523"/>
      <c r="K27" s="513"/>
      <c r="L27" s="514"/>
      <c r="M27" s="153"/>
      <c r="N27" s="515"/>
      <c r="O27" s="34"/>
    </row>
    <row r="28" spans="1:20" ht="21.75" customHeight="1" thickBot="1">
      <c r="A28" s="145"/>
      <c r="B28" s="888" t="s">
        <v>397</v>
      </c>
      <c r="C28" s="889"/>
      <c r="D28" s="871" t="s">
        <v>396</v>
      </c>
      <c r="E28" s="872"/>
      <c r="F28" s="872"/>
      <c r="G28" s="873"/>
      <c r="H28" s="516"/>
      <c r="I28" s="871" t="s">
        <v>394</v>
      </c>
      <c r="J28" s="872"/>
      <c r="K28" s="872"/>
      <c r="L28" s="872"/>
      <c r="M28" s="872"/>
      <c r="N28" s="873"/>
      <c r="O28" s="34"/>
    </row>
    <row r="29" spans="1:20" ht="86.25" hidden="1" customHeight="1">
      <c r="A29" s="145"/>
      <c r="B29" s="524" t="s">
        <v>244</v>
      </c>
      <c r="C29" s="525"/>
      <c r="D29" s="874" t="str">
        <f>IF(ISBLANK(Programatic!C9),"",(Programatic!C9))</f>
        <v xml:space="preserve">Date preliminare pentru anul 2015: 405 persoane au decedat de tuberculoză în anul 2015 (9,96 decese la 100 000 persoane). 
Notă: Se constată o micșorare cu 20,3% a ratei de mortalitate față de datele anului 2014 (508 cazuri de deces cauzate de tuberculoză) și cu 11,2% față de datele anului 2013 (456 cazuri de deces cauzate de tuberculoză).     </v>
      </c>
      <c r="E29" s="875"/>
      <c r="F29" s="875"/>
      <c r="G29" s="876"/>
      <c r="H29" s="517"/>
      <c r="I29" s="877"/>
      <c r="J29" s="878"/>
      <c r="K29" s="878"/>
      <c r="L29" s="878"/>
      <c r="M29" s="878"/>
      <c r="N29" s="879"/>
      <c r="O29" s="34"/>
    </row>
    <row r="30" spans="1:20" ht="87" hidden="1" customHeight="1">
      <c r="A30" s="145"/>
      <c r="B30" s="526" t="s">
        <v>245</v>
      </c>
      <c r="C30" s="527"/>
      <c r="D30" s="880" t="str">
        <f>IF(ISBLANK(Programatic!G9),"",(Programatic!G9))</f>
        <v xml:space="preserve">Date preliminare pentru anul 2015: 343 cazuri noi de tuberculoză cu cultura pozitivă, testate la sensibilitate pentru preparatele de linia I, din 1 262 investigate în 2015, au fost diagnosticate cu MDR.
Notă: Se constată menținerea unei rate înalte a TB MDR printre cazurile noi, situație caracteristică ultimilor ani.                                                                                                                                                                                                                                                                  </v>
      </c>
      <c r="E30" s="866"/>
      <c r="F30" s="866"/>
      <c r="G30" s="867"/>
      <c r="H30" s="517"/>
      <c r="I30" s="868"/>
      <c r="J30" s="869"/>
      <c r="K30" s="869"/>
      <c r="L30" s="869"/>
      <c r="M30" s="869"/>
      <c r="N30" s="870"/>
      <c r="O30" s="34"/>
    </row>
    <row r="31" spans="1:20" ht="75" hidden="1" customHeight="1">
      <c r="A31" s="145"/>
      <c r="B31" s="526" t="s">
        <v>246</v>
      </c>
      <c r="C31" s="527"/>
      <c r="D31" s="880" t="str">
        <f>IF(ISBLANK(Programatic!M9),"",(Programatic!M9))</f>
        <v xml:space="preserve">Date preliminare pentru anul 2015: 407 cazuri de tuberculoză cu cultura pozitivă, anterior tratate, testate la sensibilitate pentru preparatele de linia I, din 623 investigate în 2015, au fost diagnosticate cu MDR.
Notă: Se constată menținerea unei rate înalte a TB MDR printre cazurile anterior tratate, situație caracteristică ultimilor ani.  </v>
      </c>
      <c r="E31" s="866"/>
      <c r="F31" s="866"/>
      <c r="G31" s="867"/>
      <c r="H31" s="517"/>
      <c r="I31" s="868"/>
      <c r="J31" s="869"/>
      <c r="K31" s="869"/>
      <c r="L31" s="869"/>
      <c r="M31" s="869"/>
      <c r="N31" s="870"/>
      <c r="O31" s="34"/>
    </row>
    <row r="32" spans="1:20" ht="77.25" customHeight="1">
      <c r="A32" s="145"/>
      <c r="B32" s="528" t="s">
        <v>62</v>
      </c>
      <c r="C32" s="527"/>
      <c r="D32" s="865" t="str">
        <f>IF(ISBLANK(Programatic!L20),"",(Programatic!L20))</f>
        <v xml:space="preserve">Date preliminare pentru anul 2015: 405 persoane au decedat de tuberculoză în anul 2015 (9,96 decese la 100 000 persoane). 
Notă: Se constată o micșorare cu 20,3% a ratei de mortalitate față de datele anului 2014 (508 cazuri de deces cauzate de tuberculoză) și cu 11,2% față de datele anului 2013 (456 cazuri de deces cauzate de tuberculoză).     </v>
      </c>
      <c r="E32" s="866"/>
      <c r="F32" s="866"/>
      <c r="G32" s="867"/>
      <c r="H32" s="517"/>
      <c r="I32" s="868"/>
      <c r="J32" s="869"/>
      <c r="K32" s="869"/>
      <c r="L32" s="869"/>
      <c r="M32" s="869"/>
      <c r="N32" s="870"/>
      <c r="O32" s="34"/>
    </row>
    <row r="33" spans="1:15" ht="77.25" customHeight="1">
      <c r="A33" s="145"/>
      <c r="B33" s="528" t="s">
        <v>63</v>
      </c>
      <c r="C33" s="527"/>
      <c r="D33" s="865" t="str">
        <f>IF(ISBLANK(Programatic!L21),"",(Programatic!L21))</f>
        <v xml:space="preserve">Date preliminare pentru anul 2015: 343 cazuri noi de tuberculoză cu cultura pozitivă, testate la sensibilitate pentru preparatele de linia I, din 1 262 investigate în 2015, au fost diagnosticate cu MDR.
Notă: Se constată menținerea unei rate înalte a TB MDR printre cazurile noi, situație caracteristică ultimilor ani.                                                                                                                                                                                                                                                                  </v>
      </c>
      <c r="E33" s="866"/>
      <c r="F33" s="866"/>
      <c r="G33" s="867"/>
      <c r="H33" s="517"/>
      <c r="I33" s="868"/>
      <c r="J33" s="869"/>
      <c r="K33" s="869"/>
      <c r="L33" s="869"/>
      <c r="M33" s="869"/>
      <c r="N33" s="870"/>
      <c r="O33" s="34"/>
    </row>
    <row r="34" spans="1:15" ht="85.5" customHeight="1">
      <c r="A34" s="145"/>
      <c r="B34" s="528" t="s">
        <v>64</v>
      </c>
      <c r="C34" s="527"/>
      <c r="D34" s="865" t="str">
        <f>IF(ISBLANK(Programatic!L22),"",(Programatic!L22))</f>
        <v xml:space="preserve">Date preliminare pentru anul 2015: 407 cazuri de tuberculoză cu cultura pozitivă, anterior tratate, testate la sensibilitate pentru preparatele de linia I, din 623 investigate în 2015, au fost diagnosticate cu MDR.
Notă: Se constată menținerea unei rate înalte a TB MDR printre cazurile anterior tratate, situație caracteristică ultimilor ani.  </v>
      </c>
      <c r="E34" s="866"/>
      <c r="F34" s="866"/>
      <c r="G34" s="867"/>
      <c r="H34" s="517"/>
      <c r="I34" s="868"/>
      <c r="J34" s="869"/>
      <c r="K34" s="869"/>
      <c r="L34" s="869"/>
      <c r="M34" s="869"/>
      <c r="N34" s="870"/>
      <c r="O34" s="34"/>
    </row>
    <row r="35" spans="1:15" ht="111" customHeight="1">
      <c r="A35" s="145"/>
      <c r="B35" s="528" t="s">
        <v>65</v>
      </c>
      <c r="C35" s="529"/>
      <c r="D35" s="865" t="str">
        <f>IF(ISBLANK(Programatic!L23),"",(Programatic!L23))</f>
        <v xml:space="preserve">Date finale pentru cohorta MDR-TB anul 2012: 505 cazuri confirmate de TB MDR au fost tratate cu succes (vindecate și cu tratamente încheiate) din 856 incluse în tratment DOTS Plus în 2012.                                                                                  
Notă: Datele finale pentru cohorta MDR-TB 2012 ne indică o tendință de creștere a ratei de succes de la 49,3% în 2010 la 54,27% în 2011 și 59% în 2012; o tendință de descreștere a ratei pierderii din supraveghere (de la 27,4% în 2010 la 23,1% în 2011 și 19,97% în 2012); și stabilizarea ratei de eșec (10,3% în 2010, 9,5% în 2011 și 10,16% în 2012).                                                                                                                                             </v>
      </c>
      <c r="E35" s="866"/>
      <c r="F35" s="866"/>
      <c r="G35" s="867"/>
      <c r="H35" s="517"/>
      <c r="I35" s="868"/>
      <c r="J35" s="869"/>
      <c r="K35" s="869"/>
      <c r="L35" s="869"/>
      <c r="M35" s="869"/>
      <c r="N35" s="870"/>
      <c r="O35" s="34"/>
    </row>
    <row r="36" spans="1:15" ht="59.25" customHeight="1">
      <c r="A36" s="145"/>
      <c r="B36" s="528" t="s">
        <v>72</v>
      </c>
      <c r="C36" s="529"/>
      <c r="D36" s="865" t="str">
        <f>IF(ISBLANK(Programatic!L24),"",(Programatic!L24))</f>
        <v xml:space="preserve">Date preliminare pentru anul 2015: 4 197 cazuri de tuberculoză (toate formele, bacteriologic confirmate și diagnosticate clinic, cazuri noi și recidive) au fost notificate către autoritatea națională în anul 2015.   </v>
      </c>
      <c r="E36" s="866"/>
      <c r="F36" s="866"/>
      <c r="G36" s="867"/>
      <c r="H36" s="517"/>
      <c r="I36" s="868"/>
      <c r="J36" s="869"/>
      <c r="K36" s="869"/>
      <c r="L36" s="869"/>
      <c r="M36" s="869"/>
      <c r="N36" s="870"/>
      <c r="O36" s="34"/>
    </row>
    <row r="37" spans="1:15" ht="43.5" customHeight="1">
      <c r="A37" s="145"/>
      <c r="B37" s="528" t="s">
        <v>73</v>
      </c>
      <c r="C37" s="529"/>
      <c r="D37" s="865" t="str">
        <f>IF(ISBLANK(Programatic!L25),"",(Programatic!L25))</f>
        <v xml:space="preserve">Date preliminare pentru anul 2015: 2 110 cazuri de tuberculoză (bacteriologic confirmate, cazuri noi și recidive) au fost notificate către autoritatea națională în anul 2015.       </v>
      </c>
      <c r="E37" s="866"/>
      <c r="F37" s="866"/>
      <c r="G37" s="867"/>
      <c r="H37" s="517"/>
      <c r="I37" s="868"/>
      <c r="J37" s="869"/>
      <c r="K37" s="869"/>
      <c r="L37" s="869"/>
      <c r="M37" s="869"/>
      <c r="N37" s="870"/>
      <c r="O37" s="34"/>
    </row>
    <row r="38" spans="1:15" ht="80.25" customHeight="1">
      <c r="A38" s="145"/>
      <c r="B38" s="528" t="s">
        <v>74</v>
      </c>
      <c r="C38" s="529"/>
      <c r="D38" s="865" t="str">
        <f>IF(ISBLANK(Programatic!L26),"",(Programatic!L26))</f>
        <v>Date preliminare pentru cohorta anului 2014: 1 010 cazuri noi de tuberculoză confirmate bacteriologic, din 1 402 diagnosticate în 2014, au fost tratate cu succes. Comparativ cu datele cohortelor anilor 2012 (62,56%), 2011 (62,2%) și 2010  (57,81%), se observă o creștere a valorii indicatorului pînă la 72% în cohorta anului 2014, dar și o scădere comparativ cu 75,8% înregistrate în cohorta anului 2013.</v>
      </c>
      <c r="E38" s="866"/>
      <c r="F38" s="866"/>
      <c r="G38" s="867"/>
      <c r="H38" s="517"/>
      <c r="I38" s="868"/>
      <c r="J38" s="869"/>
      <c r="K38" s="869"/>
      <c r="L38" s="869"/>
      <c r="M38" s="869"/>
      <c r="N38" s="870"/>
      <c r="O38" s="34"/>
    </row>
    <row r="39" spans="1:15" ht="52.5" customHeight="1">
      <c r="A39" s="145"/>
      <c r="B39" s="528" t="s">
        <v>75</v>
      </c>
      <c r="C39" s="529"/>
      <c r="D39" s="865" t="str">
        <f>IF(ISBLANK(Programatic!L27),"",(Programatic!L27))</f>
        <v>Date preliminare pentru Sem.I.2015: 378 pacienți din 530 cazuri de retratamente cu tuberculoză, confirmate bacteriologic (prin microscopie, cultură și Xpert), au efectuat teste de sensibilitate la preparatele de linia I (prin cultură și Xpert) în aceeași perioadă.
Notă. Acest indicator se referă atît la sectorul civil, cît și la cel penitenciar.</v>
      </c>
      <c r="E39" s="866"/>
      <c r="F39" s="866"/>
      <c r="G39" s="867"/>
      <c r="H39" s="517"/>
      <c r="I39" s="868"/>
      <c r="J39" s="869"/>
      <c r="K39" s="869"/>
      <c r="L39" s="869"/>
      <c r="M39" s="869"/>
      <c r="N39" s="870"/>
      <c r="O39" s="34"/>
    </row>
    <row r="40" spans="1:15" ht="57.75" customHeight="1">
      <c r="A40" s="145"/>
      <c r="B40" s="528" t="s">
        <v>76</v>
      </c>
      <c r="C40" s="195"/>
      <c r="D40" s="865" t="str">
        <f>IF(ISBLANK(Programatic!L28),"",(Programatic!L28))</f>
        <v xml:space="preserve">Date preliminare pentru Sem.I.2015: 427 pacienți cu tuberculoză drog-rezistentă (RR-TB și/sau MDR-TB), confirmate bacteriologic, au fost notificate, față de 456 cazuri estimate pentru perioada raportată.    </v>
      </c>
      <c r="E40" s="866"/>
      <c r="F40" s="866"/>
      <c r="G40" s="867"/>
      <c r="H40" s="158"/>
      <c r="I40" s="868"/>
      <c r="J40" s="869"/>
      <c r="K40" s="869"/>
      <c r="L40" s="869"/>
      <c r="M40" s="869"/>
      <c r="N40" s="870"/>
      <c r="O40" s="34"/>
    </row>
    <row r="41" spans="1:15" ht="97.5" customHeight="1" thickBot="1">
      <c r="A41" s="145"/>
      <c r="B41" s="528" t="s">
        <v>77</v>
      </c>
      <c r="C41" s="159"/>
      <c r="D41" s="865" t="str">
        <f>IF(ISBLANK(Programatic!L29),"",(Programatic!L29))</f>
        <v xml:space="preserve">Date preliminare pentru Sem.II.2015: 482 pacienți (240 în QIII.2015 și 242 în QIV.2014) cu tuberculoză drog-rezistentă (RR-TB și/sau MDR-TB), confirmate bacteriologic, au demarat tratamentul DOTS-Plus, față de 410 pacienți preconizați pentru perioada raportată.                                                                                                                                                            Notă. Ținta a fost depășită din cauza includerii în tratamentul DOTS Plus a unui număr adițional de pacienți MDR TB în locul cazurilor de eșec, mortalitate sau pierdute din supraveghere înregistrate.  </v>
      </c>
      <c r="E41" s="866"/>
      <c r="F41" s="866"/>
      <c r="G41" s="867"/>
      <c r="H41" s="158"/>
      <c r="I41" s="868"/>
      <c r="J41" s="869"/>
      <c r="K41" s="869"/>
      <c r="L41" s="869"/>
      <c r="M41" s="869"/>
      <c r="N41" s="870"/>
      <c r="O41" s="34"/>
    </row>
    <row r="42" spans="1:15" ht="92.25" customHeight="1" thickBot="1">
      <c r="A42" s="145"/>
      <c r="B42" s="528" t="s">
        <v>78</v>
      </c>
      <c r="C42" s="159"/>
      <c r="D42" s="865" t="str">
        <f>IF(ISBLANK(Programatic!L30),"",(Programatic!L30))</f>
        <v xml:space="preserve">Date finale pentru Sem.I.2014: 41 pacienți (25 în QI.2014 și 16 în QII.2014) din 470 incluși în tratamentul DOTS Plus în Sem.II.2014, au abandonat tratamentul după 6 luni de tratament DOTS Plus.                                                                                                                                       Notă. Se observă menținerea ratei interimare de abandon al tratamentului cazurilor MDR-TB pentru anul 2014 la același nivel, în comparație cu rata anului 2013 (8,3%) și rata anului 2012 (7,5%).     </v>
      </c>
      <c r="E42" s="866"/>
      <c r="F42" s="866"/>
      <c r="G42" s="867"/>
      <c r="H42" s="145"/>
      <c r="I42" s="868"/>
      <c r="J42" s="869"/>
      <c r="K42" s="869"/>
      <c r="L42" s="869"/>
      <c r="M42" s="869"/>
      <c r="N42" s="870"/>
      <c r="O42" s="34"/>
    </row>
  </sheetData>
  <mergeCells count="66">
    <mergeCell ref="I19:N19"/>
    <mergeCell ref="I24:N24"/>
    <mergeCell ref="I20:N20"/>
    <mergeCell ref="B18:C18"/>
    <mergeCell ref="B10:C10"/>
    <mergeCell ref="D10:G10"/>
    <mergeCell ref="I12:N12"/>
    <mergeCell ref="D12:G12"/>
    <mergeCell ref="I11:N11"/>
    <mergeCell ref="D23:G23"/>
    <mergeCell ref="I18:N18"/>
    <mergeCell ref="D11:G11"/>
    <mergeCell ref="D13:G13"/>
    <mergeCell ref="I13:N13"/>
    <mergeCell ref="D14:G14"/>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D30:G30"/>
    <mergeCell ref="D31:G31"/>
    <mergeCell ref="D33:G33"/>
    <mergeCell ref="D18:G18"/>
    <mergeCell ref="D20:G20"/>
    <mergeCell ref="D19:G19"/>
    <mergeCell ref="D21:G21"/>
    <mergeCell ref="D22:G22"/>
    <mergeCell ref="I28:N28"/>
    <mergeCell ref="D40:G40"/>
    <mergeCell ref="D34:G34"/>
    <mergeCell ref="D29:G29"/>
    <mergeCell ref="D28:G28"/>
    <mergeCell ref="D35:G35"/>
    <mergeCell ref="D32:G32"/>
    <mergeCell ref="D39:G39"/>
    <mergeCell ref="D38:G38"/>
    <mergeCell ref="I29:N29"/>
    <mergeCell ref="I30:N30"/>
    <mergeCell ref="I31:N31"/>
    <mergeCell ref="I32:N32"/>
    <mergeCell ref="I33:N33"/>
    <mergeCell ref="D37:G37"/>
    <mergeCell ref="D36:G36"/>
    <mergeCell ref="I34:N34"/>
    <mergeCell ref="I35:N35"/>
    <mergeCell ref="I36:N36"/>
    <mergeCell ref="I37:N37"/>
    <mergeCell ref="I38:N38"/>
    <mergeCell ref="D42:G42"/>
    <mergeCell ref="I40:N40"/>
    <mergeCell ref="I41:N41"/>
    <mergeCell ref="I42:N42"/>
    <mergeCell ref="I39:N39"/>
    <mergeCell ref="D41:G41"/>
  </mergeCells>
  <phoneticPr fontId="23"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75"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view="pageBreakPreview" zoomScaleNormal="100" zoomScaleSheetLayoutView="100" workbookViewId="0">
      <selection activeCell="P7" sqref="P7"/>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89" t="str">
        <f>+"Tabel Programatic de Evaluare:  "&amp;"  "&amp;IF(+'Introducerea datelor'!C4="Please Select","",'Introducerea datelor'!C4&amp;" - ")&amp;IF('Introducerea datelor'!G6="Please Select","",'Introducerea datelor'!G6)</f>
        <v>Tabel Programatic de Evaluare:    Moldova - TB</v>
      </c>
      <c r="C2" s="789"/>
      <c r="D2" s="789"/>
      <c r="E2" s="789"/>
      <c r="F2" s="789"/>
      <c r="G2" s="789"/>
      <c r="H2" s="789"/>
      <c r="I2" s="789"/>
      <c r="J2" s="789"/>
      <c r="K2" s="789"/>
      <c r="L2" s="789"/>
    </row>
    <row r="3" spans="1:13">
      <c r="B3" s="23" t="str">
        <f>+IF('Introducerea datelor'!G8="Please Select","",'Introducerea datelor'!G8)</f>
        <v/>
      </c>
      <c r="C3" s="793" t="str">
        <f>+IF('Introducerea datelor'!I8="Please Select","",'Introducerea datelor'!I8)</f>
        <v>Period 1</v>
      </c>
      <c r="D3" s="793"/>
      <c r="E3" s="787"/>
      <c r="F3" s="787"/>
      <c r="G3" s="787"/>
      <c r="H3" s="787"/>
      <c r="I3" s="787"/>
      <c r="J3" s="792" t="str">
        <f>+'Introducerea datelor'!B16</f>
        <v>Perioada de Raportare:</v>
      </c>
      <c r="K3" s="792"/>
      <c r="L3" s="163" t="str">
        <f>+'Introducerea datelor'!C16</f>
        <v>P1</v>
      </c>
      <c r="M3" s="84"/>
    </row>
    <row r="4" spans="1:13">
      <c r="B4" s="23" t="str">
        <f>+'Introducerea datelor'!B12</f>
        <v>Ultimul Rating:</v>
      </c>
      <c r="C4" s="941">
        <f>+IF('Introducerea datelor'!C12="Please Select","",'Introducerea datelor'!C12)</f>
        <v>0</v>
      </c>
      <c r="D4" s="941"/>
      <c r="E4" s="787" t="str">
        <f>+'Introducerea datelor'!C8</f>
        <v>IP UCIMP DS</v>
      </c>
      <c r="F4" s="787"/>
      <c r="G4" s="787"/>
      <c r="H4" s="787"/>
      <c r="I4" s="787"/>
      <c r="J4" s="792" t="str">
        <f>+'Introducerea datelor'!D16</f>
        <v>De la:</v>
      </c>
      <c r="K4" s="794"/>
      <c r="L4" s="164">
        <f>+IF(ISBLANK('Introducerea datelor'!E16),"",'Introducerea datelor'!E16)</f>
        <v>42186</v>
      </c>
    </row>
    <row r="5" spans="1:13" ht="18.75" customHeight="1">
      <c r="B5" s="23"/>
      <c r="C5" s="23"/>
      <c r="D5" s="787" t="str">
        <f>+'Introducerea datelor'!G4</f>
        <v>Consolidarea controlului Tuberculozei în Republica Moldova</v>
      </c>
      <c r="E5" s="787"/>
      <c r="F5" s="787"/>
      <c r="G5" s="787"/>
      <c r="H5" s="787"/>
      <c r="I5" s="787"/>
      <c r="J5" s="787"/>
      <c r="K5" s="23" t="str">
        <f>+'Introducerea datelor'!F16</f>
        <v>Pînă la:</v>
      </c>
      <c r="L5" s="164">
        <f>+IF(ISBLANK('Introducerea datelor'!G16),"",'Introducerea datelor'!G16)</f>
        <v>42369</v>
      </c>
    </row>
    <row r="6" spans="1:13" ht="18.75">
      <c r="B6" s="22"/>
      <c r="C6" s="23"/>
      <c r="D6" s="24"/>
      <c r="E6" s="791" t="s">
        <v>401</v>
      </c>
      <c r="F6" s="791"/>
      <c r="G6" s="791"/>
      <c r="H6" s="791"/>
      <c r="I6" s="791"/>
    </row>
    <row r="7" spans="1:13" ht="18.75">
      <c r="E7" s="71"/>
      <c r="F7" s="71"/>
      <c r="G7" s="71"/>
      <c r="H7" s="71"/>
      <c r="I7" s="71"/>
    </row>
    <row r="8" spans="1:13" s="32" customFormat="1" ht="21" customHeight="1" thickBot="1">
      <c r="B8" s="75" t="s">
        <v>402</v>
      </c>
      <c r="C8" s="75"/>
      <c r="D8" s="75"/>
      <c r="E8" s="75"/>
      <c r="F8" s="75"/>
      <c r="G8" s="75"/>
      <c r="H8" s="75"/>
      <c r="I8" s="75"/>
      <c r="J8" s="75"/>
      <c r="K8" s="75"/>
      <c r="L8" s="75"/>
    </row>
    <row r="9" spans="1:13" ht="6" customHeight="1">
      <c r="B9" s="73"/>
    </row>
    <row r="10" spans="1:13" ht="19.5" customHeight="1">
      <c r="B10" s="923"/>
      <c r="C10" s="924"/>
      <c r="D10" s="924"/>
      <c r="E10" s="924"/>
      <c r="F10" s="924"/>
      <c r="G10" s="924"/>
      <c r="H10" s="924"/>
      <c r="I10" s="924"/>
      <c r="J10" s="924"/>
      <c r="K10" s="924"/>
      <c r="L10" s="925"/>
    </row>
    <row r="11" spans="1:13" ht="18" customHeight="1">
      <c r="B11" s="926"/>
      <c r="C11" s="927"/>
      <c r="D11" s="927"/>
      <c r="E11" s="927"/>
      <c r="F11" s="927"/>
      <c r="G11" s="927"/>
      <c r="H11" s="927"/>
      <c r="I11" s="927"/>
      <c r="J11" s="927"/>
      <c r="K11" s="927"/>
      <c r="L11" s="928"/>
    </row>
    <row r="12" spans="1:13" ht="15.75" thickBot="1"/>
    <row r="13" spans="1:13" ht="26.25" customHeight="1" thickBot="1">
      <c r="B13" s="937" t="s">
        <v>431</v>
      </c>
      <c r="C13" s="938"/>
      <c r="D13" s="938"/>
      <c r="E13" s="939"/>
      <c r="F13" s="76"/>
      <c r="G13" s="931" t="s">
        <v>403</v>
      </c>
      <c r="H13" s="929"/>
      <c r="I13" s="929"/>
      <c r="J13" s="77" t="s">
        <v>404</v>
      </c>
      <c r="K13" s="929" t="s">
        <v>405</v>
      </c>
      <c r="L13" s="930"/>
    </row>
    <row r="14" spans="1:13" ht="39.75" customHeight="1">
      <c r="A14" s="948" t="s">
        <v>406</v>
      </c>
      <c r="B14" s="962"/>
      <c r="C14" s="963"/>
      <c r="D14" s="963"/>
      <c r="E14" s="964"/>
      <c r="F14" s="45"/>
      <c r="G14" s="961"/>
      <c r="H14" s="942"/>
      <c r="I14" s="942"/>
      <c r="J14" s="942"/>
      <c r="K14" s="942"/>
      <c r="L14" s="943"/>
    </row>
    <row r="15" spans="1:13" ht="39.75" customHeight="1">
      <c r="A15" s="949"/>
      <c r="B15" s="954"/>
      <c r="C15" s="955"/>
      <c r="D15" s="955"/>
      <c r="E15" s="956"/>
      <c r="F15" s="45"/>
      <c r="G15" s="932"/>
      <c r="H15" s="933"/>
      <c r="I15" s="933"/>
      <c r="J15" s="933"/>
      <c r="K15" s="933"/>
      <c r="L15" s="944"/>
    </row>
    <row r="16" spans="1:13" ht="45" customHeight="1">
      <c r="A16" s="949"/>
      <c r="B16" s="951"/>
      <c r="C16" s="952"/>
      <c r="D16" s="952"/>
      <c r="E16" s="953"/>
      <c r="F16" s="45"/>
      <c r="G16" s="932"/>
      <c r="H16" s="933"/>
      <c r="I16" s="933"/>
      <c r="J16" s="933"/>
      <c r="K16" s="933"/>
      <c r="L16" s="944"/>
    </row>
    <row r="17" spans="1:12" ht="33" customHeight="1">
      <c r="A17" s="949"/>
      <c r="B17" s="954"/>
      <c r="C17" s="955"/>
      <c r="D17" s="955"/>
      <c r="E17" s="956"/>
      <c r="F17" s="45"/>
      <c r="G17" s="932"/>
      <c r="H17" s="933"/>
      <c r="I17" s="933"/>
      <c r="J17" s="933"/>
      <c r="K17" s="933"/>
      <c r="L17" s="944"/>
    </row>
    <row r="18" spans="1:12" ht="26.25" customHeight="1">
      <c r="A18" s="949"/>
      <c r="B18" s="951"/>
      <c r="C18" s="952"/>
      <c r="D18" s="952"/>
      <c r="E18" s="953"/>
      <c r="F18" s="45"/>
      <c r="G18" s="966"/>
      <c r="H18" s="967"/>
      <c r="I18" s="968"/>
      <c r="J18" s="933"/>
      <c r="K18" s="933"/>
      <c r="L18" s="944"/>
    </row>
    <row r="19" spans="1:12" ht="28.5" customHeight="1">
      <c r="A19" s="949"/>
      <c r="B19" s="954"/>
      <c r="C19" s="955"/>
      <c r="D19" s="955"/>
      <c r="E19" s="956"/>
      <c r="F19" s="45"/>
      <c r="G19" s="969"/>
      <c r="H19" s="970"/>
      <c r="I19" s="971"/>
      <c r="J19" s="933"/>
      <c r="K19" s="933"/>
      <c r="L19" s="944"/>
    </row>
    <row r="20" spans="1:12">
      <c r="A20" s="949"/>
      <c r="B20" s="957"/>
      <c r="C20" s="957"/>
      <c r="D20" s="957"/>
      <c r="E20" s="958"/>
      <c r="F20" s="45"/>
      <c r="G20" s="932"/>
      <c r="H20" s="933"/>
      <c r="I20" s="933"/>
      <c r="J20" s="933"/>
      <c r="K20" s="933"/>
      <c r="L20" s="944"/>
    </row>
    <row r="21" spans="1:12">
      <c r="A21" s="949"/>
      <c r="B21" s="957"/>
      <c r="C21" s="957"/>
      <c r="D21" s="957"/>
      <c r="E21" s="958"/>
      <c r="F21" s="45"/>
      <c r="G21" s="932"/>
      <c r="H21" s="933"/>
      <c r="I21" s="933"/>
      <c r="J21" s="933"/>
      <c r="K21" s="933"/>
      <c r="L21" s="944"/>
    </row>
    <row r="22" spans="1:12">
      <c r="A22" s="949"/>
      <c r="B22" s="957"/>
      <c r="C22" s="957"/>
      <c r="D22" s="957"/>
      <c r="E22" s="958"/>
      <c r="F22" s="45"/>
      <c r="G22" s="932"/>
      <c r="H22" s="933"/>
      <c r="I22" s="933"/>
      <c r="J22" s="933"/>
      <c r="K22" s="933"/>
      <c r="L22" s="944"/>
    </row>
    <row r="23" spans="1:12">
      <c r="A23" s="949"/>
      <c r="B23" s="957"/>
      <c r="C23" s="957"/>
      <c r="D23" s="957"/>
      <c r="E23" s="958"/>
      <c r="F23" s="45"/>
      <c r="G23" s="932"/>
      <c r="H23" s="933"/>
      <c r="I23" s="933"/>
      <c r="J23" s="933"/>
      <c r="K23" s="933"/>
      <c r="L23" s="944"/>
    </row>
    <row r="24" spans="1:12">
      <c r="A24" s="949"/>
      <c r="B24" s="957"/>
      <c r="C24" s="957"/>
      <c r="D24" s="957"/>
      <c r="E24" s="958"/>
      <c r="F24" s="45"/>
      <c r="G24" s="932"/>
      <c r="H24" s="933"/>
      <c r="I24" s="933"/>
      <c r="J24" s="933"/>
      <c r="K24" s="933"/>
      <c r="L24" s="944"/>
    </row>
    <row r="25" spans="1:12" ht="15.75" thickBot="1">
      <c r="A25" s="950"/>
      <c r="B25" s="959"/>
      <c r="C25" s="959"/>
      <c r="D25" s="959"/>
      <c r="E25" s="960"/>
      <c r="F25" s="45"/>
      <c r="G25" s="934"/>
      <c r="H25" s="935"/>
      <c r="I25" s="935"/>
      <c r="J25" s="935"/>
      <c r="K25" s="935"/>
      <c r="L25" s="972"/>
    </row>
    <row r="27" spans="1:12" ht="18.75">
      <c r="E27" s="936" t="s">
        <v>407</v>
      </c>
      <c r="F27" s="936"/>
      <c r="G27" s="936"/>
      <c r="H27" s="936"/>
      <c r="I27" s="936"/>
    </row>
    <row r="28" spans="1:12" ht="6" customHeight="1">
      <c r="E28" s="71"/>
      <c r="F28" s="71"/>
      <c r="G28" s="71"/>
      <c r="H28" s="71"/>
      <c r="I28" s="71"/>
    </row>
    <row r="29" spans="1:12" s="32" customFormat="1" ht="21" customHeight="1" thickBot="1">
      <c r="B29" s="75" t="s">
        <v>408</v>
      </c>
      <c r="C29" s="75"/>
      <c r="D29" s="75"/>
      <c r="E29" s="75"/>
      <c r="F29" s="75"/>
      <c r="G29" s="75"/>
      <c r="H29" s="75"/>
      <c r="I29" s="75"/>
      <c r="J29" s="75"/>
      <c r="K29" s="75"/>
      <c r="L29" s="75"/>
    </row>
    <row r="30" spans="1:12" ht="6" customHeight="1" thickBot="1">
      <c r="B30" s="73"/>
    </row>
    <row r="31" spans="1:12" ht="38.25" customHeight="1" thickBot="1">
      <c r="B31" s="937" t="s">
        <v>403</v>
      </c>
      <c r="C31" s="938"/>
      <c r="D31" s="938"/>
      <c r="E31" s="939"/>
      <c r="F31" s="76"/>
      <c r="G31" s="931" t="s">
        <v>409</v>
      </c>
      <c r="H31" s="929"/>
      <c r="I31" s="929"/>
      <c r="J31" s="77" t="s">
        <v>410</v>
      </c>
      <c r="K31" s="929" t="s">
        <v>405</v>
      </c>
      <c r="L31" s="930"/>
    </row>
    <row r="32" spans="1:12" ht="24" customHeight="1">
      <c r="A32" s="948" t="s">
        <v>411</v>
      </c>
      <c r="B32" s="983"/>
      <c r="C32" s="984"/>
      <c r="D32" s="984"/>
      <c r="E32" s="985"/>
      <c r="F32" s="45"/>
      <c r="G32" s="945"/>
      <c r="H32" s="946"/>
      <c r="I32" s="946"/>
      <c r="J32" s="946"/>
      <c r="K32" s="946"/>
      <c r="L32" s="975"/>
    </row>
    <row r="33" spans="1:12" ht="26.25" customHeight="1">
      <c r="A33" s="949"/>
      <c r="B33" s="969"/>
      <c r="C33" s="970"/>
      <c r="D33" s="970"/>
      <c r="E33" s="986"/>
      <c r="F33" s="45"/>
      <c r="G33" s="947"/>
      <c r="H33" s="940"/>
      <c r="I33" s="940"/>
      <c r="J33" s="940"/>
      <c r="K33" s="940"/>
      <c r="L33" s="973"/>
    </row>
    <row r="34" spans="1:12">
      <c r="A34" s="949"/>
      <c r="B34" s="976" t="str">
        <f>IF(Recomandari!I43="","",Recomandari!I43)</f>
        <v/>
      </c>
      <c r="C34" s="977"/>
      <c r="D34" s="977"/>
      <c r="E34" s="978"/>
      <c r="F34" s="45"/>
      <c r="G34" s="947"/>
      <c r="H34" s="940"/>
      <c r="I34" s="940"/>
      <c r="J34" s="940"/>
      <c r="K34" s="940"/>
      <c r="L34" s="973"/>
    </row>
    <row r="35" spans="1:12" ht="20.25" customHeight="1">
      <c r="A35" s="949"/>
      <c r="B35" s="976"/>
      <c r="C35" s="977"/>
      <c r="D35" s="977"/>
      <c r="E35" s="978"/>
      <c r="F35" s="45"/>
      <c r="G35" s="947"/>
      <c r="H35" s="940"/>
      <c r="I35" s="940"/>
      <c r="J35" s="940"/>
      <c r="K35" s="940"/>
      <c r="L35" s="973"/>
    </row>
    <row r="36" spans="1:12" ht="21.75" customHeight="1">
      <c r="A36" s="949"/>
      <c r="B36" s="976" t="str">
        <f>+IF(Recomandari!I53="","",Recomandari!I53)</f>
        <v/>
      </c>
      <c r="C36" s="977"/>
      <c r="D36" s="977"/>
      <c r="E36" s="978"/>
      <c r="F36" s="45"/>
      <c r="G36" s="947"/>
      <c r="H36" s="940"/>
      <c r="I36" s="940"/>
      <c r="J36" s="940"/>
      <c r="K36" s="940"/>
      <c r="L36" s="973"/>
    </row>
    <row r="37" spans="1:12" ht="21" customHeight="1">
      <c r="A37" s="949"/>
      <c r="B37" s="976"/>
      <c r="C37" s="977"/>
      <c r="D37" s="977"/>
      <c r="E37" s="978"/>
      <c r="F37" s="45"/>
      <c r="G37" s="947"/>
      <c r="H37" s="940"/>
      <c r="I37" s="940"/>
      <c r="J37" s="940"/>
      <c r="K37" s="940"/>
      <c r="L37" s="973"/>
    </row>
    <row r="38" spans="1:12" ht="21" customHeight="1">
      <c r="A38" s="949"/>
      <c r="B38" s="976"/>
      <c r="C38" s="977"/>
      <c r="D38" s="977"/>
      <c r="E38" s="978"/>
      <c r="F38" s="45"/>
      <c r="G38" s="947"/>
      <c r="H38" s="940"/>
      <c r="I38" s="940"/>
      <c r="J38" s="940"/>
      <c r="K38" s="940"/>
      <c r="L38" s="973"/>
    </row>
    <row r="39" spans="1:12" ht="21" customHeight="1">
      <c r="A39" s="949"/>
      <c r="B39" s="976"/>
      <c r="C39" s="977"/>
      <c r="D39" s="977"/>
      <c r="E39" s="978"/>
      <c r="F39" s="45"/>
      <c r="G39" s="947"/>
      <c r="H39" s="940"/>
      <c r="I39" s="940"/>
      <c r="J39" s="940"/>
      <c r="K39" s="940"/>
      <c r="L39" s="973"/>
    </row>
    <row r="40" spans="1:12">
      <c r="A40" s="949"/>
      <c r="B40" s="976"/>
      <c r="C40" s="977"/>
      <c r="D40" s="977"/>
      <c r="E40" s="978"/>
      <c r="F40" s="45"/>
      <c r="G40" s="947"/>
      <c r="H40" s="940"/>
      <c r="I40" s="940"/>
      <c r="J40" s="940"/>
      <c r="K40" s="940"/>
      <c r="L40" s="973"/>
    </row>
    <row r="41" spans="1:12">
      <c r="A41" s="949"/>
      <c r="B41" s="976"/>
      <c r="C41" s="977"/>
      <c r="D41" s="977"/>
      <c r="E41" s="978"/>
      <c r="F41" s="45"/>
      <c r="G41" s="947"/>
      <c r="H41" s="940"/>
      <c r="I41" s="940"/>
      <c r="J41" s="940"/>
      <c r="K41" s="940"/>
      <c r="L41" s="973"/>
    </row>
    <row r="42" spans="1:12">
      <c r="A42" s="949"/>
      <c r="B42" s="976"/>
      <c r="C42" s="977"/>
      <c r="D42" s="977"/>
      <c r="E42" s="978"/>
      <c r="F42" s="45"/>
      <c r="G42" s="947"/>
      <c r="H42" s="940"/>
      <c r="I42" s="940"/>
      <c r="J42" s="940"/>
      <c r="K42" s="940"/>
      <c r="L42" s="973"/>
    </row>
    <row r="43" spans="1:12" ht="15.75" thickBot="1">
      <c r="A43" s="950"/>
      <c r="B43" s="979"/>
      <c r="C43" s="980"/>
      <c r="D43" s="980"/>
      <c r="E43" s="981"/>
      <c r="F43" s="45"/>
      <c r="G43" s="982"/>
      <c r="H43" s="965"/>
      <c r="I43" s="965"/>
      <c r="J43" s="965"/>
      <c r="K43" s="965"/>
      <c r="L43" s="974"/>
    </row>
  </sheetData>
  <mergeCells count="67">
    <mergeCell ref="A32:A43"/>
    <mergeCell ref="B42:E43"/>
    <mergeCell ref="G42:I43"/>
    <mergeCell ref="G38:I39"/>
    <mergeCell ref="B38:E39"/>
    <mergeCell ref="B40:E41"/>
    <mergeCell ref="B34:E35"/>
    <mergeCell ref="G34:I35"/>
    <mergeCell ref="B36:E37"/>
    <mergeCell ref="G36:I37"/>
    <mergeCell ref="B32:E3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B10:L11"/>
    <mergeCell ref="K13:L13"/>
    <mergeCell ref="G13:I13"/>
    <mergeCell ref="G24:I25"/>
    <mergeCell ref="G31:I31"/>
    <mergeCell ref="J24:J25"/>
    <mergeCell ref="E27:I27"/>
    <mergeCell ref="B31:E31"/>
  </mergeCells>
  <phoneticPr fontId="23"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2"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Violeta</cp:lastModifiedBy>
  <cp:lastPrinted>2016-05-05T11:20:25Z</cp:lastPrinted>
  <dcterms:created xsi:type="dcterms:W3CDTF">2011-10-24T05:51:11Z</dcterms:created>
  <dcterms:modified xsi:type="dcterms:W3CDTF">2016-05-06T10:48:11Z</dcterms:modified>
</cp:coreProperties>
</file>