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E:\Communication CCM\10. Recipienții Principali - granturi FG\UCIMP\Dashboard&amp;NoteInfo\Dashboard\"/>
    </mc:Choice>
  </mc:AlternateContent>
  <bookViews>
    <workbookView xWindow="0" yWindow="0" windowWidth="28800" windowHeight="11535" tabRatio="721" activeTab="8"/>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uni"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4">Financiar!$A$2:$K$31</definedName>
    <definedName name="_xlnm.Print_Area" localSheetId="2">'Introducerea datelor'!$A$1:$S$150</definedName>
    <definedName name="_xlnm.Print_Area" localSheetId="5">Management!$A$1:$M$36</definedName>
    <definedName name="_xlnm.Print_Area" localSheetId="6">Programatic!$A$1:$Q$27</definedName>
    <definedName name="PrintA">Actiuni!$A$2:$L$34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Actiuni!$A$2:$L$6</definedName>
    <definedName name="PrintM">Management!$A$2:$L$35</definedName>
    <definedName name="PrintP">Programatic!$A$2:$P$27</definedName>
    <definedName name="PrintR">Recomandari!$A$2:$N$39</definedName>
    <definedName name="Rating">Setup!$G$9:$G$14</definedName>
    <definedName name="Round">Setup!$D$9:$D$21</definedName>
  </definedNames>
  <calcPr calcId="152511"/>
</workbook>
</file>

<file path=xl/calcChain.xml><?xml version="1.0" encoding="utf-8"?>
<calcChain xmlns="http://schemas.openxmlformats.org/spreadsheetml/2006/main">
  <c r="D23" i="42" l="1"/>
  <c r="G20" i="37" l="1"/>
  <c r="D42" i="29" l="1"/>
  <c r="D41" i="29"/>
  <c r="D40" i="29"/>
  <c r="D39" i="29"/>
  <c r="C42" i="29"/>
  <c r="C41" i="29"/>
  <c r="C40" i="29"/>
  <c r="C39" i="29"/>
  <c r="D43" i="29" l="1"/>
  <c r="D34" i="42" l="1"/>
  <c r="H29" i="35" l="1"/>
  <c r="I29" i="35"/>
  <c r="J29" i="35"/>
  <c r="K29" i="35"/>
  <c r="L29" i="35"/>
  <c r="I30" i="35"/>
  <c r="J30" i="35"/>
  <c r="K30" i="35"/>
  <c r="L30" i="35"/>
  <c r="I31" i="35"/>
  <c r="J31" i="35"/>
  <c r="K31" i="35"/>
  <c r="L31" i="35"/>
  <c r="I32" i="35"/>
  <c r="J32" i="35"/>
  <c r="K32" i="35"/>
  <c r="L32" i="35"/>
  <c r="G72" i="29" l="1"/>
  <c r="G73" i="29"/>
  <c r="I146" i="29" l="1"/>
  <c r="D36" i="42" l="1"/>
  <c r="D37" i="42"/>
  <c r="D35" i="42"/>
  <c r="B24" i="37" l="1"/>
  <c r="Z24" i="37"/>
  <c r="AA24" i="37" s="1"/>
  <c r="X24" i="37"/>
  <c r="W24" i="37"/>
  <c r="V24" i="37"/>
  <c r="U24" i="37"/>
  <c r="T24" i="37"/>
  <c r="B22" i="37"/>
  <c r="Z22" i="37"/>
  <c r="AA22" i="37" s="1"/>
  <c r="AF22" i="37" s="1"/>
  <c r="X22" i="37"/>
  <c r="W22" i="37"/>
  <c r="V22" i="37"/>
  <c r="U22" i="37"/>
  <c r="T22" i="37"/>
  <c r="G22" i="37"/>
  <c r="AF24" i="37" l="1"/>
  <c r="AB24" i="37"/>
  <c r="AE24" i="37"/>
  <c r="AD24" i="37"/>
  <c r="AC24" i="37"/>
  <c r="AC22" i="37"/>
  <c r="AD22" i="37"/>
  <c r="AE22" i="37"/>
  <c r="AB22" i="37"/>
  <c r="D12" i="42" l="1"/>
  <c r="B25" i="37" l="1"/>
  <c r="D24" i="42" l="1"/>
  <c r="G21" i="37"/>
  <c r="D29" i="42" l="1"/>
  <c r="C47" i="29" l="1"/>
  <c r="D47" i="29"/>
  <c r="Q3" i="37" l="1"/>
  <c r="B20" i="37" l="1"/>
  <c r="C4" i="37" l="1"/>
  <c r="B32" i="29" l="1"/>
  <c r="B31" i="29"/>
  <c r="E51" i="29"/>
  <c r="D38" i="29"/>
  <c r="C38" i="29"/>
  <c r="B145" i="29"/>
  <c r="B22" i="45"/>
  <c r="C33" i="29"/>
  <c r="D33" i="29" s="1"/>
  <c r="R30" i="29" s="1"/>
  <c r="B2" i="45"/>
  <c r="B2" i="39"/>
  <c r="B2" i="42"/>
  <c r="B2" i="37"/>
  <c r="B2" i="35"/>
  <c r="K5" i="30"/>
  <c r="K4" i="30"/>
  <c r="L5" i="35"/>
  <c r="L4" i="35"/>
  <c r="Q5" i="37"/>
  <c r="Q4" i="37"/>
  <c r="M5" i="42"/>
  <c r="M4" i="42"/>
  <c r="L5" i="39"/>
  <c r="L4" i="39"/>
  <c r="C3" i="39"/>
  <c r="B3" i="39"/>
  <c r="C4" i="42"/>
  <c r="C3" i="42"/>
  <c r="B3" i="42"/>
  <c r="C3" i="37"/>
  <c r="B3" i="37"/>
  <c r="C4" i="35"/>
  <c r="C3" i="35"/>
  <c r="B3" i="35"/>
  <c r="C4" i="30"/>
  <c r="C3" i="30"/>
  <c r="B3" i="30"/>
  <c r="B2" i="30"/>
  <c r="I9" i="27"/>
  <c r="G9" i="27"/>
  <c r="G13" i="27"/>
  <c r="G11" i="27"/>
  <c r="D11" i="27"/>
  <c r="B12" i="27"/>
  <c r="D10" i="27"/>
  <c r="B10" i="27"/>
  <c r="B9" i="27"/>
  <c r="B6" i="27"/>
  <c r="B3" i="27"/>
  <c r="B3" i="32" s="1"/>
  <c r="B4" i="1"/>
  <c r="E90" i="29"/>
  <c r="E89" i="29"/>
  <c r="C34" i="29"/>
  <c r="D34" i="29" s="1"/>
  <c r="E34" i="29" s="1"/>
  <c r="F34" i="29" s="1"/>
  <c r="G34" i="29" s="1"/>
  <c r="H34" i="29" s="1"/>
  <c r="I34" i="29" s="1"/>
  <c r="J34" i="29" s="1"/>
  <c r="K34" i="29" s="1"/>
  <c r="L34" i="29" s="1"/>
  <c r="O31" i="29" s="1"/>
  <c r="D11" i="42"/>
  <c r="J3" i="35"/>
  <c r="L3" i="35"/>
  <c r="I3" i="30"/>
  <c r="K3" i="30"/>
  <c r="D33" i="42"/>
  <c r="D38" i="42"/>
  <c r="D39" i="42"/>
  <c r="D32" i="42"/>
  <c r="D31" i="42"/>
  <c r="D30" i="42"/>
  <c r="E109" i="29"/>
  <c r="G109" i="29" s="1"/>
  <c r="I109" i="29" s="1"/>
  <c r="E108" i="29"/>
  <c r="G108" i="29" s="1"/>
  <c r="I108" i="29" s="1"/>
  <c r="E110" i="29"/>
  <c r="G110" i="29" s="1"/>
  <c r="I110" i="29" s="1"/>
  <c r="E111" i="29"/>
  <c r="G111" i="29" s="1"/>
  <c r="I111" i="29" s="1"/>
  <c r="L146" i="29"/>
  <c r="M146" i="29"/>
  <c r="L147" i="29"/>
  <c r="M147" i="29"/>
  <c r="L148" i="29"/>
  <c r="M148" i="29"/>
  <c r="L149" i="29"/>
  <c r="M149" i="29"/>
  <c r="L150" i="29"/>
  <c r="M150" i="29"/>
  <c r="M145" i="29"/>
  <c r="F147" i="29"/>
  <c r="F149" i="29"/>
  <c r="F145" i="29"/>
  <c r="E147" i="29"/>
  <c r="E149" i="29"/>
  <c r="E145" i="29"/>
  <c r="B147" i="29"/>
  <c r="B149" i="29"/>
  <c r="M33" i="29"/>
  <c r="M35" i="29" s="1"/>
  <c r="N33" i="29"/>
  <c r="N35" i="29" s="1"/>
  <c r="M34" i="29"/>
  <c r="N34" i="29"/>
  <c r="H29" i="30"/>
  <c r="H28" i="30"/>
  <c r="H27" i="30"/>
  <c r="D22" i="42"/>
  <c r="D21" i="42"/>
  <c r="D20" i="42"/>
  <c r="D19" i="42"/>
  <c r="D14" i="42"/>
  <c r="D13" i="42"/>
  <c r="B25" i="45"/>
  <c r="B23" i="45"/>
  <c r="B21" i="45"/>
  <c r="B20" i="45"/>
  <c r="B19" i="45"/>
  <c r="B11" i="45"/>
  <c r="B10" i="45"/>
  <c r="B9" i="45"/>
  <c r="B8" i="45"/>
  <c r="B4" i="37"/>
  <c r="B4" i="35"/>
  <c r="B4" i="30"/>
  <c r="E20" i="42"/>
  <c r="G12" i="27"/>
  <c r="H4" i="1"/>
  <c r="K150" i="29"/>
  <c r="K149" i="29"/>
  <c r="K148" i="29"/>
  <c r="K147" i="29"/>
  <c r="K146" i="29"/>
  <c r="K145" i="29"/>
  <c r="C98" i="29"/>
  <c r="D98" i="29" s="1"/>
  <c r="E98" i="29" s="1"/>
  <c r="F98" i="29" s="1"/>
  <c r="G98" i="29" s="1"/>
  <c r="H98" i="29" s="1"/>
  <c r="I98" i="29" s="1"/>
  <c r="J98" i="29" s="1"/>
  <c r="K98" i="29" s="1"/>
  <c r="L98" i="29" s="1"/>
  <c r="M98" i="29" s="1"/>
  <c r="N98" i="29" s="1"/>
  <c r="K28" i="30"/>
  <c r="J28" i="30"/>
  <c r="K29" i="30"/>
  <c r="J29" i="30"/>
  <c r="E53" i="29"/>
  <c r="E52" i="29"/>
  <c r="B4" i="39"/>
  <c r="D5" i="39"/>
  <c r="E4" i="39"/>
  <c r="K5" i="39"/>
  <c r="J4" i="39"/>
  <c r="L3" i="39"/>
  <c r="J3" i="39"/>
  <c r="L5" i="42"/>
  <c r="L4" i="42"/>
  <c r="E5" i="42"/>
  <c r="E4" i="42"/>
  <c r="B4" i="42"/>
  <c r="M3" i="42"/>
  <c r="L3" i="42"/>
  <c r="E4" i="37"/>
  <c r="B25"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5" i="29"/>
  <c r="J150" i="29"/>
  <c r="J149" i="29"/>
  <c r="J148" i="29"/>
  <c r="J147" i="29"/>
  <c r="J146" i="29"/>
  <c r="J145" i="29"/>
  <c r="I150" i="29"/>
  <c r="I149" i="29"/>
  <c r="I148" i="29"/>
  <c r="I147" i="29"/>
  <c r="I145" i="29"/>
  <c r="H148" i="29"/>
  <c r="H147" i="29"/>
  <c r="H146" i="29"/>
  <c r="H145" i="29"/>
  <c r="B23" i="37"/>
  <c r="B21" i="37"/>
  <c r="E55" i="29"/>
  <c r="B36" i="39"/>
  <c r="B34" i="39"/>
  <c r="E54" i="29"/>
  <c r="B36" i="35"/>
  <c r="R29" i="29"/>
  <c r="Z25" i="37"/>
  <c r="AA25" i="37" s="1"/>
  <c r="Z23" i="37"/>
  <c r="AA23" i="37" s="1"/>
  <c r="AF21" i="37"/>
  <c r="AE21" i="37"/>
  <c r="AD21" i="37"/>
  <c r="AC21" i="37"/>
  <c r="AB21" i="37"/>
  <c r="T21" i="37"/>
  <c r="U21" i="37"/>
  <c r="V21" i="37"/>
  <c r="W21" i="37"/>
  <c r="X21" i="37"/>
  <c r="T23" i="37"/>
  <c r="U23" i="37"/>
  <c r="V23" i="37"/>
  <c r="W23" i="37"/>
  <c r="X23" i="37"/>
  <c r="T25" i="37"/>
  <c r="U25" i="37"/>
  <c r="V25" i="37"/>
  <c r="W25" i="37"/>
  <c r="X25" i="37"/>
  <c r="U26" i="37"/>
  <c r="T27" i="37"/>
  <c r="B26" i="37"/>
  <c r="T26" i="37"/>
  <c r="V26" i="37"/>
  <c r="X26" i="37"/>
  <c r="B27" i="37"/>
  <c r="T28" i="37"/>
  <c r="U27" i="37"/>
  <c r="W27" i="37"/>
  <c r="U28" i="37"/>
  <c r="W28" i="37"/>
  <c r="T29" i="37"/>
  <c r="U29" i="37"/>
  <c r="V29" i="37"/>
  <c r="W29" i="37"/>
  <c r="X29" i="37"/>
  <c r="T30" i="37"/>
  <c r="U30" i="37"/>
  <c r="V30" i="37"/>
  <c r="W30" i="37"/>
  <c r="X30" i="37"/>
  <c r="X28" i="37"/>
  <c r="V28" i="37"/>
  <c r="X27" i="37"/>
  <c r="V27" i="37"/>
  <c r="W26" i="37"/>
  <c r="C35" i="29"/>
  <c r="H25" i="35" l="1"/>
  <c r="B7" i="35"/>
  <c r="H7" i="35"/>
  <c r="H14" i="35"/>
  <c r="B14" i="35"/>
  <c r="H22" i="30"/>
  <c r="K109" i="29"/>
  <c r="K110" i="29"/>
  <c r="K111" i="29"/>
  <c r="K108" i="29"/>
  <c r="D35" i="29"/>
  <c r="Q51" i="29"/>
  <c r="E33" i="29"/>
  <c r="F20" i="42"/>
  <c r="B2" i="1"/>
  <c r="AF23" i="37"/>
  <c r="AB23" i="37"/>
  <c r="AC23" i="37"/>
  <c r="B8" i="30"/>
  <c r="AE23" i="37"/>
  <c r="H8" i="30"/>
  <c r="AD23" i="37"/>
  <c r="G27" i="37"/>
  <c r="AB25" i="37"/>
  <c r="AC25" i="37"/>
  <c r="AE25" i="37"/>
  <c r="AF25" i="37"/>
  <c r="AD25" i="37"/>
  <c r="B22" i="30"/>
  <c r="F33" i="29" l="1"/>
  <c r="E35" i="29"/>
  <c r="R31" i="29"/>
  <c r="G33" i="29" l="1"/>
  <c r="R32" i="29"/>
  <c r="F35" i="29"/>
  <c r="H33" i="29" l="1"/>
  <c r="I33" i="29" s="1"/>
  <c r="J33" i="29" s="1"/>
  <c r="R33" i="29"/>
  <c r="G35" i="29"/>
  <c r="J35" i="29" l="1"/>
  <c r="K33" i="29"/>
  <c r="R49" i="29"/>
  <c r="R35" i="29"/>
  <c r="I35" i="29"/>
  <c r="R34" i="29"/>
  <c r="H35" i="29"/>
  <c r="F47" i="29" l="1"/>
  <c r="L33" i="29"/>
  <c r="L35" i="29" s="1"/>
  <c r="K35" i="29"/>
  <c r="R50" i="29"/>
</calcChain>
</file>

<file path=xl/comments1.xml><?xml version="1.0" encoding="utf-8"?>
<comments xmlns="http://schemas.openxmlformats.org/spreadsheetml/2006/main">
  <authors>
    <author>mgleixner</author>
    <author>molszak</author>
    <author>F station</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 ref="N130"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32" authorId="2" shapeId="0">
      <text>
        <r>
          <rPr>
            <b/>
            <sz val="9"/>
            <color indexed="81"/>
            <rFont val="Tahoma"/>
            <family val="2"/>
            <charset val="204"/>
          </rPr>
          <t>F station:</t>
        </r>
        <r>
          <rPr>
            <sz val="9"/>
            <color indexed="81"/>
            <rFont val="Tahoma"/>
            <family val="2"/>
            <charset val="204"/>
          </rPr>
          <t xml:space="preserve">
incepind cu a. 2013 indicatorul este cumulativ annual, si se raporteaza ca numar si procent din populatia totala estimata</t>
        </r>
      </text>
    </comment>
    <comment ref="N134" authorId="2" shapeId="0">
      <text>
        <r>
          <rPr>
            <b/>
            <sz val="9"/>
            <color indexed="81"/>
            <rFont val="Tahoma"/>
            <family val="2"/>
            <charset val="204"/>
          </rPr>
          <t>F station:</t>
        </r>
        <r>
          <rPr>
            <sz val="9"/>
            <color indexed="81"/>
            <rFont val="Tahoma"/>
            <family val="2"/>
            <charset val="204"/>
          </rPr>
          <t xml:space="preserve">
incepind cu a. 2013 indicatorul este cumulativ anual si se raporteaza ca numar si procent din populatia totala estimata</t>
        </r>
      </text>
    </comment>
  </commentList>
</comments>
</file>

<file path=xl/sharedStrings.xml><?xml version="1.0" encoding="utf-8"?>
<sst xmlns="http://schemas.openxmlformats.org/spreadsheetml/2006/main" count="648" uniqueCount="526">
  <si>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</si>
  <si>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</si>
  <si>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</si>
  <si>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</si>
  <si>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Title of the Grant:</t>
  </si>
  <si>
    <t>€</t>
  </si>
  <si>
    <t>Round 9</t>
  </si>
  <si>
    <t>Phase 2</t>
  </si>
  <si>
    <t>Round 1</t>
  </si>
  <si>
    <t>Phase 1</t>
  </si>
  <si>
    <t>$</t>
  </si>
  <si>
    <t>Round 2</t>
  </si>
  <si>
    <t>to:</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</si>
  <si>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</si>
  <si>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</si>
  <si>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</si>
  <si>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</si>
  <si>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</si>
  <si>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</si>
  <si>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</si>
  <si>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</si>
  <si>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</si>
  <si>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</si>
  <si>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</si>
  <si>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</si>
  <si>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</si>
  <si>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</si>
  <si>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</si>
  <si>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</si>
  <si>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</si>
  <si>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</si>
  <si>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</si>
  <si>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</si>
  <si>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</si>
  <si>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</si>
  <si>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</si>
  <si>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</si>
  <si>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</si>
  <si>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</si>
  <si>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</si>
  <si>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</si>
  <si>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</si>
  <si>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</si>
  <si>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</si>
  <si>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</si>
  <si>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</si>
  <si>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</si>
  <si>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</si>
  <si>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</si>
  <si>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</si>
  <si>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</si>
  <si>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</si>
  <si>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</si>
  <si>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</si>
  <si>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</si>
  <si>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</si>
  <si>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</si>
  <si>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</si>
  <si>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</si>
  <si>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</si>
  <si>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</si>
  <si>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</si>
  <si>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</si>
  <si>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</si>
  <si>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</si>
  <si>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</si>
  <si>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</si>
  <si>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</si>
  <si>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</si>
  <si>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</si>
  <si>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</si>
  <si>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</si>
  <si>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</si>
  <si>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</si>
  <si>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</si>
  <si>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</si>
  <si>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</si>
  <si>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</si>
  <si>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</si>
  <si>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</si>
  <si>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</si>
  <si>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</si>
  <si>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</si>
  <si>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</si>
  <si>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</si>
  <si>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</si>
  <si>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</si>
  <si>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</si>
  <si>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</si>
  <si>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</si>
  <si>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</si>
  <si>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</si>
  <si>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</si>
  <si>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</si>
  <si>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</si>
  <si>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</si>
  <si>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</si>
  <si>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</si>
  <si>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</si>
  <si>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</si>
  <si>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</si>
  <si>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</si>
  <si>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</si>
  <si>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</si>
  <si>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</si>
  <si>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</si>
  <si>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</si>
  <si>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</si>
  <si>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</si>
  <si>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</si>
  <si>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</si>
  <si>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</si>
  <si>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</si>
  <si>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</si>
  <si>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</si>
  <si>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</si>
  <si>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</si>
  <si>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</si>
  <si>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</si>
  <si>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</si>
  <si>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</si>
  <si>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</si>
  <si>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</si>
  <si>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</si>
  <si>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</si>
  <si>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</si>
  <si>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</si>
  <si>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</si>
  <si>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</si>
  <si>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</si>
  <si>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</si>
  <si>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</si>
  <si>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</si>
  <si>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</si>
  <si>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</si>
  <si>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</si>
  <si>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</si>
  <si>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</si>
  <si>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</si>
  <si>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</si>
  <si>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</si>
  <si>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</si>
  <si>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</si>
  <si>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</si>
  <si>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</si>
  <si>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</si>
  <si>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</si>
  <si>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</si>
  <si>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</si>
  <si>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</si>
  <si>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</si>
  <si>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</si>
  <si>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</si>
  <si>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</si>
  <si>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</si>
  <si>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</si>
  <si>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</si>
  <si>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</si>
  <si>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</si>
  <si>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</si>
  <si>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</si>
  <si>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</si>
  <si>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</si>
  <si>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</si>
  <si>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</si>
  <si>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</si>
  <si>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</si>
  <si>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</si>
  <si>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</si>
  <si>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</si>
  <si>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</si>
  <si>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</si>
  <si>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</si>
  <si>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</si>
  <si>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</si>
  <si>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</si>
  <si>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</si>
  <si>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</si>
  <si>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</si>
  <si>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</si>
  <si>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</si>
  <si>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</si>
  <si>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</si>
  <si>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</si>
  <si>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</si>
  <si>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</si>
  <si>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</si>
  <si>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</si>
  <si>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</si>
  <si>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</si>
  <si>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</si>
  <si>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</si>
  <si>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</si>
  <si>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</si>
  <si>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</si>
  <si>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</si>
  <si>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</si>
  <si>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</si>
  <si>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</si>
  <si>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</si>
  <si>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</si>
  <si>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</si>
  <si>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</si>
  <si>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</si>
  <si>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</si>
  <si>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</si>
  <si>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</si>
  <si>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</si>
  <si>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</si>
  <si>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</si>
  <si>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</si>
  <si>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</si>
  <si>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</si>
  <si>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</si>
  <si>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</si>
  <si>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</si>
  <si>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</si>
  <si>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</si>
  <si>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</si>
  <si>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</si>
  <si>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</si>
  <si>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</si>
  <si>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</si>
  <si>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</si>
  <si>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</si>
  <si>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</si>
  <si>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</si>
  <si>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</si>
  <si>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</si>
  <si>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</si>
  <si>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</si>
  <si>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</si>
  <si>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</si>
  <si>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</si>
  <si>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</si>
  <si>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</si>
  <si>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</si>
  <si>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</si>
  <si>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</si>
  <si>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</si>
  <si>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</si>
  <si>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</si>
  <si>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</si>
  <si>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</si>
  <si>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</si>
  <si>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</si>
  <si>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</si>
  <si>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</si>
  <si>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</si>
  <si>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</si>
  <si>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</si>
  <si>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</si>
  <si>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</si>
  <si>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</si>
  <si>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 xml:space="preserve">Last fund disbursement: Calendar days </t>
  </si>
  <si>
    <t>E-PAP</t>
  </si>
  <si>
    <t>Al/Lum</t>
  </si>
  <si>
    <t>TB nutri'l supplements</t>
  </si>
  <si>
    <t>P1 - trend</t>
  </si>
  <si>
    <t>P2 - trend</t>
  </si>
  <si>
    <t>P3 - trend</t>
  </si>
  <si>
    <t>Set-up = List of validation for Grant Detail page</t>
  </si>
  <si>
    <t>Phase:</t>
  </si>
  <si>
    <t>Grant No.</t>
  </si>
  <si>
    <t>Difference between current stock and safety stock</t>
  </si>
  <si>
    <t>Months of safety stock</t>
  </si>
  <si>
    <t>0% - 59%</t>
  </si>
  <si>
    <t>60% - 89%</t>
  </si>
  <si>
    <t>&gt; 90%</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</si>
  <si>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</si>
  <si>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</si>
  <si>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</si>
  <si>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</si>
  <si>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</si>
  <si>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</si>
  <si>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</si>
  <si>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</si>
  <si>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</si>
  <si>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</si>
  <si>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</si>
  <si>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</si>
  <si>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</si>
  <si>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</si>
  <si>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</si>
  <si>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</si>
  <si>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</si>
  <si>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</si>
  <si>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</si>
  <si>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</si>
  <si>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Please Select</t>
  </si>
  <si>
    <t>TOP 3</t>
  </si>
  <si>
    <t>SSR to SR</t>
  </si>
  <si>
    <t>SRs to PR</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</si>
  <si>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</si>
  <si>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</si>
  <si>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</si>
  <si>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</si>
  <si>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</si>
  <si>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</si>
  <si>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</si>
  <si>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</si>
  <si>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</si>
  <si>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</si>
  <si>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</si>
  <si>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Periodicitatea măsurării</t>
  </si>
  <si>
    <t>cumulativ anual</t>
  </si>
  <si>
    <t xml:space="preserve">cumulativ pe perioada programului </t>
  </si>
  <si>
    <t>Sursa datelor</t>
  </si>
  <si>
    <t>Target // Ținta</t>
  </si>
  <si>
    <t>Achieved // Realizat</t>
  </si>
  <si>
    <t>Code / codul</t>
  </si>
  <si>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</si>
  <si>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</si>
  <si>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</si>
  <si>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</si>
  <si>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</si>
  <si>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</si>
  <si>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t xml:space="preserve">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</si>
  <si>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</si>
  <si>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</si>
  <si>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</si>
  <si>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</si>
  <si>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</si>
  <si>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</si>
  <si>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</si>
  <si>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</si>
  <si>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</si>
  <si>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</si>
  <si>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</si>
  <si>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</si>
  <si>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</si>
  <si>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</si>
  <si>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</si>
  <si>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</si>
  <si>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</si>
  <si>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</si>
  <si>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</si>
  <si>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</si>
  <si>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</si>
  <si>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Planificate</t>
  </si>
  <si>
    <t>Completate</t>
  </si>
  <si>
    <t>Vacante</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</si>
  <si>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</si>
  <si>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</si>
  <si>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</si>
  <si>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</si>
  <si>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</si>
  <si>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</si>
  <si>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</si>
  <si>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</si>
  <si>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</si>
  <si>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</si>
  <si>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</si>
  <si>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</si>
  <si>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</si>
  <si>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</si>
  <si>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</si>
  <si>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</si>
  <si>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</si>
  <si>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</si>
  <si>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</si>
  <si>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</si>
  <si>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</si>
  <si>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</si>
  <si>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</si>
  <si>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</si>
  <si>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</si>
  <si>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</si>
  <si>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</si>
  <si>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</si>
  <si>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</si>
  <si>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</si>
  <si>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</si>
  <si>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</si>
  <si>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</si>
  <si>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</si>
  <si>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</si>
  <si>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</si>
  <si>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</si>
  <si>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</si>
  <si>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</si>
  <si>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Recipientul Principal:</t>
  </si>
  <si>
    <t>Data Demarării (zz/ll/aa):</t>
  </si>
  <si>
    <t>Ultimul Rating:</t>
  </si>
  <si>
    <t>Numele Grantului:</t>
  </si>
  <si>
    <t>Componenta:</t>
  </si>
  <si>
    <t>Runda:</t>
  </si>
  <si>
    <t>Agentul Local:</t>
  </si>
  <si>
    <t>Suma totală:</t>
  </si>
  <si>
    <t>Faza:</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</si>
  <si>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</si>
  <si>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</si>
  <si>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</si>
  <si>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</si>
  <si>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</si>
  <si>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</si>
  <si>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</si>
  <si>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</si>
  <si>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</si>
  <si>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</si>
  <si>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</si>
  <si>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</si>
  <si>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</si>
  <si>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</si>
  <si>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</si>
  <si>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</si>
  <si>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</si>
  <si>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&gt;80</t>
  </si>
  <si>
    <r>
      <t xml:space="preserve">50.2% of PLWHA have been screened for tuberculosis during year 2012. In absolute figures this represents 2,409 PLWHA (1,725 from the right bank and 684 from the left bank) from the total of 4,800 PLWHA (3,278 on the right bank and 1,522 on the left bank) on evidence at the end of year 2012.
</t>
    </r>
    <r>
      <rPr>
        <sz val="8"/>
        <color theme="4" tint="-0.249977111117893"/>
        <rFont val="Calibri"/>
        <family val="2"/>
        <charset val="204"/>
      </rPr>
      <t>//50.2% din PTHS au fost testați la TB pe parcursul anului 2012. În cifre absolute aceasta constituie 2,409 PTHS (1,725 pe malul drept și 684 pe malul stîng) din totalul de 4,800 PTHS (3,278 de pe malul drept și 1,522 de pe malul stîng) aflați la evidență la finele anului 2012.</t>
    </r>
  </si>
  <si>
    <r>
      <t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t>
    </r>
    <r>
      <rPr>
        <sz val="8"/>
        <color indexed="8"/>
        <rFont val="Calibri"/>
        <family val="2"/>
      </rPr>
      <t xml:space="preserve">
</t>
    </r>
  </si>
  <si>
    <t xml:space="preserve">M2: Statutul pozițiilor cheie ale RP </t>
  </si>
  <si>
    <t>n/a</t>
  </si>
  <si>
    <t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t>
  </si>
  <si>
    <t xml:space="preserve">Percentage of adults and children with HIV known to be on treatment 12 months after initiation of antiretroviral therapy // Procentul adulţilor şi copiilor HIV infectaţi care se află în tratament 12 luni după iniţierea tratamentului antiretroviral </t>
  </si>
  <si>
    <r>
      <t xml:space="preserve">PMTCT-3: Percentage of infants born to HIV-positive women receiving a virological test for HIV within 2 months of birth // </t>
    </r>
    <r>
      <rPr>
        <b/>
        <sz val="11"/>
        <color theme="3" tint="-0.249977111117893"/>
        <rFont val="Arial"/>
        <family val="2"/>
        <charset val="204"/>
      </rPr>
      <t>Procentul copiilor nascuti de femei  infectate cu HIV care au fost testati la HIV in primele 2 luni de la nastere</t>
    </r>
  </si>
  <si>
    <r>
      <rPr>
        <b/>
        <sz val="11"/>
        <rFont val="Arial"/>
        <family val="2"/>
        <charset val="204"/>
      </rPr>
      <t xml:space="preserve">Percentage of adults and children with HIV known to be on treatment 12 months after initiation of antiretroviral therapy // </t>
    </r>
    <r>
      <rPr>
        <b/>
        <sz val="11"/>
        <color rgb="FF002060"/>
        <rFont val="Arial"/>
        <family val="2"/>
        <charset val="204"/>
      </rPr>
      <t xml:space="preserve">Procentul adulţilor şi copiilor HIV infectaţi care se află în tratament 12 luni după iniţierea tratamentului antiretroviral </t>
    </r>
  </si>
  <si>
    <r>
      <rPr>
        <b/>
        <sz val="11"/>
        <rFont val="Arial"/>
        <family val="2"/>
        <charset val="204"/>
      </rPr>
      <t>PMTCT-2: Percentage of HIV-positive pregnant women who received antiretrovirals to reduce the risk of mother-to-child transmission /</t>
    </r>
    <r>
      <rPr>
        <b/>
        <sz val="11"/>
        <color rgb="FF002060"/>
        <rFont val="Arial"/>
        <family val="2"/>
        <charset val="204"/>
      </rPr>
      <t xml:space="preserve">/ Procentul femeilor gravide infectate cu HIV care au beneficiat de tratament antiretroviral in vederea reducerii riscului de transmitere materno-fetala a infectiei </t>
    </r>
  </si>
  <si>
    <r>
      <rPr>
        <sz val="11"/>
        <rFont val="Arial"/>
        <family val="2"/>
        <charset val="204"/>
      </rPr>
      <t xml:space="preserve">Numerator: Number of adults and children who are still alive on antiretroviral therapy at 12 months after initiating treatment </t>
    </r>
    <r>
      <rPr>
        <sz val="11"/>
        <color rgb="FF002060"/>
        <rFont val="Arial"/>
        <family val="2"/>
      </rPr>
      <t xml:space="preserve">// Numarul adultilor si copiilor care sunt in viata si in terapie ARV 12 luni dupa initierea tratamentului
</t>
    </r>
    <r>
      <rPr>
        <sz val="11"/>
        <rFont val="Arial"/>
        <family val="2"/>
        <charset val="204"/>
      </rPr>
      <t>Denominator: Total number of adults and children who initiated ART who were expected to achieve 12-month outcomes within the reporting period</t>
    </r>
    <r>
      <rPr>
        <sz val="11"/>
        <color rgb="FF002060"/>
        <rFont val="Arial"/>
        <family val="2"/>
      </rPr>
      <t>.// Numarul total de adulti si copii care in perioada de raportare au facut 12 luni de la initierea TARV</t>
    </r>
  </si>
  <si>
    <r>
      <rPr>
        <sz val="11"/>
        <rFont val="Arial"/>
        <family val="2"/>
        <charset val="204"/>
      </rPr>
      <t xml:space="preserve">Numerator: Number of HIV-positive pregnant women who received a ARV prophylaxis treatment to reduce the likelihood of MTCT // </t>
    </r>
    <r>
      <rPr>
        <sz val="11"/>
        <color rgb="FF002060"/>
        <rFont val="Arial"/>
        <family val="2"/>
      </rPr>
      <t xml:space="preserve">Numarul femeilor gravide infectate cu HIV care au beneficiat de tratament ARV  in vederea reducerii riscului de transmitere materno-fetala a infectiei 
</t>
    </r>
    <r>
      <rPr>
        <sz val="11"/>
        <rFont val="Arial"/>
        <family val="2"/>
        <charset val="204"/>
      </rPr>
      <t xml:space="preserve">Denominator: Number of HIV positive pregnant women who delivered during the reporting period. // </t>
    </r>
    <r>
      <rPr>
        <sz val="11"/>
        <color rgb="FF002060"/>
        <rFont val="Arial"/>
        <family val="2"/>
      </rPr>
      <t>Numarul femeilor gravide infectate cu HIV care au nascut in perioada de raportare</t>
    </r>
  </si>
  <si>
    <r>
      <t xml:space="preserve">Numerator: Number of infants born to HIV-positive women receiving a virological test for HIV within 2 months of birth. // </t>
    </r>
    <r>
      <rPr>
        <sz val="11"/>
        <color theme="3" tint="-0.249977111117893"/>
        <rFont val="Arial"/>
        <family val="2"/>
        <charset val="204"/>
      </rPr>
      <t>Numarul copiilor nascuti de femei  infectate cu HIV care au fost testati la HIV in primele 2 luni de la nastere</t>
    </r>
    <r>
      <rPr>
        <sz val="11"/>
        <rFont val="Arial"/>
        <family val="2"/>
        <charset val="204"/>
      </rPr>
      <t xml:space="preserve">
Denominator: Number of infants born to HIV-positive mothers during the last 12 months // </t>
    </r>
    <r>
      <rPr>
        <sz val="11"/>
        <color theme="3" tint="-0.249977111117893"/>
        <rFont val="Arial"/>
        <family val="2"/>
        <charset val="204"/>
      </rPr>
      <t>Numarul copiilor nascuti de femei infectate cu HIV in ultilele 12 luni</t>
    </r>
  </si>
  <si>
    <r>
      <rPr>
        <sz val="11"/>
        <rFont val="Arial"/>
        <family val="2"/>
        <charset val="204"/>
      </rPr>
      <t xml:space="preserve">Register of new HIV infection cases and pregnant women's health cards. </t>
    </r>
    <r>
      <rPr>
        <sz val="11"/>
        <color theme="3" tint="-0.249977111117893"/>
        <rFont val="Arial"/>
        <family val="2"/>
        <charset val="204"/>
      </rPr>
      <t>/</t>
    </r>
    <r>
      <rPr>
        <sz val="11"/>
        <color rgb="FF002060"/>
        <rFont val="Arial"/>
        <family val="2"/>
      </rPr>
      <t>/ Registrele cazurilor noi de infectare cu HIV si cartela medicală a gravidei</t>
    </r>
  </si>
  <si>
    <r>
      <rPr>
        <sz val="11"/>
        <rFont val="Arial"/>
        <family val="2"/>
        <charset val="204"/>
      </rPr>
      <t xml:space="preserve">Registers of patients on ART (Centres of ARV treatment). </t>
    </r>
    <r>
      <rPr>
        <sz val="11"/>
        <color rgb="FF002060"/>
        <rFont val="Arial"/>
        <family val="2"/>
      </rPr>
      <t>// Registrele pacientilor in TARV (Centrele TARV)</t>
    </r>
  </si>
  <si>
    <r>
      <rPr>
        <sz val="11"/>
        <rFont val="Arial"/>
        <family val="2"/>
        <charset val="204"/>
      </rPr>
      <t>Administrative statistics</t>
    </r>
    <r>
      <rPr>
        <sz val="11"/>
        <color indexed="56"/>
        <rFont val="Arial"/>
        <family val="2"/>
      </rPr>
      <t xml:space="preserve"> // Statistica administrativa </t>
    </r>
  </si>
  <si>
    <t xml:space="preserve">anual </t>
  </si>
  <si>
    <t>semestrial</t>
  </si>
  <si>
    <r>
      <rPr>
        <b/>
        <sz val="11"/>
        <rFont val="Arial"/>
        <family val="2"/>
        <charset val="204"/>
      </rPr>
      <t xml:space="preserve">TCS-1: Percentage of adults and children currently receiving antiretroviral therapy among all adults and children living with HIV // </t>
    </r>
    <r>
      <rPr>
        <b/>
        <sz val="11"/>
        <color theme="3" tint="-0.249977111117893"/>
        <rFont val="Arial"/>
        <family val="2"/>
        <charset val="204"/>
      </rPr>
      <t>Procentul adultilor si copiilor in TARV in totalul adultilor si copiilor care traiesc cu HIV</t>
    </r>
  </si>
  <si>
    <r>
      <t xml:space="preserve">Numerator: Number of adults and children with advanced HIV infection who are currently receiving ART in accordance with the nationally approved treatment protocols at the end of the reporting period.// </t>
    </r>
    <r>
      <rPr>
        <sz val="11"/>
        <color theme="3" tint="-0.249977111117893"/>
        <rFont val="Arial"/>
        <family val="2"/>
        <charset val="204"/>
      </rPr>
      <t>Numarul adultilor si copiilor cu HIV care sunt in TARV in conformitate cu protocoalele nationale de tratament la finele perioadei de raportare</t>
    </r>
    <r>
      <rPr>
        <sz val="11"/>
        <rFont val="Arial"/>
        <family val="2"/>
        <charset val="204"/>
      </rPr>
      <t xml:space="preserve">
Denominator: Estimated number of adults and children living with HIV (data - generated by SECTRUM). // </t>
    </r>
    <r>
      <rPr>
        <sz val="11"/>
        <color theme="3" tint="-0.249977111117893"/>
        <rFont val="Arial"/>
        <family val="2"/>
        <charset val="204"/>
      </rPr>
      <t>Numarul estimat al adultilor si copiilor care traiesc cu HIV (date generate de SPECTRUM)</t>
    </r>
  </si>
  <si>
    <r>
      <rPr>
        <sz val="11"/>
        <rFont val="Arial"/>
        <family val="2"/>
        <charset val="204"/>
      </rPr>
      <t xml:space="preserve">Sursa de date (numarator): Registers of patients in ARV treatment from institutions providing ARV treatment.// </t>
    </r>
    <r>
      <rPr>
        <sz val="11"/>
        <color theme="3" tint="-0.249977111117893"/>
        <rFont val="Arial"/>
        <family val="2"/>
        <charset val="204"/>
      </rPr>
      <t xml:space="preserve">Registrele pacientilor in TARV ale centrelor de tratament </t>
    </r>
  </si>
  <si>
    <r>
      <rPr>
        <b/>
        <sz val="11"/>
        <rFont val="Arial"/>
        <family val="2"/>
        <charset val="204"/>
      </rPr>
      <t xml:space="preserve">TCS-2: Percentage of people living with HIV that initiated ART with CD4 count of &lt;200 cells/mm³ // </t>
    </r>
    <r>
      <rPr>
        <b/>
        <sz val="11"/>
        <color theme="3" tint="-0.249977111117893"/>
        <rFont val="Arial"/>
        <family val="2"/>
        <charset val="204"/>
      </rPr>
      <t>Procentul persoanelor infectate cu HIV care au initiat TARV cu nivelul CD4 &lt;200 celule/mm³</t>
    </r>
  </si>
  <si>
    <t>Numerator: number of adults living with HIV that initiated ART with CD4 count of &lt;200 cells/mm3 during the reported period.// numarul persoanelor infectate cu HIV care au initiat TARV cu nivelul CD4 &lt;200 celule/mm³ pe parcursul perioadei de raportare
Denominator: total number of adults that initiated ART during the reported period. // Numarul total al adultilor si copiilor care au initiat TARV pe parcursul perioadei de raportare</t>
  </si>
  <si>
    <r>
      <rPr>
        <sz val="11"/>
        <rFont val="Arial"/>
        <family val="2"/>
        <charset val="204"/>
      </rPr>
      <t>Registers of patients in ARV treatment from institutions providing ARV treatment.</t>
    </r>
    <r>
      <rPr>
        <sz val="11"/>
        <color indexed="56"/>
        <rFont val="Arial"/>
        <family val="2"/>
      </rPr>
      <t xml:space="preserve"> // Registrele pacientilor in TARV ale centrelor de tratament </t>
    </r>
  </si>
  <si>
    <r>
      <rPr>
        <b/>
        <sz val="11"/>
        <rFont val="Arial"/>
        <family val="2"/>
        <charset val="204"/>
      </rPr>
      <t xml:space="preserve">TCS-3: Percentage of adults and children that initiated ART, with an undetectable viral load at 12 months (&lt;1000 copies/ml) // </t>
    </r>
    <r>
      <rPr>
        <b/>
        <sz val="11"/>
        <color theme="3" tint="-0.249977111117893"/>
        <rFont val="Arial"/>
        <family val="2"/>
        <charset val="204"/>
      </rPr>
      <t>Procentul adultilor si copiilor care au initiat TARV care au incarcatura virala nedetectabila la 12 luni (&lt;1000 copii/ml)</t>
    </r>
  </si>
  <si>
    <r>
      <rPr>
        <sz val="11"/>
        <rFont val="Arial"/>
        <family val="2"/>
        <charset val="204"/>
      </rPr>
      <t xml:space="preserve">Numerator: Number of adult and pediatric patients with an undetectable viral load &lt;1,000 copies/ml at 12 months after initiating ART // </t>
    </r>
    <r>
      <rPr>
        <sz val="11"/>
        <color theme="3" tint="-0.249977111117893"/>
        <rFont val="Arial"/>
        <family val="2"/>
        <charset val="204"/>
      </rPr>
      <t>numarul adultilor si copiilor infectati cu HIV cu incarcatura virala nedetectabila &lt;1,000 copii/ml la 12 luni de la initierea TARV</t>
    </r>
    <r>
      <rPr>
        <sz val="11"/>
        <rFont val="Arial"/>
        <family val="2"/>
        <charset val="204"/>
      </rPr>
      <t xml:space="preserve">
Denominator: Number of adults and children who initiated ART in the 12 months prior to the beginning of the reporting period with a viral load count at 12 month visit. // </t>
    </r>
    <r>
      <rPr>
        <sz val="11"/>
        <color theme="3" tint="-0.249977111117893"/>
        <rFont val="Arial"/>
        <family val="2"/>
        <charset val="204"/>
      </rPr>
      <t>Numarul adultilor si copiilor care au initiat TARV in perioada de 12 luni anterior inceputului perioadei de raportare cu incarcatura virala nedetectabila la 12 luni de la initiere</t>
    </r>
    <r>
      <rPr>
        <sz val="11"/>
        <color indexed="56"/>
        <rFont val="Arial"/>
        <family val="2"/>
      </rPr>
      <t xml:space="preserve">
</t>
    </r>
  </si>
  <si>
    <t xml:space="preserve">Registers of patients in ARV treatment from institutions providing ARV treatment. // Registrele pacientilor in TARV ale centrelor de tratament </t>
  </si>
  <si>
    <r>
      <t xml:space="preserve">Programmatic Indicators (from Performance Framework, NFM, 2015-2017) </t>
    </r>
    <r>
      <rPr>
        <b/>
        <sz val="18"/>
        <color indexed="62"/>
        <rFont val="Calibri"/>
        <family val="2"/>
        <charset val="204"/>
      </rPr>
      <t>// Indicatori programatici conform Cadrului de Performanta, NMF, 2015-2017</t>
    </r>
  </si>
  <si>
    <t xml:space="preserve"> Definiție</t>
  </si>
  <si>
    <t>MDA-H-PCIMU</t>
  </si>
  <si>
    <t xml:space="preserve">Fortificarea controlului infecției HIV în RM (2015-2017)
</t>
  </si>
  <si>
    <t>Tsovinar Tsakanyan</t>
  </si>
  <si>
    <t>IP UCIMP DS</t>
  </si>
  <si>
    <t>PMTCT-2</t>
  </si>
  <si>
    <t>Indicator de rezultat durabil</t>
  </si>
  <si>
    <t>partial</t>
  </si>
  <si>
    <t>TCS-1: Percentage of adults and children currently receiving antiretroviral therapy among all adults and children living with HIV // Procentul adultilor si copiilor in TARV in totalul adultilor si copiilor care traiesc cu HIV</t>
  </si>
  <si>
    <t>TCS-1</t>
  </si>
  <si>
    <t>TCS-2: Percentage of people living with HIV that initiated ART with CD4 count of &lt;200 cells/mm³ // Procentul persoanelor infectate cu HIV care au initiat TARV cu nivelul CD4 &lt;200 celule/mm³</t>
  </si>
  <si>
    <t>TCS-2</t>
  </si>
  <si>
    <t>TCS-3</t>
  </si>
  <si>
    <t>P1 (S1 2015)</t>
  </si>
  <si>
    <t>P2 (S2 2015)</t>
  </si>
  <si>
    <t>P3 (S1 2016)</t>
  </si>
  <si>
    <t>P4 (S2 2016)</t>
  </si>
  <si>
    <t>P5 (S1 2017)</t>
  </si>
  <si>
    <t>P6 (S2 2017)</t>
  </si>
  <si>
    <t xml:space="preserve">Rezulta direct din activitatea FG? </t>
  </si>
  <si>
    <t>TCS-3: Percentage of adults and children that initiated ART, with an undetectable viral load at 12 months (&lt;1000 copies/ml) // Procentul adultilor si copiilor care au initiat TARV, care au incarcatura virala nedetectabila la 12 luni (&lt;1000 copii/ml)</t>
  </si>
  <si>
    <t>≧85%</t>
  </si>
  <si>
    <t>&lt;40%</t>
  </si>
  <si>
    <t>&lt;35%</t>
  </si>
  <si>
    <t>&lt;30%</t>
  </si>
  <si>
    <t>&gt;79%</t>
  </si>
  <si>
    <t>&gt;81%</t>
  </si>
  <si>
    <t>&gt;83%</t>
  </si>
  <si>
    <t>PMTCT-3: Percentage of infants born to HIV-positive women receiving a virological test for HIV within 2 months of birth // Procentul copiilor nascuti de femei  infectate cu HIV care au fost testati la HIV in primele 2 luni de la nastere</t>
  </si>
  <si>
    <t>PMTCT-3</t>
  </si>
  <si>
    <t>Cod</t>
  </si>
  <si>
    <t>Comentarii:</t>
  </si>
  <si>
    <t xml:space="preserve">Comentarii: </t>
  </si>
  <si>
    <t>Nu au fost inregistrate lipsuri de medicamente ARV sau intreruperi de tratament.</t>
  </si>
  <si>
    <r>
      <t>P1 (</t>
    </r>
    <r>
      <rPr>
        <b/>
        <sz val="11"/>
        <color indexed="17"/>
        <rFont val="Calibri"/>
        <family val="2"/>
        <charset val="204"/>
      </rPr>
      <t>Q1-2.2015</t>
    </r>
    <r>
      <rPr>
        <b/>
        <sz val="11"/>
        <color indexed="8"/>
        <rFont val="Calibri"/>
        <family val="2"/>
      </rPr>
      <t>)</t>
    </r>
  </si>
  <si>
    <t>001   Obiectiv 1. Sporirea accesului la prevenirea HIV bazata pe evidenta</t>
  </si>
  <si>
    <t>002   Obiectiv 2. Asigurarea accesului universal la tratament HIV cuprinzator, ingrijire si suport</t>
  </si>
  <si>
    <t>003   Obiectiv 3. Intarirea capacitatii comunitatilor si asigurarea durabilitatii programului</t>
  </si>
  <si>
    <t>004   Managementul grantului</t>
  </si>
  <si>
    <t>005   Angajamente 31.12.2014</t>
  </si>
  <si>
    <t>Sunt suplinite toate functiile de personal.</t>
  </si>
  <si>
    <t>Recomandari</t>
  </si>
  <si>
    <t>Sunt fondurile valorificate in conformitate cu bugetul?</t>
  </si>
  <si>
    <t xml:space="preserve">Sumarul Comentariilor </t>
  </si>
  <si>
    <t>Financiar</t>
  </si>
  <si>
    <t>Sunt achizitiile si recrutarea in conformitate cu graficul stabilit?</t>
  </si>
  <si>
    <t>Sunt tintele programatice atinse?</t>
  </si>
  <si>
    <t>Sumarul Comentariilor</t>
  </si>
  <si>
    <t xml:space="preserve">Care este statutul general al implementarii grantului? </t>
  </si>
  <si>
    <t xml:space="preserve">Decizii si actiuni </t>
  </si>
  <si>
    <t>Indicatori programatici</t>
  </si>
  <si>
    <t>Decizia CNC</t>
  </si>
  <si>
    <t>Recomandarile cheie de la grupurile de supervizare</t>
  </si>
  <si>
    <t>Perioada de raportare curenta</t>
  </si>
  <si>
    <t>Termen limita</t>
  </si>
  <si>
    <t>Persoana responsabila</t>
  </si>
  <si>
    <t>Actiuni spre implementar / Perioada Precedenta</t>
  </si>
  <si>
    <t xml:space="preserve">Actiuni intreprinse </t>
  </si>
  <si>
    <t>Data</t>
  </si>
  <si>
    <t xml:space="preserve">Persoana Responsabila </t>
  </si>
  <si>
    <t>Perioada de raportare precedenta</t>
  </si>
  <si>
    <t>Nr. Grantului :</t>
  </si>
  <si>
    <t>IP "UCIMP DS"</t>
  </si>
  <si>
    <t>Managerul de Portfoliu al Fondului:</t>
  </si>
  <si>
    <t xml:space="preserve">Informatia financiara: </t>
  </si>
  <si>
    <t>Tara:</t>
  </si>
  <si>
    <t>Perioada de raportare:</t>
  </si>
  <si>
    <t>Agentul Local al Fondului:</t>
  </si>
  <si>
    <t>Elaborat de:</t>
  </si>
  <si>
    <t>Data demararii:</t>
  </si>
  <si>
    <t>Recipient Principal:</t>
  </si>
  <si>
    <t>Total Finantare</t>
  </si>
  <si>
    <t>Managerul de Portofoliu al Fondului:</t>
  </si>
  <si>
    <t>Data elaborarii raportului:</t>
  </si>
  <si>
    <t>* Include numai AFR categoriile 4, 5 și 6  (Produse medicale și Echipamente medicale &amp; Medicamente și Produse farmaceutice)</t>
  </si>
  <si>
    <t xml:space="preserve">Către 30 iunie 2016, din Grantul „Fortificarea Controlului HIV în Republica Moldova al Fondului Global (nr.: MDA-H-PCIMU) au fost valorificați cumulativ 1,328,562 EUR, ceea ce constituie 41% din totalul de 3.212.688,00 EUR planificați pentru perioada ianuarie 2015 – decembrie 2017 (perioada grantului implementat prin Noul Mecanism de Finanțare al Fondului Global) și 76% din totalul de 1,751,264 EUR planificați a fi valorificați din sursele grantului până la finele perioadei de raportare. Rata de absorbtie a resurselor grantului in perioada de raportare a fost de 62.4%, variatia absoluta in valoare de 96425 EUR fiind in special conditionata de intirzierile inregistrate la componenta de monitorizare a pacientilor infectati cu HIV (procurarea de reagenti si consumabile pentru determinarea incarcaturii virale si testarea la celulele CD4) si implementarea sistemului informational integrat SIME HIV.
   </t>
  </si>
  <si>
    <t xml:space="preserve">Raportul de Progres privind implementarea grantului NFM in Semestrul I 2016 a fost remis Fondului Global  spre examinare si aprobare la data de 15 august 2016. </t>
  </si>
  <si>
    <r>
      <t>Descriere: În cazul IP UCIMPDS a fost stabilită acțiunea de management care condiționează deblocarea si posibilitatea valorificarii fondurilor alocate operaționalizării sistemului informațional SIME HIV de</t>
    </r>
    <r>
      <rPr>
        <b/>
        <sz val="8"/>
        <color indexed="8"/>
        <rFont val="Calibri"/>
        <family val="2"/>
        <charset val="204"/>
      </rPr>
      <t xml:space="preserve"> înregistrarea SIME HIV în Registrul sistemelor informationale utilizate la prelucrarea datelor cu caracter personal</t>
    </r>
    <r>
      <rPr>
        <sz val="8"/>
        <color indexed="8"/>
        <rFont val="Calibri"/>
        <family val="2"/>
      </rPr>
      <t>, in conformitate cu legislația Republicii Moldova, precum și de desemnarea oficială a instituției responsabile pentru SIME HIV.
Statut: A fost aprobat de către Ministerul Sănătății a Regulamentul privind organizarea și funcționarea subsistemului informațional integrat ”SIME HIV/SIDA/ITS”, precum si desemnata instituția responsabila pentru administrarea registrului și soluționarea problemelor ce țin de operaționalizarea acestuia. Problema a fost abordata si la nivelul Cancelariei de Stat, la moment setul de documente relevante fiind in curs de examinare de catre specialistii Cancelariei.</t>
    </r>
  </si>
  <si>
    <t xml:space="preserve">83,98% (755/899)
</t>
  </si>
  <si>
    <t xml:space="preserve">98 din cele 102 femei infectate cu HIV care au nascut in semestrul I 2016 au beneficiat de TARV in vederea reducerii riscului de transmitere materno-fetala a infectiei. 
Dezagregarea indicatorului pe tip de regim este urmatoarea: 
 Pe tot parcursul vieții ART, inclusiv opțiunea B + (recent inițiat în timpul sarcinii curente): 64,2% (63/98)
 Pe tot parcursul vieții ART, inclusiv opțiunea B + (deja tratament inițiat până la începutul sarcinii curente): 31,6% (31/98)
 Doză unică NVP  NUMAI - până în ultima fază: 4% (4/98)
Copii nascuti de femei HIV+ primesc TARV profilactic si formula de lapte praf timp de 12 luni. 
Activitatile ce tin de acest indicator sunt partial sustinute din Grantul curent. </t>
  </si>
  <si>
    <t>N/A</t>
  </si>
  <si>
    <t>Tinta pentru acest indicator este anuală, pentru semestrul I fiind raportat doar rezultatul absolut: 4.234.
Dezagregare:
 Bărbați: 2,105
 Femei:  2,129
 Adulți (15+): 4,120
 Copii (&lt;15): 114
Activitatile in cadrul acestui indicator sunt partial acoperite de Grantul FG.</t>
  </si>
  <si>
    <t>Tinta este anuala. Rezultatul pentru semestrul de raportare este de 37% (174/469)*
Dezagregare:
 Bărbați: 42% (99/235)
 Femei:  32% (75/234)
*N.B. ținta stabilită pentru perioada anterioară de raportare: &lt;40%</t>
  </si>
  <si>
    <t>Indicatorul nu este raportabil, dat fiind faptul că datele sunt colectate și validate annual</t>
  </si>
  <si>
    <t>98 din cele 102 femei infectate cu HIV care au nascut in semestrul I 2016 au beneficiat de TARV in vederea reducerii riscului de transmitere materno-fetala a infectiei (96%). Nivelul de realizare a tintei - 101%.</t>
  </si>
  <si>
    <t xml:space="preserve">Din cei 103 copii nascuti de femei HIV+ pe parcursul semestrului I 2016 95 au fost testati la HIV in primele 2 luni de la nastere.
</t>
  </si>
  <si>
    <t xml:space="preserve">Preparatele ARV pentru a. 2016 au fost livrate in termenii prestabiliti. Este in proces achizitia preparatelor pentru acoperirea necesitatilor a. 2017 si a 6 luni 2018. A fost lansat procesul de achizitia a uni lot de echipamente medicale destinate dotarii laboratoarelor de la IMSP SDMC si Centrul SIDA Tiraspol, cu livrarea planificata pentru jumatatea a 2-a a anului curent. Reagentii necesari acoperirii necesitatilor a. 2016 privind monitorizarea pacientilor infectati cu HIHV de pe ambele maluri au fost achizitionati, livrarile urmind a fi efectuate in jumatatea a 2-a a anului curent, in conformitate cu solicitarile institutiilor beneficiare. </t>
  </si>
  <si>
    <t>Tinta pentru acest indicator este anuală, pentru semestrul I fiind raportat doar rezultatul absolut: 4.234.</t>
  </si>
  <si>
    <t>Rezultatul raportat este pentru anul 2015, i.e. cohorta de pacienti HIV+ care au initiat TARV pe parcursul a. 2014  si care erau in viata si in tratament ARV 12 luni dupa initiere). 83,98% (755/899)</t>
  </si>
  <si>
    <t>Implementarea Grantului este, in linii generale, in conformitate cu planul de lucru, mai putin in ce priveste: (i) achizitionarea de echipamente destinate dotarii laboratoarelor centrelor TARV, conditionata de intirzieri in definitivarea specificatiilor tehnice de catre grupul de lucru creat in acest scop prin Ordinul MS si (ii) implementarea sistemului informational SIME HIV, conditionat de intirzieri in aprobarea, prin hotatire de guvern, a regulamentului privind functionarea sistemului (setul de documente necesare operationalizarii sistemului a fost elaborat si transmis MS in luna iunie 2014). Nivelul de atingere a tintelor este satisfacator. Ultimul rating acordat de FG (perioada S II 2015) este A1.</t>
  </si>
  <si>
    <t>A 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</si>
</sst>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 numFmtId="174" formatCode="0.0%"/>
    <numFmt numFmtId="175" formatCode="[$-409]d\-mmm\-yy;@"/>
  </numFmts>
  <fonts count="165">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sz val="8"/>
      <color theme="4" tint="-0.249977111117893"/>
      <name val="Calibri"/>
      <family val="2"/>
      <charset val="204"/>
    </font>
    <font>
      <sz val="8"/>
      <color theme="1"/>
      <name val="Calibri"/>
      <family val="2"/>
      <charset val="204"/>
    </font>
    <font>
      <b/>
      <sz val="10"/>
      <name val="Arial"/>
      <family val="2"/>
      <charset val="204"/>
    </font>
    <font>
      <b/>
      <sz val="10"/>
      <color theme="1"/>
      <name val="Arial"/>
      <family val="2"/>
      <charset val="204"/>
    </font>
    <font>
      <sz val="9"/>
      <color indexed="81"/>
      <name val="Tahoma"/>
      <family val="2"/>
      <charset val="204"/>
    </font>
    <font>
      <b/>
      <sz val="9"/>
      <color indexed="81"/>
      <name val="Tahoma"/>
      <family val="2"/>
      <charset val="204"/>
    </font>
    <font>
      <sz val="11"/>
      <name val="Calibri"/>
      <family val="2"/>
      <scheme val="minor"/>
    </font>
    <font>
      <sz val="11"/>
      <color rgb="FFFF0000"/>
      <name val="Calibri"/>
      <family val="2"/>
    </font>
    <font>
      <sz val="8"/>
      <name val="Calibri"/>
      <family val="2"/>
      <charset val="204"/>
    </font>
    <font>
      <sz val="11"/>
      <color rgb="FFFF0000"/>
      <name val="Calibri"/>
      <family val="2"/>
      <charset val="204"/>
    </font>
    <font>
      <b/>
      <sz val="11"/>
      <color theme="3" tint="-0.249977111117893"/>
      <name val="Arial"/>
      <family val="2"/>
      <charset val="204"/>
    </font>
    <font>
      <sz val="11"/>
      <color theme="3" tint="-0.249977111117893"/>
      <name val="Arial"/>
      <family val="2"/>
      <charset val="204"/>
    </font>
    <font>
      <b/>
      <sz val="11"/>
      <color theme="3" tint="-0.249977111117893"/>
      <name val="Calibri"/>
      <family val="2"/>
    </font>
    <font>
      <b/>
      <sz val="8"/>
      <color indexed="8"/>
      <name val="Calibri"/>
      <family val="2"/>
      <charset val="204"/>
    </font>
    <font>
      <sz val="9"/>
      <color indexed="8"/>
      <name val="Arial Black"/>
      <family val="2"/>
    </font>
    <font>
      <sz val="9"/>
      <color theme="1"/>
      <name val="Calibri"/>
      <family val="2"/>
      <scheme val="minor"/>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00B0F0"/>
        <bgColor indexed="64"/>
      </patternFill>
    </fill>
    <fill>
      <patternFill patternType="solid">
        <fgColor indexed="65"/>
        <bgColor indexed="64"/>
      </patternFill>
    </fill>
  </fills>
  <borders count="2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style="medium">
        <color indexed="51"/>
      </left>
      <right style="medium">
        <color indexed="51"/>
      </right>
      <top style="thin">
        <color indexed="64"/>
      </top>
      <bottom/>
      <diagonal/>
    </border>
    <border>
      <left style="medium">
        <color indexed="51"/>
      </left>
      <right/>
      <top style="thin">
        <color indexed="64"/>
      </top>
      <bottom/>
      <diagonal/>
    </border>
    <border>
      <left/>
      <right style="medium">
        <color indexed="51"/>
      </right>
      <top style="thin">
        <color indexed="64"/>
      </top>
      <bottom/>
      <diagonal/>
    </border>
    <border>
      <left style="thin">
        <color indexed="64"/>
      </left>
      <right style="medium">
        <color indexed="51"/>
      </right>
      <top/>
      <bottom style="thin">
        <color indexed="64"/>
      </bottom>
      <diagonal/>
    </border>
    <border>
      <left style="thin">
        <color indexed="16"/>
      </left>
      <right style="thin">
        <color indexed="64"/>
      </right>
      <top style="medium">
        <color indexed="51"/>
      </top>
      <bottom style="thin">
        <color indexed="64"/>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8" fillId="0" borderId="0"/>
    <xf numFmtId="43" fontId="138" fillId="0" borderId="0"/>
    <xf numFmtId="43" fontId="138" fillId="0" borderId="0"/>
    <xf numFmtId="43" fontId="138"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8"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8" fillId="0" borderId="9" applyNumberFormat="0" applyFill="0" applyAlignment="0" applyProtection="0"/>
    <xf numFmtId="0" fontId="76" fillId="0" borderId="0" applyNumberFormat="0" applyFill="0" applyBorder="0" applyAlignment="0" applyProtection="0"/>
  </cellStyleXfs>
  <cellXfs count="1008">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8" fillId="0" borderId="0" xfId="49" applyProtection="1"/>
    <xf numFmtId="43" fontId="15" fillId="0" borderId="0" xfId="49" applyFont="1" applyProtection="1"/>
    <xf numFmtId="0" fontId="18" fillId="0" borderId="0" xfId="49" applyNumberFormat="1" applyFont="1" applyBorder="1" applyProtection="1"/>
    <xf numFmtId="43" fontId="138" fillId="0" borderId="0" xfId="51" applyProtection="1"/>
    <xf numFmtId="43" fontId="138" fillId="0" borderId="0" xfId="51" applyFill="1" applyBorder="1" applyAlignment="1" applyProtection="1">
      <alignment horizontal="left"/>
    </xf>
    <xf numFmtId="0" fontId="0" fillId="0" borderId="0" xfId="0" applyFill="1" applyBorder="1" applyProtection="1"/>
    <xf numFmtId="43" fontId="138"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8"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8"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8"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8"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99" fillId="0" borderId="0" xfId="28" applyFont="1" applyFill="1" applyBorder="1" applyProtection="1"/>
    <xf numFmtId="43" fontId="0" fillId="0" borderId="0" xfId="0" applyNumberFormat="1" applyFill="1" applyBorder="1" applyProtection="1"/>
    <xf numFmtId="43" fontId="68" fillId="0" borderId="28" xfId="61" applyFont="1" applyFill="1" applyBorder="1" applyAlignment="1" applyProtection="1"/>
    <xf numFmtId="43" fontId="39" fillId="0" borderId="28" xfId="61" applyFont="1" applyFill="1" applyBorder="1" applyAlignment="1" applyProtection="1">
      <alignment vertical="center"/>
    </xf>
    <xf numFmtId="3" fontId="67" fillId="22" borderId="10"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5" xfId="0" applyNumberFormat="1" applyFont="1" applyFill="1" applyBorder="1" applyAlignment="1" applyProtection="1">
      <alignment vertical="center"/>
    </xf>
    <xf numFmtId="43" fontId="138"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43" fontId="92" fillId="0" borderId="28" xfId="61" applyFont="1" applyFill="1" applyBorder="1" applyAlignment="1" applyProtection="1"/>
    <xf numFmtId="43"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43"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1" fillId="0" borderId="0" xfId="0" applyFont="1" applyFill="1" applyBorder="1" applyAlignment="1" applyProtection="1">
      <alignment horizontal="right"/>
    </xf>
    <xf numFmtId="43" fontId="102" fillId="0" borderId="14" xfId="61" applyFont="1" applyFill="1" applyBorder="1" applyAlignment="1" applyProtection="1">
      <alignment horizontal="left" vertical="center"/>
    </xf>
    <xf numFmtId="0" fontId="103" fillId="0" borderId="0" xfId="0" applyFont="1" applyFill="1" applyBorder="1" applyProtection="1"/>
    <xf numFmtId="0" fontId="101" fillId="0" borderId="0" xfId="0" applyFont="1" applyBorder="1" applyProtection="1"/>
    <xf numFmtId="3" fontId="6" fillId="0" borderId="0" xfId="0" applyNumberFormat="1" applyFont="1" applyAlignment="1" applyProtection="1">
      <alignment horizontal="right"/>
    </xf>
    <xf numFmtId="15" fontId="100" fillId="0" borderId="0" xfId="0" applyNumberFormat="1" applyFont="1" applyFill="1" applyBorder="1" applyAlignment="1" applyProtection="1">
      <alignment horizontal="left"/>
    </xf>
    <xf numFmtId="0" fontId="107" fillId="0" borderId="0" xfId="0" applyFont="1" applyFill="1" applyBorder="1" applyAlignment="1" applyProtection="1">
      <alignment horizontal="center" wrapText="1"/>
    </xf>
    <xf numFmtId="0" fontId="101"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3" fillId="0" borderId="0" xfId="0" applyFont="1" applyBorder="1" applyAlignment="1" applyProtection="1">
      <alignment horizontal="right"/>
    </xf>
    <xf numFmtId="0" fontId="113" fillId="0" borderId="0" xfId="0" applyFont="1" applyAlignment="1" applyProtection="1">
      <alignment horizontal="right"/>
    </xf>
    <xf numFmtId="0" fontId="113" fillId="0" borderId="51" xfId="0" applyFont="1" applyBorder="1" applyAlignment="1" applyProtection="1">
      <alignment horizontal="right"/>
    </xf>
    <xf numFmtId="43" fontId="112" fillId="0" borderId="0" xfId="39" applyFont="1" applyFill="1" applyAlignment="1" applyProtection="1">
      <alignment vertical="center"/>
    </xf>
    <xf numFmtId="0" fontId="113" fillId="0" borderId="0" xfId="0" applyFont="1" applyProtection="1"/>
    <xf numFmtId="0" fontId="113"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1" fillId="0" borderId="0" xfId="0" applyNumberFormat="1" applyFont="1" applyFill="1" applyBorder="1" applyAlignment="1" applyProtection="1">
      <alignment horizontal="center"/>
    </xf>
    <xf numFmtId="0" fontId="0" fillId="0" borderId="0" xfId="0" applyFill="1" applyBorder="1" applyProtection="1">
      <protection locked="0"/>
    </xf>
    <xf numFmtId="0" fontId="98"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8" fillId="0" borderId="0" xfId="0" applyFont="1" applyFill="1" applyBorder="1" applyAlignment="1" applyProtection="1">
      <alignment horizontal="left"/>
      <protection locked="0"/>
    </xf>
    <xf numFmtId="0" fontId="105"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15" fontId="109" fillId="0" borderId="42" xfId="0" applyNumberFormat="1" applyFont="1" applyFill="1" applyBorder="1" applyAlignment="1" applyProtection="1">
      <alignment horizontal="center" wrapText="1"/>
    </xf>
    <xf numFmtId="15" fontId="109"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0" fillId="0" borderId="0" xfId="0" applyFill="1" applyBorder="1" applyAlignment="1" applyProtection="1">
      <alignment horizontal="left" vertical="top"/>
      <protection locked="0"/>
    </xf>
    <xf numFmtId="0" fontId="100" fillId="0" borderId="0" xfId="0" applyFont="1" applyFill="1" applyBorder="1" applyAlignment="1" applyProtection="1">
      <alignment horizontal="center"/>
    </xf>
    <xf numFmtId="0" fontId="106"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43" fontId="114" fillId="0" borderId="20" xfId="61" applyFont="1" applyFill="1" applyBorder="1" applyAlignment="1" applyProtection="1">
      <alignment vertical="center"/>
    </xf>
    <xf numFmtId="43" fontId="109" fillId="0" borderId="0" xfId="0" applyNumberFormat="1" applyFont="1" applyBorder="1" applyAlignment="1" applyProtection="1">
      <alignment vertical="center" wrapText="1"/>
    </xf>
    <xf numFmtId="0" fontId="109" fillId="0" borderId="0" xfId="0" applyFont="1" applyFill="1" applyBorder="1" applyAlignment="1" applyProtection="1">
      <alignment wrapText="1"/>
    </xf>
    <xf numFmtId="43"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1"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15"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43"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1"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43"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43" fontId="90" fillId="0" borderId="0" xfId="0" applyNumberFormat="1" applyFont="1" applyAlignment="1"/>
    <xf numFmtId="0" fontId="34" fillId="0" borderId="41"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43" fontId="35" fillId="0" borderId="0" xfId="0" applyNumberFormat="1" applyFont="1"/>
    <xf numFmtId="0" fontId="0" fillId="0" borderId="0" xfId="0" applyBorder="1" applyAlignment="1">
      <alignment horizontal="left"/>
    </xf>
    <xf numFmtId="43" fontId="1" fillId="0" borderId="43" xfId="58" applyFont="1" applyBorder="1" applyAlignment="1" applyProtection="1">
      <alignment horizontal="right"/>
    </xf>
    <xf numFmtId="43" fontId="123" fillId="0" borderId="0" xfId="51" applyFont="1" applyFill="1" applyBorder="1" applyProtection="1"/>
    <xf numFmtId="3" fontId="28" fillId="25" borderId="71"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21" fillId="25" borderId="77" xfId="28" applyNumberFormat="1" applyFont="1" applyFill="1" applyBorder="1" applyAlignment="1" applyProtection="1">
      <protection locked="0"/>
    </xf>
    <xf numFmtId="164"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0" xfId="28" applyNumberFormat="1" applyFont="1" applyFill="1" applyBorder="1" applyAlignment="1" applyProtection="1">
      <protection locked="0"/>
    </xf>
    <xf numFmtId="3" fontId="1" fillId="25" borderId="80" xfId="28" applyNumberFormat="1" applyFont="1" applyFill="1" applyBorder="1" applyProtection="1">
      <protection locked="0"/>
    </xf>
    <xf numFmtId="49" fontId="25" fillId="0" borderId="81" xfId="0" applyNumberFormat="1" applyFont="1" applyFill="1" applyBorder="1" applyAlignment="1" applyProtection="1">
      <alignment vertical="center" wrapText="1"/>
    </xf>
    <xf numFmtId="0" fontId="91" fillId="0" borderId="82" xfId="0" applyNumberFormat="1" applyFont="1" applyFill="1" applyBorder="1" applyAlignment="1" applyProtection="1">
      <alignment horizontal="center" vertical="center" wrapText="1"/>
    </xf>
    <xf numFmtId="0" fontId="91" fillId="0" borderId="83" xfId="0" applyNumberFormat="1" applyFont="1" applyFill="1" applyBorder="1" applyAlignment="1" applyProtection="1">
      <alignment horizontal="center" vertical="center" wrapText="1"/>
    </xf>
    <xf numFmtId="49" fontId="26" fillId="0" borderId="84" xfId="0" applyNumberFormat="1" applyFont="1" applyFill="1" applyBorder="1" applyAlignment="1" applyProtection="1">
      <alignment wrapText="1"/>
      <protection locked="0"/>
    </xf>
    <xf numFmtId="3" fontId="1" fillId="25" borderId="85" xfId="28" applyNumberFormat="1" applyFont="1" applyFill="1" applyBorder="1" applyProtection="1">
      <protection locked="0"/>
    </xf>
    <xf numFmtId="49" fontId="26" fillId="0" borderId="84" xfId="0" applyNumberFormat="1" applyFont="1" applyFill="1" applyBorder="1" applyAlignment="1" applyProtection="1">
      <protection locked="0"/>
    </xf>
    <xf numFmtId="0" fontId="26" fillId="0" borderId="84" xfId="0" applyFont="1" applyFill="1" applyBorder="1" applyAlignment="1" applyProtection="1">
      <alignment wrapText="1"/>
      <protection locked="0"/>
    </xf>
    <xf numFmtId="0" fontId="0" fillId="0" borderId="86" xfId="0" applyBorder="1" applyAlignment="1" applyProtection="1"/>
    <xf numFmtId="3" fontId="0" fillId="0" borderId="87" xfId="0" applyNumberFormat="1" applyBorder="1" applyProtection="1"/>
    <xf numFmtId="3" fontId="0" fillId="0" borderId="88"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0" fontId="0" fillId="22" borderId="89" xfId="0" applyFill="1" applyBorder="1"/>
    <xf numFmtId="0" fontId="0" fillId="0" borderId="20" xfId="0" applyBorder="1" applyProtection="1"/>
    <xf numFmtId="43" fontId="39" fillId="24" borderId="90" xfId="61" applyFont="1" applyFill="1" applyBorder="1" applyAlignment="1" applyProtection="1">
      <alignment horizontal="center" vertical="center"/>
    </xf>
    <xf numFmtId="43" fontId="39" fillId="0" borderId="91" xfId="61" applyFont="1" applyFill="1" applyBorder="1" applyAlignment="1" applyProtection="1">
      <alignment vertical="center"/>
    </xf>
    <xf numFmtId="0" fontId="0" fillId="0" borderId="92" xfId="0" applyNumberFormat="1" applyFill="1" applyBorder="1"/>
    <xf numFmtId="15" fontId="27" fillId="0" borderId="93"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167" fontId="0" fillId="0" borderId="10" xfId="0" applyNumberFormat="1" applyFill="1" applyBorder="1" applyAlignment="1" applyProtection="1">
      <alignment horizontal="center"/>
    </xf>
    <xf numFmtId="167" fontId="15" fillId="27" borderId="95" xfId="0" applyNumberFormat="1" applyFont="1" applyFill="1" applyBorder="1" applyAlignment="1" applyProtection="1">
      <alignment horizontal="center"/>
    </xf>
    <xf numFmtId="167" fontId="21" fillId="27" borderId="95"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6" xfId="0" applyFont="1" applyFill="1" applyBorder="1" applyAlignment="1" applyProtection="1">
      <alignment horizontal="center" vertical="center" wrapText="1"/>
    </xf>
    <xf numFmtId="0" fontId="77" fillId="0" borderId="97" xfId="0" applyFont="1" applyFill="1" applyBorder="1" applyAlignment="1" applyProtection="1">
      <alignment horizontal="center"/>
    </xf>
    <xf numFmtId="0" fontId="77" fillId="0" borderId="98" xfId="0" applyFont="1" applyFill="1" applyBorder="1" applyAlignment="1" applyProtection="1">
      <alignment horizontal="center"/>
    </xf>
    <xf numFmtId="0" fontId="77" fillId="0" borderId="99"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vertical="center"/>
    </xf>
    <xf numFmtId="0" fontId="77" fillId="0" borderId="101" xfId="0" applyNumberFormat="1" applyFont="1" applyFill="1" applyBorder="1" applyAlignment="1" applyProtection="1">
      <alignment horizontal="center" vertical="center"/>
    </xf>
    <xf numFmtId="0" fontId="81" fillId="0" borderId="102" xfId="0" applyNumberFormat="1" applyFont="1" applyFill="1" applyBorder="1" applyAlignment="1" applyProtection="1">
      <alignment horizontal="center" vertical="center"/>
    </xf>
    <xf numFmtId="0" fontId="81" fillId="0" borderId="103" xfId="0" applyNumberFormat="1" applyFont="1" applyFill="1" applyBorder="1" applyAlignment="1" applyProtection="1">
      <alignment horizontal="center" vertical="center"/>
    </xf>
    <xf numFmtId="0" fontId="81" fillId="0" borderId="104" xfId="0" applyNumberFormat="1" applyFont="1" applyFill="1" applyBorder="1" applyAlignment="1" applyProtection="1">
      <alignment horizontal="center" vertical="center"/>
    </xf>
    <xf numFmtId="0" fontId="77" fillId="0" borderId="105" xfId="0" applyFont="1" applyFill="1" applyBorder="1" applyAlignment="1" applyProtection="1">
      <alignment horizontal="center" vertical="center"/>
    </xf>
    <xf numFmtId="0" fontId="77" fillId="0" borderId="106" xfId="0" applyFont="1" applyFill="1" applyBorder="1" applyAlignment="1" applyProtection="1">
      <alignment horizontal="center" vertical="center"/>
    </xf>
    <xf numFmtId="0" fontId="77" fillId="0" borderId="107" xfId="0" applyFont="1" applyFill="1" applyBorder="1" applyAlignment="1" applyProtection="1">
      <alignment horizontal="center" vertical="center"/>
    </xf>
    <xf numFmtId="0" fontId="77" fillId="0" borderId="108" xfId="0" applyFont="1" applyFill="1" applyBorder="1" applyAlignment="1" applyProtection="1">
      <alignment horizontal="center" vertical="center"/>
    </xf>
    <xf numFmtId="0" fontId="2" fillId="0" borderId="109" xfId="0" applyFont="1" applyFill="1" applyBorder="1" applyAlignment="1" applyProtection="1">
      <alignment horizontal="center"/>
    </xf>
    <xf numFmtId="164" fontId="14" fillId="19" borderId="106" xfId="0" applyNumberFormat="1" applyFont="1" applyFill="1" applyBorder="1" applyAlignment="1" applyProtection="1">
      <alignment horizontal="center"/>
      <protection locked="0"/>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8" xfId="0" applyNumberFormat="1" applyFill="1" applyBorder="1" applyAlignment="1" applyProtection="1">
      <alignment horizontal="center"/>
    </xf>
    <xf numFmtId="167"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0" fontId="0" fillId="0" borderId="68" xfId="0" applyNumberFormat="1" applyFill="1" applyBorder="1" applyProtection="1"/>
    <xf numFmtId="3" fontId="0" fillId="0" borderId="68" xfId="0" applyNumberFormat="1" applyFill="1" applyBorder="1" applyProtection="1"/>
    <xf numFmtId="167"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5"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7" fontId="0" fillId="0" borderId="58" xfId="0" applyNumberFormat="1" applyFill="1" applyBorder="1" applyProtection="1"/>
    <xf numFmtId="167" fontId="0" fillId="0" borderId="61" xfId="0" applyNumberFormat="1" applyFill="1" applyBorder="1" applyProtection="1"/>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4" xfId="0" applyNumberFormat="1" applyFont="1" applyFill="1" applyBorder="1" applyAlignment="1" applyProtection="1">
      <alignment horizontal="justify" wrapText="1"/>
      <protection locked="0"/>
    </xf>
    <xf numFmtId="0" fontId="139" fillId="22" borderId="29" xfId="0" applyFont="1" applyFill="1" applyBorder="1" applyAlignment="1">
      <alignment horizontal="justify" vertical="center" wrapText="1"/>
    </xf>
    <xf numFmtId="0" fontId="140" fillId="22" borderId="46" xfId="0" applyFont="1" applyFill="1" applyBorder="1" applyAlignment="1">
      <alignment horizontal="justify" vertical="center" wrapText="1"/>
    </xf>
    <xf numFmtId="0" fontId="140" fillId="22" borderId="47" xfId="0" applyFont="1" applyFill="1" applyBorder="1" applyAlignment="1">
      <alignment horizontal="justify" vertical="center" wrapText="1"/>
    </xf>
    <xf numFmtId="0" fontId="139" fillId="22" borderId="29" xfId="0" applyFont="1" applyFill="1" applyBorder="1" applyAlignment="1">
      <alignment horizontal="left" vertical="center" wrapText="1"/>
    </xf>
    <xf numFmtId="0" fontId="139" fillId="22" borderId="46" xfId="0" applyFont="1" applyFill="1" applyBorder="1" applyAlignment="1">
      <alignment horizontal="left" vertical="center" wrapText="1"/>
    </xf>
    <xf numFmtId="0" fontId="139" fillId="22" borderId="47" xfId="0" applyFont="1" applyFill="1" applyBorder="1" applyAlignment="1">
      <alignment horizontal="left" vertical="center" wrapText="1"/>
    </xf>
    <xf numFmtId="0" fontId="139" fillId="0" borderId="46" xfId="0" applyFont="1" applyBorder="1" applyAlignment="1" applyProtection="1">
      <alignment horizontal="left" vertical="center" wrapText="1"/>
      <protection locked="0"/>
    </xf>
    <xf numFmtId="0" fontId="139" fillId="0" borderId="47" xfId="0" applyFont="1" applyBorder="1" applyAlignment="1" applyProtection="1">
      <alignment horizontal="left" vertical="center" wrapText="1"/>
      <protection locked="0"/>
    </xf>
    <xf numFmtId="0" fontId="141" fillId="0" borderId="10" xfId="0" applyFont="1" applyFill="1" applyBorder="1" applyAlignment="1" applyProtection="1">
      <alignment horizontal="center"/>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2" fillId="0" borderId="29" xfId="0" applyFont="1" applyBorder="1" applyAlignment="1" applyProtection="1">
      <alignment horizontal="left" vertical="center" wrapText="1"/>
      <protection locked="0"/>
    </xf>
    <xf numFmtId="0" fontId="77" fillId="0" borderId="233" xfId="0" applyFont="1" applyFill="1" applyBorder="1" applyAlignment="1" applyProtection="1">
      <alignment horizontal="center" vertical="center" wrapText="1"/>
    </xf>
    <xf numFmtId="3" fontId="28" fillId="0" borderId="10" xfId="0" quotePrefix="1" applyNumberFormat="1" applyFont="1" applyBorder="1" applyAlignment="1" applyProtection="1">
      <alignment horizontal="right" vertical="center" wrapText="1"/>
    </xf>
    <xf numFmtId="3" fontId="28" fillId="0" borderId="10" xfId="0" applyNumberFormat="1" applyFont="1" applyBorder="1" applyAlignment="1" applyProtection="1">
      <alignment horizontal="right" vertical="center" wrapText="1"/>
    </xf>
    <xf numFmtId="3" fontId="151" fillId="23" borderId="10" xfId="0" applyNumberFormat="1" applyFont="1" applyFill="1" applyBorder="1" applyAlignment="1" applyProtection="1">
      <alignment horizontal="center" vertical="center"/>
      <protection locked="0"/>
    </xf>
    <xf numFmtId="173" fontId="151" fillId="28" borderId="10" xfId="0" applyNumberFormat="1" applyFont="1" applyFill="1" applyBorder="1" applyAlignment="1" applyProtection="1">
      <alignment horizontal="center" vertical="center"/>
      <protection locked="0"/>
    </xf>
    <xf numFmtId="3" fontId="151" fillId="28" borderId="10" xfId="0" applyNumberFormat="1" applyFont="1" applyFill="1" applyBorder="1" applyAlignment="1" applyProtection="1">
      <alignment horizontal="center" vertical="center"/>
      <protection locked="0"/>
    </xf>
    <xf numFmtId="3" fontId="77" fillId="23" borderId="10" xfId="0" applyNumberFormat="1" applyFont="1" applyFill="1" applyBorder="1" applyAlignment="1" applyProtection="1">
      <alignment horizontal="center" vertical="center"/>
      <protection locked="0"/>
    </xf>
    <xf numFmtId="3" fontId="77" fillId="28" borderId="10" xfId="0" applyNumberFormat="1" applyFont="1" applyFill="1" applyBorder="1" applyAlignment="1" applyProtection="1">
      <alignment horizontal="center" vertical="center"/>
      <protection locked="0"/>
    </xf>
    <xf numFmtId="173" fontId="77" fillId="28" borderId="10" xfId="0" applyNumberFormat="1" applyFont="1" applyFill="1" applyBorder="1" applyAlignment="1" applyProtection="1">
      <alignment horizontal="center" vertical="center"/>
      <protection locked="0"/>
    </xf>
    <xf numFmtId="4" fontId="6" fillId="0" borderId="76" xfId="28" applyNumberFormat="1" applyFont="1" applyFill="1" applyBorder="1" applyAlignment="1" applyProtection="1"/>
    <xf numFmtId="4" fontId="6" fillId="0" borderId="78" xfId="28" applyNumberFormat="1" applyFont="1" applyFill="1" applyBorder="1" applyAlignment="1" applyProtection="1"/>
    <xf numFmtId="3" fontId="152" fillId="28" borderId="10" xfId="0" applyNumberFormat="1" applyFont="1" applyFill="1" applyBorder="1" applyAlignment="1" applyProtection="1">
      <alignment horizontal="center" vertical="center"/>
      <protection locked="0"/>
    </xf>
    <xf numFmtId="3" fontId="151" fillId="23" borderId="10" xfId="0" applyNumberFormat="1" applyFont="1" applyFill="1" applyBorder="1" applyAlignment="1" applyProtection="1">
      <alignment vertical="center"/>
      <protection locked="0"/>
    </xf>
    <xf numFmtId="0" fontId="0" fillId="19" borderId="0" xfId="0" applyFill="1" applyBorder="1" applyAlignment="1" applyProtection="1">
      <alignment horizontal="center" vertical="center" textRotation="90"/>
    </xf>
    <xf numFmtId="49" fontId="28" fillId="0" borderId="0" xfId="0" applyNumberFormat="1" applyFont="1" applyAlignment="1" applyProtection="1">
      <alignment horizontal="center"/>
    </xf>
    <xf numFmtId="0" fontId="113" fillId="0" borderId="0" xfId="0" applyFont="1" applyFill="1" applyAlignment="1" applyProtection="1">
      <alignment horizontal="right"/>
    </xf>
    <xf numFmtId="0" fontId="0" fillId="0" borderId="0" xfId="0" applyFill="1" applyProtection="1"/>
    <xf numFmtId="0" fontId="12" fillId="0" borderId="0" xfId="0" applyFont="1" applyFill="1"/>
    <xf numFmtId="0" fontId="141" fillId="37" borderId="10" xfId="0" applyFont="1" applyFill="1" applyBorder="1" applyAlignment="1" applyProtection="1">
      <alignment horizontal="center"/>
    </xf>
    <xf numFmtId="0" fontId="21" fillId="37" borderId="0" xfId="0" applyFont="1" applyFill="1"/>
    <xf numFmtId="0" fontId="0" fillId="37" borderId="0" xfId="0" applyFill="1"/>
    <xf numFmtId="0" fontId="67" fillId="0" borderId="67" xfId="0" applyFont="1" applyFill="1" applyBorder="1" applyAlignment="1" applyProtection="1">
      <alignment horizontal="center"/>
    </xf>
    <xf numFmtId="0" fontId="67" fillId="0" borderId="29" xfId="0" applyFont="1" applyFill="1" applyBorder="1" applyAlignment="1" applyProtection="1">
      <alignment horizontal="center"/>
    </xf>
    <xf numFmtId="0" fontId="67" fillId="29" borderId="10" xfId="0" applyFont="1" applyFill="1" applyBorder="1" applyAlignment="1" applyProtection="1">
      <alignment horizontal="center"/>
    </xf>
    <xf numFmtId="0" fontId="67" fillId="0" borderId="30" xfId="0" applyFont="1" applyFill="1" applyBorder="1" applyAlignment="1" applyProtection="1">
      <alignment horizontal="center"/>
    </xf>
    <xf numFmtId="0" fontId="30" fillId="22" borderId="0" xfId="0" applyFont="1" applyFill="1" applyBorder="1" applyAlignment="1" applyProtection="1">
      <alignment horizontal="left" vertical="top"/>
      <protection locked="0"/>
    </xf>
    <xf numFmtId="0" fontId="0" fillId="0" borderId="0" xfId="0" applyBorder="1" applyAlignment="1">
      <alignment horizontal="left" vertical="top"/>
    </xf>
    <xf numFmtId="0" fontId="34" fillId="22" borderId="0" xfId="0" applyFont="1" applyFill="1" applyBorder="1" applyAlignment="1" applyProtection="1">
      <alignment horizontal="lef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Fill="1" applyAlignment="1">
      <alignment vertical="top"/>
    </xf>
    <xf numFmtId="3" fontId="67" fillId="22" borderId="10" xfId="0" quotePrefix="1" applyNumberFormat="1" applyFont="1" applyFill="1" applyBorder="1" applyAlignment="1" applyProtection="1">
      <alignment horizontal="center" vertical="center"/>
      <protection locked="0"/>
    </xf>
    <xf numFmtId="2" fontId="151" fillId="22" borderId="10" xfId="0" applyNumberFormat="1" applyFont="1" applyFill="1" applyBorder="1" applyAlignment="1" applyProtection="1">
      <alignment horizontal="center" vertical="center"/>
      <protection locked="0"/>
    </xf>
    <xf numFmtId="2" fontId="151" fillId="28" borderId="10" xfId="0" applyNumberFormat="1" applyFont="1" applyFill="1" applyBorder="1" applyAlignment="1" applyProtection="1">
      <alignment horizontal="center" vertical="center"/>
      <protection locked="0"/>
    </xf>
    <xf numFmtId="2" fontId="67" fillId="22" borderId="10" xfId="0" applyNumberFormat="1" applyFont="1" applyFill="1" applyBorder="1" applyAlignment="1" applyProtection="1">
      <alignment vertical="center"/>
      <protection locked="0"/>
    </xf>
    <xf numFmtId="43" fontId="138" fillId="0" borderId="175" xfId="61" applyFill="1" applyBorder="1" applyAlignment="1" applyProtection="1">
      <alignment vertical="center"/>
    </xf>
    <xf numFmtId="174" fontId="67" fillId="28" borderId="10" xfId="0" applyNumberFormat="1" applyFont="1" applyFill="1" applyBorder="1" applyAlignment="1" applyProtection="1">
      <alignment vertical="center"/>
      <protection locked="0"/>
    </xf>
    <xf numFmtId="174" fontId="151" fillId="28" borderId="10" xfId="0" applyNumberFormat="1" applyFont="1" applyFill="1" applyBorder="1" applyAlignment="1" applyProtection="1">
      <alignment vertical="center"/>
      <protection locked="0"/>
    </xf>
    <xf numFmtId="174" fontId="67" fillId="23" borderId="10" xfId="0" applyNumberFormat="1" applyFont="1" applyFill="1" applyBorder="1" applyAlignment="1" applyProtection="1">
      <alignment horizontal="right" vertical="center"/>
      <protection locked="0"/>
    </xf>
    <xf numFmtId="174" fontId="151" fillId="23" borderId="10" xfId="0" applyNumberFormat="1" applyFont="1" applyFill="1" applyBorder="1" applyAlignment="1" applyProtection="1">
      <alignment vertical="center"/>
      <protection locked="0"/>
    </xf>
    <xf numFmtId="174" fontId="151" fillId="23" borderId="10" xfId="0" applyNumberFormat="1" applyFont="1" applyFill="1" applyBorder="1" applyAlignment="1" applyProtection="1">
      <alignment horizontal="right" vertical="center"/>
      <protection locked="0"/>
    </xf>
    <xf numFmtId="174" fontId="28" fillId="0" borderId="10" xfId="0" applyNumberFormat="1" applyFont="1" applyBorder="1" applyAlignment="1" applyProtection="1">
      <alignment horizontal="center" vertical="center" wrapText="1"/>
    </xf>
    <xf numFmtId="174" fontId="67" fillId="23" borderId="10" xfId="0" applyNumberFormat="1" applyFont="1" applyFill="1" applyBorder="1" applyAlignment="1" applyProtection="1">
      <alignment horizontal="center" vertical="center"/>
      <protection locked="0"/>
    </xf>
    <xf numFmtId="174" fontId="151" fillId="23" borderId="10" xfId="0" applyNumberFormat="1" applyFont="1" applyFill="1" applyBorder="1" applyAlignment="1" applyProtection="1">
      <alignment horizontal="center" vertical="center"/>
      <protection locked="0"/>
    </xf>
    <xf numFmtId="174" fontId="151" fillId="28" borderId="10" xfId="0" applyNumberFormat="1" applyFont="1" applyFill="1" applyBorder="1" applyAlignment="1" applyProtection="1">
      <alignment horizontal="center" vertical="center"/>
      <protection locked="0"/>
    </xf>
    <xf numFmtId="175" fontId="1" fillId="0" borderId="10" xfId="58" applyNumberFormat="1" applyFont="1" applyFill="1" applyBorder="1" applyAlignment="1" applyProtection="1">
      <alignment horizontal="center"/>
      <protection locked="0"/>
    </xf>
    <xf numFmtId="164" fontId="161" fillId="19" borderId="79" xfId="0" applyNumberFormat="1" applyFont="1" applyFill="1" applyBorder="1" applyAlignment="1" applyProtection="1">
      <alignment horizontal="center"/>
      <protection locked="0"/>
    </xf>
    <xf numFmtId="3" fontId="67" fillId="23" borderId="109" xfId="0" applyNumberFormat="1" applyFont="1" applyFill="1" applyBorder="1" applyAlignment="1" applyProtection="1">
      <alignment vertical="center"/>
      <protection locked="0"/>
    </xf>
    <xf numFmtId="3" fontId="67" fillId="23" borderId="237" xfId="0" applyNumberFormat="1" applyFont="1" applyFill="1" applyBorder="1" applyAlignment="1" applyProtection="1">
      <alignment vertical="center"/>
      <protection locked="0"/>
    </xf>
    <xf numFmtId="164" fontId="14" fillId="0" borderId="0"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protection locked="0"/>
    </xf>
    <xf numFmtId="174" fontId="67"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center" vertical="center"/>
      <protection locked="0"/>
    </xf>
    <xf numFmtId="3" fontId="151" fillId="0" borderId="0" xfId="0" applyNumberFormat="1" applyFont="1" applyFill="1" applyBorder="1" applyAlignment="1" applyProtection="1">
      <alignment vertical="center"/>
      <protection locked="0"/>
    </xf>
    <xf numFmtId="174" fontId="151"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right" vertical="center"/>
      <protection locked="0"/>
    </xf>
    <xf numFmtId="3" fontId="151" fillId="0" borderId="0" xfId="0" applyNumberFormat="1" applyFont="1" applyFill="1" applyBorder="1" applyAlignment="1" applyProtection="1">
      <alignment horizontal="right" vertical="center"/>
      <protection locked="0"/>
    </xf>
    <xf numFmtId="173" fontId="67" fillId="0" borderId="0" xfId="0" applyNumberFormat="1" applyFont="1" applyFill="1" applyBorder="1" applyAlignment="1" applyProtection="1">
      <alignment horizontal="center" vertical="center"/>
      <protection locked="0"/>
    </xf>
    <xf numFmtId="3" fontId="151" fillId="0" borderId="0" xfId="0" applyNumberFormat="1" applyFont="1" applyFill="1" applyBorder="1" applyAlignment="1" applyProtection="1">
      <alignment horizontal="center" vertical="center"/>
      <protection locked="0"/>
    </xf>
    <xf numFmtId="174" fontId="67" fillId="0" borderId="0" xfId="0" applyNumberFormat="1" applyFont="1" applyFill="1" applyBorder="1" applyAlignment="1" applyProtection="1">
      <alignment vertical="center"/>
      <protection locked="0"/>
    </xf>
    <xf numFmtId="174" fontId="151" fillId="0" borderId="0" xfId="0" applyNumberFormat="1" applyFont="1" applyFill="1" applyBorder="1" applyAlignment="1" applyProtection="1">
      <alignment vertical="center"/>
      <protection locked="0"/>
    </xf>
    <xf numFmtId="164" fontId="161" fillId="19" borderId="238" xfId="0" applyNumberFormat="1" applyFont="1" applyFill="1" applyBorder="1" applyAlignment="1" applyProtection="1">
      <alignment horizontal="center"/>
      <protection locked="0"/>
    </xf>
    <xf numFmtId="164" fontId="14" fillId="19" borderId="108"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xf>
    <xf numFmtId="10" fontId="67" fillId="0" borderId="0" xfId="0" applyNumberFormat="1" applyFont="1" applyFill="1" applyBorder="1" applyAlignment="1" applyProtection="1">
      <alignment vertical="center"/>
    </xf>
    <xf numFmtId="174" fontId="67" fillId="0" borderId="0" xfId="0" applyNumberFormat="1" applyFont="1" applyFill="1" applyBorder="1" applyAlignment="1" applyProtection="1">
      <alignment vertical="center"/>
    </xf>
    <xf numFmtId="9" fontId="67" fillId="28" borderId="10" xfId="0" applyNumberFormat="1" applyFont="1" applyFill="1" applyBorder="1" applyAlignment="1" applyProtection="1">
      <alignment horizontal="center" vertical="center"/>
      <protection locked="0"/>
    </xf>
    <xf numFmtId="3" fontId="67" fillId="0" borderId="10" xfId="0" applyNumberFormat="1" applyFont="1" applyFill="1" applyBorder="1" applyAlignment="1" applyProtection="1">
      <alignment horizontal="center" vertical="center"/>
    </xf>
    <xf numFmtId="9" fontId="67" fillId="0" borderId="10" xfId="0" applyNumberFormat="1" applyFont="1" applyFill="1" applyBorder="1" applyAlignment="1" applyProtection="1">
      <alignment horizontal="center" vertical="center"/>
    </xf>
    <xf numFmtId="3" fontId="67" fillId="29" borderId="10" xfId="0" applyNumberFormat="1" applyFont="1" applyFill="1" applyBorder="1" applyAlignment="1" applyProtection="1">
      <alignment horizontal="center" vertical="center"/>
    </xf>
    <xf numFmtId="174" fontId="67" fillId="29" borderId="10" xfId="0" applyNumberFormat="1" applyFont="1" applyFill="1" applyBorder="1" applyAlignment="1" applyProtection="1">
      <alignment horizontal="center" vertical="center"/>
    </xf>
    <xf numFmtId="3" fontId="67" fillId="0" borderId="94" xfId="0" applyNumberFormat="1" applyFont="1" applyFill="1" applyBorder="1" applyAlignment="1" applyProtection="1">
      <alignment horizontal="center" vertical="center"/>
    </xf>
    <xf numFmtId="9" fontId="67" fillId="29" borderId="10" xfId="0" applyNumberFormat="1" applyFont="1" applyFill="1" applyBorder="1" applyAlignment="1" applyProtection="1">
      <alignment horizontal="center" vertical="center"/>
    </xf>
    <xf numFmtId="9" fontId="67" fillId="0" borderId="94" xfId="0" applyNumberFormat="1" applyFont="1" applyFill="1" applyBorder="1" applyAlignment="1" applyProtection="1">
      <alignment horizontal="center" vertical="center"/>
    </xf>
    <xf numFmtId="0" fontId="32" fillId="25" borderId="58" xfId="0" applyFont="1" applyFill="1" applyBorder="1" applyAlignment="1" applyProtection="1">
      <alignment horizontal="center"/>
    </xf>
    <xf numFmtId="0" fontId="32" fillId="25" borderId="61" xfId="0" applyFont="1" applyFill="1" applyBorder="1" applyAlignment="1" applyProtection="1">
      <alignment horizontal="center"/>
    </xf>
    <xf numFmtId="172" fontId="34" fillId="0" borderId="0" xfId="0" applyNumberFormat="1" applyFont="1" applyFill="1" applyBorder="1" applyAlignment="1" applyProtection="1">
      <alignment horizontal="justify" vertical="center" wrapText="1"/>
      <protection locked="0"/>
    </xf>
    <xf numFmtId="0" fontId="0" fillId="0" borderId="0" xfId="0" applyFill="1" applyBorder="1" applyAlignment="1">
      <alignment horizontal="left"/>
    </xf>
    <xf numFmtId="0" fontId="34" fillId="0" borderId="0" xfId="0" applyFont="1" applyFill="1" applyBorder="1" applyAlignment="1" applyProtection="1">
      <alignment horizontal="left" wrapText="1"/>
      <protection locked="0"/>
    </xf>
    <xf numFmtId="0" fontId="0" fillId="0" borderId="0" xfId="0" applyFill="1" applyBorder="1" applyAlignment="1">
      <alignment horizontal="left" wrapText="1"/>
    </xf>
    <xf numFmtId="49" fontId="21" fillId="20" borderId="29" xfId="0" applyNumberFormat="1" applyFont="1" applyFill="1" applyBorder="1" applyAlignment="1" applyProtection="1"/>
    <xf numFmtId="174" fontId="28" fillId="0" borderId="10" xfId="0" quotePrefix="1" applyNumberFormat="1" applyFont="1" applyBorder="1" applyAlignment="1" applyProtection="1">
      <alignment horizontal="center" vertical="center" wrapText="1"/>
    </xf>
    <xf numFmtId="174" fontId="67" fillId="28" borderId="10" xfId="0" applyNumberFormat="1" applyFont="1" applyFill="1" applyBorder="1" applyAlignment="1" applyProtection="1">
      <alignment horizontal="center" vertical="center"/>
      <protection locked="0"/>
    </xf>
    <xf numFmtId="9" fontId="67" fillId="23" borderId="10" xfId="0" applyNumberFormat="1" applyFont="1" applyFill="1" applyBorder="1" applyAlignment="1" applyProtection="1">
      <alignment horizontal="center" vertical="center"/>
      <protection locked="0"/>
    </xf>
    <xf numFmtId="9" fontId="151" fillId="23" borderId="10" xfId="0" applyNumberFormat="1" applyFont="1" applyFill="1" applyBorder="1" applyAlignment="1" applyProtection="1">
      <alignment horizontal="center" vertical="center"/>
      <protection locked="0"/>
    </xf>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8" fillId="0" borderId="0" xfId="0" applyFont="1" applyAlignment="1">
      <alignment horizontal="center"/>
    </xf>
    <xf numFmtId="0" fontId="129" fillId="0" borderId="0" xfId="0" applyFont="1" applyAlignment="1">
      <alignment horizontal="center"/>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0" fontId="145" fillId="0" borderId="29" xfId="0" applyFont="1" applyFill="1" applyBorder="1" applyAlignment="1" applyProtection="1">
      <alignment vertical="center" wrapText="1"/>
      <protection locked="0"/>
    </xf>
    <xf numFmtId="0" fontId="140" fillId="0" borderId="46" xfId="0" applyFont="1" applyFill="1" applyBorder="1" applyAlignment="1" applyProtection="1">
      <alignment vertical="center" wrapText="1"/>
      <protection locked="0"/>
    </xf>
    <xf numFmtId="0" fontId="140" fillId="0" borderId="47" xfId="0" applyFont="1" applyFill="1" applyBorder="1" applyAlignment="1" applyProtection="1">
      <alignment vertical="center" wrapText="1"/>
      <protection locked="0"/>
    </xf>
    <xf numFmtId="0" fontId="142" fillId="0" borderId="29" xfId="0" applyFont="1" applyBorder="1" applyAlignment="1" applyProtection="1">
      <alignment horizontal="left" vertical="center" wrapText="1"/>
      <protection locked="0"/>
    </xf>
    <xf numFmtId="0" fontId="142" fillId="0" borderId="46" xfId="0" applyFont="1" applyBorder="1" applyAlignment="1" applyProtection="1">
      <alignment horizontal="left" vertical="center" wrapText="1"/>
      <protection locked="0"/>
    </xf>
    <xf numFmtId="0" fontId="142" fillId="0" borderId="47" xfId="0" applyFont="1" applyBorder="1" applyAlignment="1" applyProtection="1">
      <alignment horizontal="left" vertical="center" wrapText="1"/>
      <protection locked="0"/>
    </xf>
    <xf numFmtId="0" fontId="145" fillId="0" borderId="29" xfId="0" applyFont="1" applyBorder="1" applyAlignment="1" applyProtection="1">
      <alignment vertical="center" wrapText="1"/>
      <protection locked="0"/>
    </xf>
    <xf numFmtId="0" fontId="140" fillId="0" borderId="46" xfId="0" applyFont="1" applyBorder="1" applyAlignment="1" applyProtection="1">
      <alignment vertical="center" wrapText="1"/>
      <protection locked="0"/>
    </xf>
    <xf numFmtId="0" fontId="140" fillId="0" borderId="47" xfId="0" applyFont="1" applyBorder="1" applyAlignment="1" applyProtection="1">
      <alignment vertical="center" wrapText="1"/>
      <protection locked="0"/>
    </xf>
    <xf numFmtId="0" fontId="139" fillId="0" borderId="29" xfId="0" applyFont="1" applyFill="1" applyBorder="1" applyAlignment="1" applyProtection="1">
      <alignment horizontal="justify" vertical="center" wrapText="1"/>
      <protection locked="0"/>
    </xf>
    <xf numFmtId="0" fontId="140" fillId="0" borderId="46" xfId="0" applyFont="1" applyFill="1" applyBorder="1" applyAlignment="1" applyProtection="1">
      <alignment horizontal="justify" vertical="center" wrapText="1"/>
      <protection locked="0"/>
    </xf>
    <xf numFmtId="0" fontId="140" fillId="0" borderId="47" xfId="0" applyFont="1" applyFill="1" applyBorder="1" applyAlignment="1" applyProtection="1">
      <alignment horizontal="justify" vertical="center" wrapText="1"/>
      <protection locked="0"/>
    </xf>
    <xf numFmtId="0" fontId="139" fillId="0" borderId="29" xfId="0" applyFont="1" applyBorder="1" applyAlignment="1" applyProtection="1">
      <alignment horizontal="center" vertical="center" wrapText="1"/>
      <protection locked="0"/>
    </xf>
    <xf numFmtId="0" fontId="139" fillId="0" borderId="46" xfId="0" applyFont="1" applyBorder="1" applyAlignment="1" applyProtection="1">
      <alignment horizontal="center" vertical="center" wrapText="1"/>
      <protection locked="0"/>
    </xf>
    <xf numFmtId="0" fontId="139" fillId="0" borderId="47" xfId="0" applyFont="1" applyBorder="1" applyAlignment="1" applyProtection="1">
      <alignment horizontal="center" vertical="center" wrapText="1"/>
      <protection locked="0"/>
    </xf>
    <xf numFmtId="0" fontId="139" fillId="0" borderId="29" xfId="0" applyFont="1" applyBorder="1" applyAlignment="1" applyProtection="1">
      <alignment horizontal="left" vertical="center" wrapText="1"/>
      <protection locked="0"/>
    </xf>
    <xf numFmtId="0" fontId="139" fillId="0" borderId="46" xfId="0" applyFont="1" applyBorder="1" applyAlignment="1" applyProtection="1">
      <alignment horizontal="left" vertical="center" wrapText="1"/>
      <protection locked="0"/>
    </xf>
    <xf numFmtId="0" fontId="139" fillId="0" borderId="47" xfId="0" applyFont="1" applyBorder="1" applyAlignment="1" applyProtection="1">
      <alignment horizontal="left" vertical="center" wrapText="1"/>
      <protection locked="0"/>
    </xf>
    <xf numFmtId="43"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137" fillId="0" borderId="29" xfId="0" applyFont="1" applyBorder="1" applyAlignment="1" applyProtection="1">
      <alignment horizontal="left" vertical="center" wrapText="1"/>
      <protection locked="0"/>
    </xf>
    <xf numFmtId="0" fontId="140" fillId="0" borderId="46" xfId="0" applyFont="1" applyBorder="1" applyAlignment="1" applyProtection="1">
      <alignment horizontal="left" vertical="center" wrapText="1"/>
      <protection locked="0"/>
    </xf>
    <xf numFmtId="0" fontId="140" fillId="0" borderId="47" xfId="0" applyFont="1" applyBorder="1" applyAlignment="1" applyProtection="1">
      <alignment horizontal="left" vertical="center" wrapText="1"/>
      <protection locked="0"/>
    </xf>
    <xf numFmtId="0" fontId="142" fillId="0" borderId="29" xfId="0" applyFont="1" applyBorder="1" applyAlignment="1" applyProtection="1">
      <alignment horizontal="justify" vertical="center" wrapText="1"/>
      <protection locked="0"/>
    </xf>
    <xf numFmtId="0" fontId="140" fillId="0" borderId="46" xfId="0" applyFont="1" applyBorder="1" applyAlignment="1" applyProtection="1">
      <alignment horizontal="justify" vertical="center" wrapText="1"/>
      <protection locked="0"/>
    </xf>
    <xf numFmtId="0" fontId="140" fillId="0" borderId="47" xfId="0" applyFont="1" applyBorder="1" applyAlignment="1" applyProtection="1">
      <alignment horizontal="justify" vertical="center" wrapText="1"/>
      <protection locked="0"/>
    </xf>
    <xf numFmtId="0" fontId="121" fillId="0" borderId="67" xfId="0" applyFont="1" applyBorder="1" applyAlignment="1">
      <alignment horizontal="justify" vertical="center" wrapText="1"/>
    </xf>
    <xf numFmtId="0" fontId="121" fillId="0" borderId="106" xfId="0" applyFont="1" applyBorder="1" applyAlignment="1">
      <alignment horizontal="justify" vertical="center" wrapText="1"/>
    </xf>
    <xf numFmtId="0" fontId="121" fillId="0" borderId="108" xfId="0" applyFont="1" applyBorder="1" applyAlignment="1">
      <alignment horizontal="justify" vertical="center" wrapText="1"/>
    </xf>
    <xf numFmtId="0" fontId="137" fillId="0" borderId="29" xfId="0" applyNumberFormat="1" applyFont="1" applyBorder="1" applyAlignment="1" applyProtection="1">
      <alignment horizontal="left" vertical="center" wrapText="1"/>
      <protection locked="0"/>
    </xf>
    <xf numFmtId="0" fontId="139" fillId="0" borderId="46" xfId="0" applyNumberFormat="1" applyFont="1" applyBorder="1" applyAlignment="1" applyProtection="1">
      <alignment horizontal="left" vertical="center" wrapText="1"/>
      <protection locked="0"/>
    </xf>
    <xf numFmtId="0" fontId="139" fillId="0" borderId="47" xfId="0" applyNumberFormat="1" applyFont="1" applyBorder="1" applyAlignment="1" applyProtection="1">
      <alignment horizontal="left" vertical="center" wrapText="1"/>
      <protection locked="0"/>
    </xf>
    <xf numFmtId="0" fontId="140" fillId="22" borderId="29" xfId="0" applyFont="1" applyFill="1" applyBorder="1" applyAlignment="1">
      <alignment vertical="center" wrapText="1"/>
    </xf>
    <xf numFmtId="0" fontId="140" fillId="22" borderId="46" xfId="0" applyFont="1" applyFill="1" applyBorder="1" applyAlignment="1">
      <alignment vertical="center" wrapText="1"/>
    </xf>
    <xf numFmtId="0" fontId="140" fillId="22" borderId="47" xfId="0" applyFont="1" applyFill="1" applyBorder="1" applyAlignment="1">
      <alignment vertical="center" wrapText="1"/>
    </xf>
    <xf numFmtId="0" fontId="136" fillId="0" borderId="29" xfId="0" applyFont="1" applyFill="1" applyBorder="1" applyAlignment="1" applyProtection="1">
      <alignment vertical="center" wrapText="1"/>
      <protection locked="0"/>
    </xf>
    <xf numFmtId="0" fontId="137" fillId="0" borderId="29" xfId="0" applyFont="1" applyBorder="1" applyAlignment="1" applyProtection="1">
      <alignment horizontal="justify" vertical="center" wrapText="1"/>
      <protection locked="0"/>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121" fillId="0" borderId="29" xfId="0" applyFont="1" applyBorder="1" applyAlignment="1">
      <alignment horizontal="justify" vertical="center" wrapText="1"/>
    </xf>
    <xf numFmtId="0" fontId="121" fillId="0" borderId="46" xfId="0" applyFont="1" applyBorder="1" applyAlignment="1">
      <alignment horizontal="justify" vertical="center" wrapText="1"/>
    </xf>
    <xf numFmtId="0" fontId="121" fillId="0" borderId="47" xfId="0" applyFont="1" applyBorder="1" applyAlignment="1">
      <alignment horizontal="justify" vertical="center" wrapText="1"/>
    </xf>
    <xf numFmtId="0" fontId="121" fillId="0" borderId="29" xfId="0" applyFont="1" applyBorder="1" applyAlignment="1">
      <alignment horizontal="left" vertical="center" wrapText="1"/>
    </xf>
    <xf numFmtId="0" fontId="118" fillId="0" borderId="46" xfId="0" applyFont="1" applyBorder="1" applyAlignment="1">
      <alignment horizontal="left" vertical="center" wrapText="1"/>
    </xf>
    <xf numFmtId="0" fontId="118" fillId="0" borderId="47"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7"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63" fillId="0" borderId="29"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7"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7"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86" fillId="0" borderId="0" xfId="0" applyFont="1" applyAlignment="1">
      <alignment horizontal="center"/>
    </xf>
    <xf numFmtId="0" fontId="143" fillId="22" borderId="29" xfId="0" applyFont="1" applyFill="1" applyBorder="1" applyAlignment="1">
      <alignment horizontal="center" vertical="center" wrapText="1"/>
    </xf>
    <xf numFmtId="0" fontId="143" fillId="22" borderId="46" xfId="0" applyFont="1" applyFill="1" applyBorder="1" applyAlignment="1">
      <alignment horizontal="center" vertical="center"/>
    </xf>
    <xf numFmtId="0" fontId="143" fillId="22" borderId="47" xfId="0" applyFont="1" applyFill="1" applyBorder="1" applyAlignment="1">
      <alignment horizontal="center" vertical="center"/>
    </xf>
    <xf numFmtId="0" fontId="144" fillId="22" borderId="29" xfId="0" applyFont="1" applyFill="1" applyBorder="1" applyAlignment="1">
      <alignment horizontal="center" vertical="center"/>
    </xf>
    <xf numFmtId="0" fontId="144" fillId="22" borderId="46" xfId="0" applyFont="1" applyFill="1" applyBorder="1" applyAlignment="1">
      <alignment horizontal="center" vertical="center"/>
    </xf>
    <xf numFmtId="0" fontId="144"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0" fontId="145" fillId="0" borderId="46" xfId="0" applyFont="1" applyFill="1" applyBorder="1" applyAlignment="1" applyProtection="1">
      <alignment vertical="center" wrapText="1"/>
      <protection locked="0"/>
    </xf>
    <xf numFmtId="0" fontId="145" fillId="0" borderId="47" xfId="0" applyFont="1" applyFill="1" applyBorder="1" applyAlignment="1" applyProtection="1">
      <alignment vertical="center" wrapText="1"/>
      <protection locked="0"/>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43"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43"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141" fillId="22" borderId="234" xfId="0" applyNumberFormat="1" applyFont="1" applyFill="1" applyBorder="1" applyAlignment="1" applyProtection="1">
      <alignment horizontal="center" vertical="center" wrapText="1"/>
      <protection locked="0"/>
    </xf>
    <xf numFmtId="0" fontId="141" fillId="22" borderId="107" xfId="0" applyNumberFormat="1" applyFont="1" applyFill="1" applyBorder="1" applyAlignment="1" applyProtection="1">
      <alignment horizontal="center" vertical="center" wrapText="1"/>
      <protection locked="0"/>
    </xf>
    <xf numFmtId="0" fontId="141" fillId="22" borderId="47" xfId="0" applyNumberFormat="1" applyFont="1" applyFill="1" applyBorder="1" applyAlignment="1" applyProtection="1">
      <alignment horizontal="center" vertical="center" wrapText="1"/>
      <protection locked="0"/>
    </xf>
    <xf numFmtId="0" fontId="0" fillId="19" borderId="140" xfId="0" applyFill="1" applyBorder="1" applyAlignment="1" applyProtection="1">
      <alignment horizontal="center" vertical="center" textRotation="90"/>
    </xf>
    <xf numFmtId="43" fontId="14" fillId="0" borderId="141" xfId="0" applyNumberFormat="1" applyFont="1" applyBorder="1" applyAlignment="1" applyProtection="1">
      <alignment horizontal="center"/>
    </xf>
    <xf numFmtId="0" fontId="14" fillId="0" borderId="142" xfId="0" applyFont="1" applyBorder="1" applyAlignment="1" applyProtection="1">
      <alignment horizontal="center"/>
    </xf>
    <xf numFmtId="0" fontId="14" fillId="0" borderId="143" xfId="0" applyFont="1" applyBorder="1" applyAlignment="1" applyProtection="1">
      <alignment horizontal="center"/>
    </xf>
    <xf numFmtId="49" fontId="67" fillId="28" borderId="235" xfId="0" applyNumberFormat="1" applyFont="1" applyFill="1" applyBorder="1" applyAlignment="1" applyProtection="1">
      <alignment horizontal="left" vertical="center" wrapText="1"/>
      <protection locked="0"/>
    </xf>
    <xf numFmtId="49" fontId="67" fillId="28" borderId="111" xfId="0" applyNumberFormat="1" applyFont="1" applyFill="1" applyBorder="1" applyAlignment="1" applyProtection="1">
      <alignment horizontal="left" vertical="center" wrapText="1"/>
      <protection locked="0"/>
    </xf>
    <xf numFmtId="49" fontId="67" fillId="28" borderId="236" xfId="0" applyNumberFormat="1" applyFont="1" applyFill="1" applyBorder="1" applyAlignment="1" applyProtection="1">
      <alignment horizontal="left" vertical="center" wrapText="1"/>
      <protection locked="0"/>
    </xf>
    <xf numFmtId="49" fontId="67" fillId="28" borderId="105" xfId="0" applyNumberFormat="1" applyFont="1" applyFill="1" applyBorder="1" applyAlignment="1" applyProtection="1">
      <alignment horizontal="left" vertical="center" wrapText="1"/>
      <protection locked="0"/>
    </xf>
    <xf numFmtId="49" fontId="67" fillId="28" borderId="106" xfId="0" applyNumberFormat="1" applyFont="1" applyFill="1" applyBorder="1" applyAlignment="1" applyProtection="1">
      <alignment horizontal="left" vertical="center" wrapText="1"/>
      <protection locked="0"/>
    </xf>
    <xf numFmtId="49" fontId="67" fillId="28" borderId="110" xfId="0" applyNumberFormat="1" applyFont="1" applyFill="1" applyBorder="1" applyAlignment="1" applyProtection="1">
      <alignment horizontal="left" vertical="center" wrapText="1"/>
      <protection locked="0"/>
    </xf>
    <xf numFmtId="0" fontId="26" fillId="0" borderId="144" xfId="0" applyFont="1" applyBorder="1" applyAlignment="1" applyProtection="1">
      <alignment horizontal="center" wrapText="1"/>
    </xf>
    <xf numFmtId="0" fontId="26" fillId="0" borderId="145" xfId="0" applyFont="1" applyBorder="1" applyAlignment="1" applyProtection="1">
      <alignment horizontal="center" wrapText="1"/>
    </xf>
    <xf numFmtId="0" fontId="26" fillId="0" borderId="146" xfId="0" applyFont="1" applyBorder="1" applyAlignment="1" applyProtection="1">
      <alignment horizontal="center" wrapText="1"/>
    </xf>
    <xf numFmtId="49" fontId="141" fillId="23" borderId="119" xfId="0" applyNumberFormat="1" applyFont="1" applyFill="1" applyBorder="1" applyAlignment="1" applyProtection="1">
      <alignment horizontal="center" vertical="center" wrapText="1"/>
      <protection locked="0"/>
    </xf>
    <xf numFmtId="49" fontId="141" fillId="23" borderId="120" xfId="0" applyNumberFormat="1" applyFont="1" applyFill="1" applyBorder="1" applyAlignment="1" applyProtection="1">
      <alignment horizontal="center" vertical="center" wrapText="1"/>
      <protection locked="0"/>
    </xf>
    <xf numFmtId="49" fontId="141" fillId="23" borderId="127" xfId="0" applyNumberFormat="1" applyFont="1" applyFill="1" applyBorder="1" applyAlignment="1" applyProtection="1">
      <alignment horizontal="left" vertical="center" wrapText="1"/>
      <protection locked="0"/>
    </xf>
    <xf numFmtId="49" fontId="141" fillId="23" borderId="10" xfId="0" applyNumberFormat="1" applyFont="1" applyFill="1" applyBorder="1" applyAlignment="1" applyProtection="1">
      <alignment horizontal="left" vertical="center" wrapText="1"/>
      <protection locked="0"/>
    </xf>
    <xf numFmtId="49" fontId="141" fillId="23" borderId="29" xfId="0" applyNumberFormat="1" applyFont="1" applyFill="1" applyBorder="1" applyAlignment="1" applyProtection="1">
      <alignment horizontal="left" vertical="center" wrapText="1"/>
      <protection locked="0"/>
    </xf>
    <xf numFmtId="49" fontId="141" fillId="28" borderId="119" xfId="0" applyNumberFormat="1" applyFont="1" applyFill="1" applyBorder="1" applyAlignment="1" applyProtection="1">
      <alignment horizontal="center" vertical="center" wrapText="1"/>
      <protection locked="0"/>
    </xf>
    <xf numFmtId="49" fontId="141" fillId="28" borderId="120" xfId="0" applyNumberFormat="1" applyFont="1" applyFill="1" applyBorder="1" applyAlignment="1" applyProtection="1">
      <alignment horizontal="center" vertical="center" wrapText="1"/>
      <protection locked="0"/>
    </xf>
    <xf numFmtId="0" fontId="0" fillId="0" borderId="131" xfId="0" applyFill="1" applyBorder="1" applyAlignment="1" applyProtection="1">
      <alignment horizontal="center" vertical="center"/>
      <protection locked="0"/>
    </xf>
    <xf numFmtId="0" fontId="0" fillId="0" borderId="132" xfId="0" applyFill="1" applyBorder="1" applyAlignment="1" applyProtection="1">
      <alignment horizontal="center" vertical="center"/>
      <protection locked="0"/>
    </xf>
    <xf numFmtId="0" fontId="0" fillId="0" borderId="133" xfId="0" applyFill="1" applyBorder="1" applyAlignment="1" applyProtection="1">
      <alignment horizontal="center" vertical="center"/>
      <protection locked="0"/>
    </xf>
    <xf numFmtId="0" fontId="141" fillId="23" borderId="115" xfId="0" applyNumberFormat="1" applyFont="1" applyFill="1" applyBorder="1" applyAlignment="1" applyProtection="1">
      <alignment horizontal="center" vertical="center" wrapText="1"/>
      <protection locked="0"/>
    </xf>
    <xf numFmtId="49" fontId="67" fillId="33" borderId="127" xfId="0" applyNumberFormat="1" applyFont="1" applyFill="1" applyBorder="1" applyAlignment="1" applyProtection="1">
      <alignment horizontal="left" vertical="center" wrapText="1"/>
      <protection locked="0"/>
    </xf>
    <xf numFmtId="49" fontId="141" fillId="33" borderId="10" xfId="0" applyNumberFormat="1" applyFont="1" applyFill="1" applyBorder="1" applyAlignment="1" applyProtection="1">
      <alignment horizontal="left" vertical="center" wrapText="1"/>
      <protection locked="0"/>
    </xf>
    <xf numFmtId="49" fontId="141" fillId="33" borderId="29" xfId="0" applyNumberFormat="1" applyFont="1" applyFill="1" applyBorder="1" applyAlignment="1" applyProtection="1">
      <alignment horizontal="left" vertical="center" wrapText="1"/>
      <protection locked="0"/>
    </xf>
    <xf numFmtId="49" fontId="141" fillId="33" borderId="127" xfId="0" applyNumberFormat="1" applyFont="1" applyFill="1" applyBorder="1" applyAlignment="1" applyProtection="1">
      <alignment horizontal="left" vertical="center" wrapText="1"/>
      <protection locked="0"/>
    </xf>
    <xf numFmtId="43" fontId="15" fillId="36" borderId="10" xfId="58" applyFont="1" applyFill="1" applyBorder="1" applyAlignment="1" applyProtection="1">
      <alignment horizontal="center"/>
      <protection locked="0"/>
    </xf>
    <xf numFmtId="0" fontId="113" fillId="0" borderId="0" xfId="0" applyFont="1" applyAlignment="1" applyProtection="1">
      <alignment horizontal="right"/>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3" fillId="0" borderId="0" xfId="0" applyFont="1" applyBorder="1" applyAlignment="1" applyProtection="1">
      <alignment horizontal="right"/>
    </xf>
    <xf numFmtId="0" fontId="113" fillId="0" borderId="139" xfId="0" applyFont="1" applyBorder="1" applyAlignment="1" applyProtection="1">
      <alignment horizontal="right"/>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0" fillId="0" borderId="129" xfId="0" applyBorder="1" applyAlignment="1" applyProtection="1">
      <alignment horizontal="center"/>
    </xf>
    <xf numFmtId="0" fontId="0" fillId="0" borderId="21" xfId="0" applyBorder="1" applyAlignment="1" applyProtection="1">
      <alignment horizontal="center"/>
    </xf>
    <xf numFmtId="0" fontId="84" fillId="0" borderId="130" xfId="0" applyFont="1" applyBorder="1" applyAlignment="1" applyProtection="1">
      <alignment horizontal="right"/>
    </xf>
    <xf numFmtId="0" fontId="122" fillId="0" borderId="130" xfId="0" applyFont="1" applyBorder="1" applyAlignment="1"/>
    <xf numFmtId="0" fontId="67" fillId="0" borderId="47" xfId="0" applyFont="1" applyFill="1" applyBorder="1" applyAlignment="1" applyProtection="1">
      <alignment horizontal="center" vertical="center" wrapText="1"/>
    </xf>
    <xf numFmtId="0" fontId="67" fillId="29" borderId="47" xfId="0" applyFont="1" applyFill="1" applyBorder="1" applyAlignment="1" applyProtection="1">
      <alignment horizontal="center" vertical="center" wrapText="1"/>
    </xf>
    <xf numFmtId="43" fontId="61" fillId="31" borderId="0" xfId="39" applyFont="1" applyFill="1" applyAlignment="1" applyProtection="1">
      <alignment horizontal="center" vertical="center"/>
    </xf>
    <xf numFmtId="0" fontId="113" fillId="0" borderId="51" xfId="0" applyFont="1" applyBorder="1" applyAlignment="1" applyProtection="1">
      <alignment horizontal="right"/>
    </xf>
    <xf numFmtId="3" fontId="155" fillId="35" borderId="29" xfId="0" applyNumberFormat="1" applyFont="1" applyFill="1" applyBorder="1" applyAlignment="1" applyProtection="1">
      <alignment horizontal="center"/>
      <protection locked="0"/>
    </xf>
    <xf numFmtId="3" fontId="155" fillId="35" borderId="47" xfId="0" applyNumberFormat="1" applyFon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6" fillId="0" borderId="10" xfId="58" applyNumberFormat="1" applyFont="1" applyFill="1" applyBorder="1" applyAlignment="1" applyProtection="1">
      <alignment horizontal="center"/>
      <protection locked="0"/>
    </xf>
    <xf numFmtId="15" fontId="138" fillId="0" borderId="10" xfId="58" applyNumberFormat="1" applyFill="1" applyBorder="1" applyAlignment="1" applyProtection="1">
      <alignment horizontal="center"/>
      <protection locked="0"/>
    </xf>
    <xf numFmtId="0" fontId="67" fillId="29" borderId="137"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38" xfId="0" applyFont="1" applyFill="1" applyBorder="1" applyAlignment="1" applyProtection="1">
      <alignment horizontal="left" vertical="center" wrapText="1"/>
    </xf>
    <xf numFmtId="49" fontId="141" fillId="22" borderId="235" xfId="0" applyNumberFormat="1" applyFont="1" applyFill="1" applyBorder="1" applyAlignment="1" applyProtection="1">
      <alignment horizontal="left" vertical="center" wrapText="1"/>
      <protection locked="0"/>
    </xf>
    <xf numFmtId="49" fontId="141" fillId="22" borderId="111" xfId="0" applyNumberFormat="1" applyFont="1" applyFill="1" applyBorder="1" applyAlignment="1" applyProtection="1">
      <alignment horizontal="left" vertical="center" wrapText="1"/>
      <protection locked="0"/>
    </xf>
    <xf numFmtId="49" fontId="141" fillId="22" borderId="236" xfId="0" applyNumberFormat="1" applyFont="1" applyFill="1" applyBorder="1" applyAlignment="1" applyProtection="1">
      <alignment horizontal="left" vertical="center" wrapText="1"/>
      <protection locked="0"/>
    </xf>
    <xf numFmtId="49" fontId="141" fillId="22" borderId="105" xfId="0" applyNumberFormat="1" applyFont="1" applyFill="1" applyBorder="1" applyAlignment="1" applyProtection="1">
      <alignment horizontal="left" vertical="center" wrapText="1"/>
      <protection locked="0"/>
    </xf>
    <xf numFmtId="49" fontId="141" fillId="22" borderId="106" xfId="0" applyNumberFormat="1" applyFont="1" applyFill="1" applyBorder="1" applyAlignment="1" applyProtection="1">
      <alignment horizontal="left" vertical="center" wrapText="1"/>
      <protection locked="0"/>
    </xf>
    <xf numFmtId="49" fontId="141" fillId="22" borderId="110" xfId="0" applyNumberFormat="1" applyFont="1" applyFill="1" applyBorder="1" applyAlignment="1" applyProtection="1">
      <alignment horizontal="left" vertical="center" wrapText="1"/>
      <protection locked="0"/>
    </xf>
    <xf numFmtId="0" fontId="141" fillId="22" borderId="115" xfId="0" applyNumberFormat="1" applyFont="1" applyFill="1" applyBorder="1" applyAlignment="1" applyProtection="1">
      <alignment horizontal="center" vertical="center" wrapText="1"/>
      <protection locked="0"/>
    </xf>
    <xf numFmtId="49" fontId="141" fillId="28" borderId="47" xfId="0" applyNumberFormat="1" applyFont="1" applyFill="1" applyBorder="1" applyAlignment="1" applyProtection="1">
      <alignment horizontal="center" vertical="center" wrapText="1"/>
      <protection locked="0"/>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4" xfId="0" applyFont="1" applyFill="1" applyBorder="1" applyAlignment="1" applyProtection="1">
      <alignment horizontal="center" vertical="center"/>
    </xf>
    <xf numFmtId="0" fontId="77" fillId="0" borderId="135" xfId="0" applyFont="1" applyFill="1" applyBorder="1" applyAlignment="1" applyProtection="1">
      <alignment horizontal="center" vertical="center"/>
    </xf>
    <xf numFmtId="0" fontId="77" fillId="0" borderId="136" xfId="0" applyFont="1" applyFill="1" applyBorder="1" applyAlignment="1" applyProtection="1">
      <alignment horizontal="center" vertical="center"/>
    </xf>
    <xf numFmtId="9" fontId="33" fillId="0" borderId="116" xfId="56"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0" fontId="141" fillId="28" borderId="234" xfId="0" applyNumberFormat="1" applyFont="1" applyFill="1" applyBorder="1" applyAlignment="1" applyProtection="1">
      <alignment horizontal="center" vertical="center" wrapText="1"/>
      <protection locked="0"/>
    </xf>
    <xf numFmtId="0" fontId="141" fillId="28" borderId="107" xfId="0" applyNumberFormat="1" applyFont="1" applyFill="1" applyBorder="1" applyAlignment="1" applyProtection="1">
      <alignment horizontal="center" vertical="center" wrapText="1"/>
      <protection locked="0"/>
    </xf>
    <xf numFmtId="0" fontId="0" fillId="32" borderId="121" xfId="0" applyFill="1" applyBorder="1" applyAlignment="1" applyProtection="1">
      <alignment horizontal="center"/>
    </xf>
    <xf numFmtId="0" fontId="0" fillId="32" borderId="122" xfId="0" applyFill="1" applyBorder="1" applyAlignment="1" applyProtection="1">
      <alignment horizontal="center"/>
    </xf>
    <xf numFmtId="0" fontId="0" fillId="32" borderId="123"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28"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4"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29" borderId="115" xfId="0" applyFont="1" applyFill="1" applyBorder="1" applyAlignment="1" applyProtection="1">
      <alignment horizontal="center" vertical="center" wrapText="1"/>
    </xf>
    <xf numFmtId="0" fontId="141" fillId="28" borderId="115" xfId="0" applyNumberFormat="1" applyFont="1" applyFill="1" applyBorder="1" applyAlignment="1" applyProtection="1">
      <alignment horizontal="center" vertical="center" wrapText="1"/>
      <protection locked="0"/>
    </xf>
    <xf numFmtId="0" fontId="67" fillId="0" borderId="134"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0" fontId="67" fillId="0" borderId="137"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43" fontId="104" fillId="31" borderId="0" xfId="39" applyFont="1" applyFill="1" applyAlignment="1" applyProtection="1">
      <alignment horizontal="center" vertical="center"/>
    </xf>
    <xf numFmtId="43" fontId="24" fillId="24" borderId="43" xfId="58" applyFont="1" applyFill="1" applyBorder="1" applyAlignment="1" applyProtection="1">
      <alignment horizontal="center"/>
    </xf>
    <xf numFmtId="43" fontId="33" fillId="24" borderId="0" xfId="50" applyFont="1" applyFill="1" applyAlignment="1" applyProtection="1">
      <alignment horizontal="center" vertical="center" wrapText="1"/>
    </xf>
    <xf numFmtId="172" fontId="24" fillId="24" borderId="43" xfId="58" applyNumberFormat="1" applyFont="1" applyFill="1" applyBorder="1" applyAlignment="1" applyProtection="1">
      <alignment horizontal="center" vertical="center"/>
    </xf>
    <xf numFmtId="43" fontId="1" fillId="0" borderId="43" xfId="58" applyFont="1" applyBorder="1" applyAlignment="1" applyProtection="1">
      <alignment horizontal="right"/>
    </xf>
    <xf numFmtId="43" fontId="1" fillId="0" borderId="43"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6"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0" fontId="117" fillId="0" borderId="148" xfId="0" applyFont="1" applyFill="1" applyBorder="1" applyAlignment="1" applyProtection="1">
      <alignment horizontal="left" wrapText="1"/>
    </xf>
    <xf numFmtId="0" fontId="117" fillId="0" borderId="149" xfId="0" applyFont="1" applyFill="1" applyBorder="1" applyAlignment="1" applyProtection="1">
      <alignment horizontal="left" wrapText="1"/>
    </xf>
    <xf numFmtId="0" fontId="117" fillId="0" borderId="147" xfId="0" applyFont="1" applyFill="1" applyBorder="1" applyAlignment="1" applyProtection="1">
      <alignment horizontal="left" wrapText="1"/>
    </xf>
    <xf numFmtId="0" fontId="117" fillId="0" borderId="95" xfId="0" applyFont="1" applyFill="1" applyBorder="1" applyAlignment="1" applyProtection="1">
      <alignment horizontal="left" wrapText="1"/>
    </xf>
    <xf numFmtId="0" fontId="0" fillId="0" borderId="150" xfId="0" applyBorder="1" applyAlignment="1" applyProtection="1">
      <alignment horizontal="center"/>
    </xf>
    <xf numFmtId="0" fontId="0" fillId="0" borderId="65" xfId="0" applyBorder="1" applyAlignment="1" applyProtection="1">
      <alignment horizontal="center"/>
    </xf>
    <xf numFmtId="0" fontId="110" fillId="0" borderId="0" xfId="0" applyFont="1" applyAlignment="1" applyProtection="1">
      <alignment horizontal="center"/>
    </xf>
    <xf numFmtId="43" fontId="109" fillId="0" borderId="121" xfId="0" applyNumberFormat="1" applyFont="1" applyBorder="1" applyAlignment="1" applyProtection="1">
      <alignment horizontal="center" vertical="center" wrapText="1"/>
    </xf>
    <xf numFmtId="43" fontId="109" fillId="0" borderId="122" xfId="0" applyNumberFormat="1" applyFont="1" applyBorder="1" applyAlignment="1" applyProtection="1">
      <alignment horizontal="center" vertical="center" wrapText="1"/>
    </xf>
    <xf numFmtId="43" fontId="109" fillId="0" borderId="123" xfId="0" applyNumberFormat="1" applyFont="1" applyBorder="1" applyAlignment="1" applyProtection="1">
      <alignment horizontal="center" vertical="center" wrapText="1"/>
    </xf>
    <xf numFmtId="0" fontId="30"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43" fontId="37" fillId="0" borderId="0" xfId="0" applyNumberFormat="1" applyFont="1" applyAlignment="1" applyProtection="1">
      <alignment horizontal="left" wrapText="1"/>
    </xf>
    <xf numFmtId="172" fontId="34" fillId="22" borderId="29" xfId="0" applyNumberFormat="1" applyFont="1" applyFill="1" applyBorder="1" applyAlignment="1" applyProtection="1">
      <alignment horizontal="justify" vertical="top" wrapText="1"/>
      <protection locked="0"/>
    </xf>
    <xf numFmtId="172" fontId="34" fillId="22" borderId="46" xfId="0" applyNumberFormat="1" applyFont="1" applyFill="1" applyBorder="1" applyAlignment="1" applyProtection="1">
      <alignment horizontal="justify" vertical="top" wrapText="1"/>
      <protection locked="0"/>
    </xf>
    <xf numFmtId="172" fontId="34" fillId="22" borderId="47" xfId="0" applyNumberFormat="1" applyFont="1" applyFill="1" applyBorder="1" applyAlignment="1" applyProtection="1">
      <alignment horizontal="justify" vertical="top" wrapText="1"/>
      <protection locked="0"/>
    </xf>
    <xf numFmtId="0" fontId="150" fillId="22" borderId="29" xfId="0" applyFont="1" applyFill="1" applyBorder="1" applyAlignment="1" applyProtection="1">
      <alignment horizontal="left" vertical="top" wrapText="1"/>
      <protection locked="0"/>
    </xf>
    <xf numFmtId="0" fontId="146" fillId="0" borderId="46" xfId="0" applyFont="1" applyBorder="1" applyAlignment="1">
      <alignment vertical="top"/>
    </xf>
    <xf numFmtId="0" fontId="146" fillId="0" borderId="47" xfId="0" applyFont="1" applyBorder="1" applyAlignment="1">
      <alignment vertical="top"/>
    </xf>
    <xf numFmtId="0" fontId="34" fillId="22" borderId="29" xfId="0" applyFont="1" applyFill="1" applyBorder="1" applyAlignment="1" applyProtection="1">
      <alignment horizontal="left" wrapText="1"/>
      <protection locked="0"/>
    </xf>
    <xf numFmtId="0" fontId="85" fillId="0" borderId="0" xfId="0" applyFont="1" applyAlignment="1">
      <alignment horizontal="left" wrapText="1"/>
    </xf>
    <xf numFmtId="0" fontId="30" fillId="22" borderId="29" xfId="0" applyFont="1" applyFill="1"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1" borderId="0" xfId="48" applyFont="1" applyFill="1" applyAlignment="1">
      <alignment horizontal="center" vertical="center"/>
    </xf>
    <xf numFmtId="0" fontId="110" fillId="0" borderId="0" xfId="0" applyFont="1" applyAlignment="1">
      <alignment horizontal="center"/>
    </xf>
    <xf numFmtId="43" fontId="28" fillId="0" borderId="0" xfId="0" applyNumberFormat="1" applyFont="1" applyAlignment="1">
      <alignment horizontal="right"/>
    </xf>
    <xf numFmtId="0" fontId="0" fillId="0" borderId="131" xfId="0" applyFill="1" applyBorder="1" applyAlignment="1" applyProtection="1">
      <alignment horizontal="center" vertical="center"/>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43" fontId="14" fillId="0" borderId="0" xfId="0" applyNumberFormat="1" applyFont="1" applyAlignment="1">
      <alignment horizontal="center" wrapText="1"/>
    </xf>
    <xf numFmtId="172" fontId="34" fillId="22" borderId="29" xfId="0" applyNumberFormat="1" applyFont="1" applyFill="1" applyBorder="1" applyAlignment="1" applyProtection="1">
      <alignment horizontal="justify" vertical="center" wrapText="1"/>
      <protection locked="0"/>
    </xf>
    <xf numFmtId="172" fontId="34" fillId="22" borderId="46" xfId="0" applyNumberFormat="1" applyFont="1" applyFill="1" applyBorder="1" applyAlignment="1" applyProtection="1">
      <alignment horizontal="justify" vertical="center" wrapText="1"/>
      <protection locked="0"/>
    </xf>
    <xf numFmtId="172" fontId="34" fillId="22" borderId="47" xfId="0" applyNumberFormat="1" applyFont="1" applyFill="1" applyBorder="1" applyAlignment="1" applyProtection="1">
      <alignment horizontal="justify" vertical="center" wrapText="1"/>
      <protection locked="0"/>
    </xf>
    <xf numFmtId="0" fontId="14" fillId="0" borderId="0" xfId="0" applyFont="1" applyBorder="1" applyAlignment="1">
      <alignment horizontal="center"/>
    </xf>
    <xf numFmtId="43" fontId="35" fillId="0" borderId="0" xfId="0" applyNumberFormat="1" applyFont="1" applyAlignment="1">
      <alignment horizontal="left" wrapText="1"/>
    </xf>
    <xf numFmtId="172" fontId="0" fillId="0" borderId="46" xfId="0" applyNumberFormat="1" applyBorder="1" applyAlignment="1">
      <alignment horizontal="justify" vertical="center" wrapText="1"/>
    </xf>
    <xf numFmtId="172" fontId="0" fillId="0" borderId="47" xfId="0" applyNumberFormat="1" applyBorder="1" applyAlignment="1">
      <alignment horizontal="justify" vertical="center" wrapText="1"/>
    </xf>
    <xf numFmtId="49" fontId="148" fillId="0" borderId="10" xfId="0" applyNumberFormat="1" applyFont="1" applyBorder="1" applyAlignment="1" applyProtection="1">
      <alignment vertical="center" wrapText="1"/>
    </xf>
    <xf numFmtId="0" fontId="148" fillId="0" borderId="10" xfId="0" applyFont="1" applyBorder="1" applyAlignment="1" applyProtection="1">
      <alignment vertical="center" wrapText="1"/>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9" fontId="157" fillId="22" borderId="10" xfId="56" applyFont="1" applyFill="1" applyBorder="1" applyAlignment="1" applyProtection="1">
      <alignment horizontal="justify" vertical="center" wrapText="1"/>
      <protection locked="0"/>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4" borderId="29" xfId="56" applyFont="1" applyFill="1" applyBorder="1" applyAlignment="1" applyProtection="1">
      <alignment horizontal="center" vertical="center" wrapText="1"/>
    </xf>
    <xf numFmtId="9" fontId="37" fillId="34" borderId="47" xfId="56" applyFont="1" applyFill="1" applyBorder="1" applyAlignment="1" applyProtection="1">
      <alignment horizontal="center" vertical="center" wrapText="1"/>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20" borderId="151"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131" fillId="22" borderId="10" xfId="56" applyFont="1" applyFill="1" applyBorder="1" applyAlignment="1" applyProtection="1">
      <alignment horizontal="justify" vertical="center" wrapText="1"/>
      <protection locked="0"/>
    </xf>
    <xf numFmtId="9" fontId="34" fillId="22" borderId="10" xfId="56" applyFont="1" applyFill="1" applyBorder="1" applyAlignment="1" applyProtection="1">
      <alignment horizontal="justify" vertical="center" wrapText="1"/>
      <protection locked="0"/>
    </xf>
    <xf numFmtId="9" fontId="131" fillId="22" borderId="10" xfId="56" applyFont="1" applyFill="1" applyBorder="1" applyAlignment="1" applyProtection="1">
      <alignment horizontal="left" vertical="center" wrapText="1"/>
      <protection locked="0"/>
    </xf>
    <xf numFmtId="9" fontId="34" fillId="22" borderId="10" xfId="56" applyFont="1" applyFill="1" applyBorder="1" applyAlignment="1" applyProtection="1">
      <alignment horizontal="left" vertical="center" wrapText="1"/>
      <protection locked="0"/>
    </xf>
    <xf numFmtId="0" fontId="34" fillId="20" borderId="0" xfId="0" applyFont="1" applyFill="1" applyAlignment="1" applyProtection="1">
      <alignment horizontal="center" vertical="center" wrapText="1"/>
    </xf>
    <xf numFmtId="49" fontId="148" fillId="0" borderId="29" xfId="0" applyNumberFormat="1" applyFont="1" applyBorder="1" applyAlignment="1" applyProtection="1">
      <alignment vertical="center" wrapText="1"/>
    </xf>
    <xf numFmtId="0" fontId="148" fillId="0" borderId="46" xfId="0" applyFont="1" applyBorder="1" applyAlignment="1" applyProtection="1">
      <alignment vertical="center" wrapText="1"/>
    </xf>
    <xf numFmtId="0" fontId="148" fillId="0" borderId="47" xfId="0" applyFont="1" applyBorder="1" applyAlignment="1" applyProtection="1">
      <alignment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148" fillId="0" borderId="29" xfId="0" applyFont="1" applyBorder="1" applyAlignment="1" applyProtection="1">
      <alignment vertical="center" wrapText="1"/>
    </xf>
    <xf numFmtId="43" fontId="61"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0" fontId="147" fillId="0" borderId="111" xfId="0" applyFont="1" applyBorder="1" applyAlignment="1" applyProtection="1">
      <alignment horizontal="left" vertical="center" wrapText="1"/>
    </xf>
    <xf numFmtId="43" fontId="110" fillId="0" borderId="0" xfId="0" applyNumberFormat="1" applyFont="1" applyAlignment="1" applyProtection="1">
      <alignment horizontal="center"/>
    </xf>
    <xf numFmtId="43" fontId="33" fillId="0" borderId="0" xfId="0" applyNumberFormat="1" applyFont="1" applyAlignment="1" applyProtection="1">
      <alignment horizontal="center"/>
    </xf>
    <xf numFmtId="43" fontId="21" fillId="0" borderId="0" xfId="59" applyFont="1" applyFill="1" applyBorder="1" applyAlignment="1" applyProtection="1">
      <alignment horizontal="center"/>
    </xf>
    <xf numFmtId="0" fontId="34" fillId="22" borderId="29" xfId="0" applyFont="1" applyFill="1" applyBorder="1" applyAlignment="1" applyProtection="1">
      <alignment horizontal="justify" vertical="top" wrapText="1"/>
      <protection locked="0"/>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47" fillId="0" borderId="111" xfId="0" applyFont="1" applyBorder="1" applyAlignment="1" applyProtection="1">
      <alignment horizontal="justify" vertical="center"/>
    </xf>
    <xf numFmtId="0" fontId="0" fillId="0" borderId="46" xfId="0" applyBorder="1" applyAlignment="1">
      <alignment horizontal="justify" vertical="top" wrapText="1"/>
    </xf>
    <xf numFmtId="0" fontId="0" fillId="0" borderId="47" xfId="0" applyBorder="1" applyAlignment="1">
      <alignment horizontal="justify" vertical="top" wrapText="1"/>
    </xf>
    <xf numFmtId="0" fontId="2" fillId="22" borderId="152" xfId="0" applyFont="1" applyFill="1" applyBorder="1" applyAlignment="1" applyProtection="1">
      <alignment horizontal="center" vertical="top" wrapText="1"/>
      <protection locked="0"/>
    </xf>
    <xf numFmtId="0" fontId="2" fillId="22" borderId="153" xfId="0" applyFont="1" applyFill="1" applyBorder="1" applyAlignment="1" applyProtection="1">
      <alignment horizontal="center" vertical="top" wrapText="1"/>
      <protection locked="0"/>
    </xf>
    <xf numFmtId="0" fontId="2" fillId="22" borderId="154"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1" xfId="0" applyFont="1" applyFill="1" applyBorder="1" applyAlignment="1" applyProtection="1">
      <alignment horizont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9" fontId="2" fillId="0" borderId="184" xfId="56" applyNumberFormat="1" applyFont="1" applyFill="1" applyBorder="1" applyAlignment="1" applyProtection="1">
      <alignment horizontal="left" vertical="center" wrapText="1"/>
    </xf>
    <xf numFmtId="0" fontId="2" fillId="0" borderId="173" xfId="56" applyNumberFormat="1" applyFont="1" applyFill="1" applyBorder="1" applyAlignment="1" applyProtection="1">
      <alignment horizontal="left" vertical="center" wrapText="1"/>
    </xf>
    <xf numFmtId="0" fontId="2" fillId="0" borderId="185" xfId="56" applyNumberFormat="1" applyFont="1" applyFill="1" applyBorder="1" applyAlignment="1" applyProtection="1">
      <alignment horizontal="left" vertical="center" wrapText="1"/>
    </xf>
    <xf numFmtId="0" fontId="60" fillId="22" borderId="199" xfId="0" applyFont="1" applyFill="1" applyBorder="1" applyAlignment="1" applyProtection="1">
      <alignment horizontal="center" vertical="center"/>
    </xf>
    <xf numFmtId="0" fontId="60" fillId="22" borderId="200" xfId="0" applyFont="1" applyFill="1" applyBorder="1" applyAlignment="1" applyProtection="1">
      <alignment horizontal="center" vertical="center"/>
    </xf>
    <xf numFmtId="0" fontId="60" fillId="22" borderId="201" xfId="0" applyFont="1" applyFill="1" applyBorder="1" applyAlignment="1" applyProtection="1">
      <alignment horizontal="center" vertical="center"/>
    </xf>
    <xf numFmtId="0" fontId="80" fillId="0" borderId="202" xfId="0"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center" wrapText="1"/>
    </xf>
    <xf numFmtId="0" fontId="80" fillId="0" borderId="204" xfId="0" applyNumberFormat="1" applyFont="1" applyFill="1" applyBorder="1" applyAlignment="1" applyProtection="1">
      <alignment horizontal="left" vertical="center" wrapText="1"/>
    </xf>
    <xf numFmtId="0" fontId="2" fillId="22" borderId="155" xfId="0" applyFont="1" applyFill="1" applyBorder="1" applyAlignment="1" applyProtection="1">
      <alignment horizontal="center" vertical="top" wrapText="1"/>
      <protection locked="0"/>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80" fillId="0" borderId="179" xfId="0" applyNumberFormat="1" applyFont="1" applyFill="1" applyBorder="1" applyAlignment="1" applyProtection="1">
      <alignment horizontal="left" vertical="top" wrapText="1"/>
    </xf>
    <xf numFmtId="0" fontId="80" fillId="0" borderId="180" xfId="0" applyNumberFormat="1" applyFont="1" applyFill="1" applyBorder="1" applyAlignment="1" applyProtection="1">
      <alignment horizontal="left" vertical="top" wrapText="1"/>
    </xf>
    <xf numFmtId="0" fontId="2" fillId="22" borderId="152" xfId="0" applyFont="1" applyFill="1" applyBorder="1" applyAlignment="1" applyProtection="1">
      <alignment horizontal="left" vertical="top" wrapText="1"/>
      <protection locked="0"/>
    </xf>
    <xf numFmtId="0" fontId="2" fillId="22" borderId="153" xfId="0" applyFont="1" applyFill="1" applyBorder="1" applyAlignment="1" applyProtection="1">
      <alignment horizontal="left" vertical="top" wrapText="1"/>
      <protection locked="0"/>
    </xf>
    <xf numFmtId="0" fontId="2" fillId="22" borderId="154" xfId="0" applyFont="1" applyFill="1" applyBorder="1" applyAlignment="1" applyProtection="1">
      <alignment horizontal="left" vertical="top" wrapText="1"/>
      <protection locked="0"/>
    </xf>
    <xf numFmtId="0" fontId="80" fillId="0" borderId="195" xfId="0" applyNumberFormat="1" applyFont="1" applyFill="1" applyBorder="1" applyAlignment="1" applyProtection="1">
      <alignment horizontal="left" vertical="top" wrapText="1"/>
    </xf>
    <xf numFmtId="0" fontId="80" fillId="0" borderId="196"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2" fillId="0" borderId="184" xfId="56" applyNumberFormat="1" applyFont="1" applyFill="1" applyBorder="1" applyAlignment="1" applyProtection="1">
      <alignment horizontal="left" vertical="center" wrapText="1"/>
    </xf>
    <xf numFmtId="0" fontId="80" fillId="0" borderId="197" xfId="0" applyNumberFormat="1" applyFont="1" applyFill="1" applyBorder="1" applyAlignment="1" applyProtection="1">
      <alignment horizontal="left" vertical="top" wrapText="1"/>
    </xf>
    <xf numFmtId="0" fontId="80" fillId="0" borderId="198" xfId="0" applyNumberFormat="1" applyFont="1" applyFill="1" applyBorder="1" applyAlignment="1" applyProtection="1">
      <alignment horizontal="left" vertical="top" wrapText="1"/>
    </xf>
    <xf numFmtId="0" fontId="2" fillId="22" borderId="186" xfId="0" applyFont="1" applyFill="1" applyBorder="1" applyAlignment="1" applyProtection="1">
      <alignment horizontal="center" vertical="top" wrapText="1"/>
      <protection locked="0"/>
    </xf>
    <xf numFmtId="0" fontId="2" fillId="22" borderId="187" xfId="0" applyFont="1" applyFill="1" applyBorder="1" applyAlignment="1" applyProtection="1">
      <alignment horizontal="center" vertical="top" wrapText="1"/>
      <protection locked="0"/>
    </xf>
    <xf numFmtId="0" fontId="2" fillId="22" borderId="188" xfId="0" applyFont="1" applyFill="1" applyBorder="1" applyAlignment="1" applyProtection="1">
      <alignment horizontal="center" vertical="top" wrapText="1"/>
      <protection locked="0"/>
    </xf>
    <xf numFmtId="0" fontId="60" fillId="25" borderId="158" xfId="0" applyFont="1" applyFill="1" applyBorder="1" applyAlignment="1" applyProtection="1">
      <alignment horizontal="center" vertical="center"/>
    </xf>
    <xf numFmtId="0" fontId="60" fillId="25" borderId="159" xfId="0" applyFont="1" applyFill="1" applyBorder="1" applyAlignment="1" applyProtection="1">
      <alignment horizontal="center" vertical="center"/>
    </xf>
    <xf numFmtId="0" fontId="60" fillId="25" borderId="160" xfId="0" applyFont="1" applyFill="1" applyBorder="1" applyAlignment="1" applyProtection="1">
      <alignment horizontal="center" vertical="center"/>
    </xf>
    <xf numFmtId="0" fontId="2" fillId="24" borderId="161" xfId="0" applyFont="1" applyFill="1" applyBorder="1" applyAlignment="1" applyProtection="1">
      <alignment horizontal="center" vertical="top" wrapText="1"/>
      <protection locked="0"/>
    </xf>
    <xf numFmtId="0" fontId="2" fillId="24" borderId="162" xfId="0" applyFont="1" applyFill="1" applyBorder="1" applyAlignment="1" applyProtection="1">
      <alignment horizontal="center" vertical="top" wrapText="1"/>
      <protection locked="0"/>
    </xf>
    <xf numFmtId="0" fontId="2" fillId="24" borderId="163" xfId="0" applyFont="1" applyFill="1" applyBorder="1" applyAlignment="1" applyProtection="1">
      <alignment horizontal="center" vertical="top" wrapText="1"/>
      <protection locked="0"/>
    </xf>
    <xf numFmtId="0" fontId="78" fillId="0" borderId="170" xfId="0" applyFont="1" applyFill="1" applyBorder="1" applyAlignment="1" applyProtection="1">
      <alignment horizontal="center"/>
    </xf>
    <xf numFmtId="49" fontId="2" fillId="25" borderId="172" xfId="0" applyNumberFormat="1" applyFont="1" applyFill="1" applyBorder="1" applyAlignment="1" applyProtection="1">
      <alignment horizontal="center" vertical="center"/>
      <protection locked="0"/>
    </xf>
    <xf numFmtId="49" fontId="2" fillId="25" borderId="173" xfId="0" applyNumberFormat="1" applyFont="1" applyFill="1" applyBorder="1" applyAlignment="1" applyProtection="1">
      <alignment horizontal="center" vertical="center"/>
      <protection locked="0"/>
    </xf>
    <xf numFmtId="49" fontId="2" fillId="25" borderId="174"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49" fontId="2" fillId="25" borderId="183" xfId="0" applyNumberFormat="1" applyFont="1" applyFill="1" applyBorder="1" applyAlignment="1" applyProtection="1">
      <alignment horizontal="center" vertical="center"/>
      <protection locked="0"/>
    </xf>
    <xf numFmtId="0" fontId="124" fillId="24" borderId="190" xfId="0" applyFont="1" applyFill="1" applyBorder="1" applyAlignment="1" applyProtection="1">
      <alignment horizontal="center" vertical="center"/>
    </xf>
    <xf numFmtId="0" fontId="124" fillId="24" borderId="191" xfId="0" applyFont="1" applyFill="1" applyBorder="1" applyAlignment="1" applyProtection="1">
      <alignment horizontal="center" vertical="center"/>
    </xf>
    <xf numFmtId="0" fontId="0" fillId="0" borderId="191" xfId="0" applyBorder="1" applyAlignment="1">
      <alignment horizontal="center" vertical="center"/>
    </xf>
    <xf numFmtId="0" fontId="124" fillId="24" borderId="192" xfId="0" applyFont="1" applyFill="1" applyBorder="1" applyAlignment="1" applyProtection="1">
      <alignment horizontal="center" vertical="center"/>
    </xf>
    <xf numFmtId="0" fontId="124" fillId="24" borderId="193" xfId="0" applyFont="1" applyFill="1" applyBorder="1" applyAlignment="1" applyProtection="1">
      <alignment horizontal="center" vertical="center"/>
    </xf>
    <xf numFmtId="0" fontId="124" fillId="24" borderId="194" xfId="0" applyFont="1" applyFill="1" applyBorder="1" applyAlignment="1" applyProtection="1">
      <alignment horizontal="center" vertical="center"/>
    </xf>
    <xf numFmtId="0" fontId="110" fillId="0" borderId="0" xfId="0" applyFont="1" applyBorder="1" applyAlignment="1" applyProtection="1">
      <alignment horizontal="center"/>
    </xf>
    <xf numFmtId="43" fontId="15" fillId="30" borderId="0" xfId="59" applyFont="1" applyFill="1" applyBorder="1" applyAlignment="1" applyProtection="1">
      <alignment horizontal="center"/>
    </xf>
    <xf numFmtId="0" fontId="2" fillId="24" borderId="164" xfId="0" applyFont="1" applyFill="1" applyBorder="1" applyAlignment="1" applyProtection="1">
      <alignment horizontal="center" vertical="top" wrapText="1"/>
      <protection locked="0"/>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49" fontId="2" fillId="25" borderId="175"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76" xfId="0" applyNumberFormat="1" applyFont="1" applyFill="1" applyBorder="1" applyAlignment="1" applyProtection="1">
      <alignment horizontal="center" vertical="center"/>
      <protection locked="0"/>
    </xf>
    <xf numFmtId="0" fontId="80" fillId="0" borderId="177" xfId="0" applyNumberFormat="1" applyFont="1" applyFill="1" applyBorder="1" applyAlignment="1" applyProtection="1">
      <alignment horizontal="left" vertical="top" wrapText="1"/>
    </xf>
    <xf numFmtId="0" fontId="80" fillId="0" borderId="178" xfId="0" applyNumberFormat="1" applyFont="1" applyFill="1" applyBorder="1" applyAlignment="1" applyProtection="1">
      <alignment horizontal="left" vertical="top" wrapText="1"/>
    </xf>
    <xf numFmtId="0" fontId="21" fillId="0" borderId="211"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232"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31"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05" xfId="53" applyNumberFormat="1" applyFont="1" applyFill="1" applyBorder="1" applyAlignment="1">
      <alignment horizontal="center" vertical="center" wrapText="1"/>
    </xf>
    <xf numFmtId="0" fontId="21" fillId="0" borderId="211"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24"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39" xfId="0" applyFont="1" applyFill="1" applyBorder="1" applyAlignment="1" applyProtection="1">
      <alignment horizontal="left"/>
      <protection locked="0"/>
    </xf>
    <xf numFmtId="0" fontId="21" fillId="0" borderId="231" xfId="0" applyFont="1" applyFill="1" applyBorder="1" applyAlignment="1" applyProtection="1">
      <alignment horizontal="left"/>
      <protection locked="0"/>
    </xf>
    <xf numFmtId="0" fontId="21" fillId="0" borderId="210" xfId="0" applyFont="1" applyBorder="1" applyAlignment="1" applyProtection="1">
      <alignment horizontal="left"/>
      <protection locked="0"/>
    </xf>
    <xf numFmtId="0" fontId="21" fillId="0" borderId="229" xfId="0" applyFont="1" applyFill="1" applyBorder="1" applyAlignment="1" applyProtection="1">
      <alignment horizontal="left"/>
      <protection locked="0"/>
    </xf>
    <xf numFmtId="0" fontId="21" fillId="0" borderId="173" xfId="0" applyFont="1" applyFill="1" applyBorder="1" applyAlignment="1" applyProtection="1">
      <alignment horizontal="left"/>
      <protection locked="0"/>
    </xf>
    <xf numFmtId="0" fontId="21" fillId="0" borderId="206" xfId="0" applyFont="1" applyFill="1" applyBorder="1" applyAlignment="1" applyProtection="1">
      <alignment horizontal="left"/>
      <protection locked="0"/>
    </xf>
    <xf numFmtId="0" fontId="163" fillId="21" borderId="219" xfId="0" applyFont="1" applyFill="1" applyBorder="1" applyAlignment="1">
      <alignment horizontal="center" vertical="center" textRotation="90"/>
    </xf>
    <xf numFmtId="0" fontId="164" fillId="21" borderId="92" xfId="0" applyFont="1" applyFill="1" applyBorder="1" applyAlignment="1">
      <alignment horizontal="center" vertical="center" textRotation="90"/>
    </xf>
    <xf numFmtId="0" fontId="164" fillId="21" borderId="109" xfId="0" applyFont="1" applyFill="1" applyBorder="1" applyAlignment="1">
      <alignment horizontal="center" vertical="center" textRotation="90"/>
    </xf>
    <xf numFmtId="0" fontId="21" fillId="0" borderId="173" xfId="0" applyFont="1" applyFill="1" applyBorder="1" applyAlignment="1" applyProtection="1">
      <alignment horizontal="left" vertical="center" wrapText="1"/>
      <protection locked="0"/>
    </xf>
    <xf numFmtId="0" fontId="21" fillId="0" borderId="206" xfId="0" applyFont="1" applyFill="1" applyBorder="1" applyAlignment="1" applyProtection="1">
      <alignment horizontal="left" vertical="center" wrapText="1"/>
      <protection locked="0"/>
    </xf>
    <xf numFmtId="0" fontId="21" fillId="0" borderId="209" xfId="0" applyFont="1" applyFill="1" applyBorder="1" applyAlignment="1" applyProtection="1">
      <alignment horizontal="left"/>
      <protection locked="0"/>
    </xf>
    <xf numFmtId="0" fontId="21" fillId="0" borderId="210" xfId="0" applyFont="1" applyFill="1" applyBorder="1" applyAlignment="1" applyProtection="1">
      <alignment horizontal="left"/>
      <protection locked="0"/>
    </xf>
    <xf numFmtId="0" fontId="77" fillId="21" borderId="220" xfId="53" applyNumberFormat="1" applyFont="1" applyFill="1" applyBorder="1" applyAlignment="1">
      <alignment horizontal="center" vertical="center" wrapText="1"/>
    </xf>
    <xf numFmtId="0" fontId="77" fillId="21" borderId="221" xfId="53" applyNumberFormat="1" applyFont="1" applyFill="1" applyBorder="1" applyAlignment="1">
      <alignment horizontal="center" vertical="center" wrapText="1"/>
    </xf>
    <xf numFmtId="0" fontId="77" fillId="21" borderId="222" xfId="53" applyNumberFormat="1" applyFont="1" applyFill="1" applyBorder="1" applyAlignment="1">
      <alignment horizontal="center" vertical="center" wrapText="1"/>
    </xf>
    <xf numFmtId="0" fontId="158" fillId="0" borderId="173" xfId="0" applyFont="1" applyFill="1" applyBorder="1" applyAlignment="1" applyProtection="1">
      <alignment horizontal="left" vertical="center" wrapText="1"/>
      <protection locked="0"/>
    </xf>
    <xf numFmtId="0" fontId="156" fillId="0" borderId="173" xfId="0" applyFont="1" applyFill="1" applyBorder="1" applyAlignment="1" applyProtection="1">
      <alignment horizontal="left" vertical="center" wrapText="1"/>
      <protection locked="0"/>
    </xf>
    <xf numFmtId="0" fontId="156" fillId="0" borderId="206" xfId="0" applyFont="1" applyFill="1" applyBorder="1" applyAlignment="1" applyProtection="1">
      <alignment horizontal="left" vertical="center" wrapText="1"/>
      <protection locked="0"/>
    </xf>
    <xf numFmtId="0" fontId="155" fillId="22" borderId="112" xfId="0" applyFont="1" applyFill="1" applyBorder="1" applyAlignment="1" applyProtection="1">
      <alignment horizontal="left" wrapText="1"/>
      <protection locked="0"/>
    </xf>
    <xf numFmtId="0" fontId="155" fillId="22" borderId="111" xfId="0" applyFont="1" applyFill="1" applyBorder="1" applyAlignment="1" applyProtection="1">
      <alignment horizontal="left" wrapText="1"/>
      <protection locked="0"/>
    </xf>
    <xf numFmtId="0" fontId="155" fillId="22" borderId="113" xfId="0" applyFont="1" applyFill="1" applyBorder="1" applyAlignment="1" applyProtection="1">
      <alignment horizontal="left" wrapText="1"/>
      <protection locked="0"/>
    </xf>
    <xf numFmtId="0" fontId="155" fillId="22" borderId="67" xfId="0" applyFont="1" applyFill="1" applyBorder="1" applyAlignment="1" applyProtection="1">
      <alignment horizontal="left" wrapText="1"/>
      <protection locked="0"/>
    </xf>
    <xf numFmtId="0" fontId="155" fillId="22" borderId="106" xfId="0" applyFont="1" applyFill="1" applyBorder="1" applyAlignment="1" applyProtection="1">
      <alignment horizontal="left" wrapText="1"/>
      <protection locked="0"/>
    </xf>
    <xf numFmtId="0" fontId="155" fillId="22" borderId="108" xfId="0" applyFont="1" applyFill="1" applyBorder="1" applyAlignment="1" applyProtection="1">
      <alignment horizontal="left" wrapText="1"/>
      <protection locked="0"/>
    </xf>
    <xf numFmtId="0" fontId="21" fillId="0" borderId="213" xfId="0" applyFont="1" applyFill="1" applyBorder="1" applyAlignment="1" applyProtection="1">
      <alignment horizontal="left" vertical="top" wrapText="1"/>
      <protection locked="0"/>
    </xf>
    <xf numFmtId="0" fontId="21" fillId="0" borderId="214" xfId="0" applyFont="1" applyFill="1" applyBorder="1" applyAlignment="1" applyProtection="1">
      <alignment horizontal="left" vertical="top" wrapText="1"/>
      <protection locked="0"/>
    </xf>
    <xf numFmtId="0" fontId="21" fillId="0" borderId="215" xfId="0" applyFont="1" applyFill="1" applyBorder="1" applyAlignment="1" applyProtection="1">
      <alignment horizontal="left" vertical="top" wrapText="1"/>
      <protection locked="0"/>
    </xf>
    <xf numFmtId="0" fontId="21" fillId="0" borderId="216" xfId="0" applyFont="1" applyFill="1" applyBorder="1" applyAlignment="1" applyProtection="1">
      <alignment horizontal="left" vertical="top" wrapText="1"/>
      <protection locked="0"/>
    </xf>
    <xf numFmtId="0" fontId="21" fillId="0" borderId="182"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vertical="top" wrapText="1"/>
      <protection locked="0"/>
    </xf>
    <xf numFmtId="0" fontId="77" fillId="21" borderId="218" xfId="53" applyNumberFormat="1" applyFont="1" applyFill="1" applyBorder="1" applyAlignment="1">
      <alignment horizontal="center" vertical="center" wrapText="1"/>
    </xf>
    <xf numFmtId="0" fontId="24" fillId="0" borderId="0" xfId="0" applyFont="1" applyAlignment="1">
      <alignment horizontal="center"/>
    </xf>
    <xf numFmtId="0" fontId="21" fillId="0" borderId="223" xfId="0" applyFont="1" applyFill="1" applyBorder="1" applyAlignment="1" applyProtection="1">
      <alignment horizontal="left"/>
      <protection locked="0"/>
    </xf>
    <xf numFmtId="0" fontId="21" fillId="0" borderId="225" xfId="0" applyFont="1" applyFill="1" applyBorder="1" applyAlignment="1" applyProtection="1">
      <alignment horizontal="left" vertical="top" wrapText="1"/>
      <protection locked="0"/>
    </xf>
    <xf numFmtId="0" fontId="21" fillId="0" borderId="226" xfId="0" applyFont="1" applyFill="1" applyBorder="1" applyAlignment="1" applyProtection="1">
      <alignment horizontal="left" vertical="top" wrapText="1"/>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protection locked="0"/>
    </xf>
    <xf numFmtId="0" fontId="21" fillId="0" borderId="207" xfId="0" applyFont="1" applyFill="1" applyBorder="1" applyAlignment="1" applyProtection="1">
      <alignment horizontal="left"/>
      <protection locked="0"/>
    </xf>
    <xf numFmtId="0" fontId="21" fillId="0" borderId="208" xfId="0" applyFont="1" applyFill="1" applyBorder="1" applyAlignment="1" applyProtection="1">
      <alignment horizontal="left"/>
      <protection locked="0"/>
    </xf>
    <xf numFmtId="0" fontId="21" fillId="0" borderId="223" xfId="0" applyFont="1" applyBorder="1" applyAlignment="1" applyProtection="1">
      <alignment horizontal="left"/>
      <protection locked="0"/>
    </xf>
    <xf numFmtId="0" fontId="21" fillId="0" borderId="207" xfId="0" applyFont="1" applyFill="1" applyBorder="1" applyAlignment="1" applyProtection="1">
      <alignment horizontal="left" vertical="center" wrapText="1"/>
      <protection locked="0"/>
    </xf>
    <xf numFmtId="0" fontId="21" fillId="0" borderId="208" xfId="0" applyFont="1" applyFill="1" applyBorder="1" applyAlignment="1" applyProtection="1">
      <alignment horizontal="left" vertical="center" wrapText="1"/>
      <protection locked="0"/>
    </xf>
    <xf numFmtId="0" fontId="21" fillId="0" borderId="209" xfId="0" applyFont="1" applyBorder="1" applyAlignment="1" applyProtection="1">
      <alignment horizontal="left"/>
      <protection locked="0"/>
    </xf>
    <xf numFmtId="43" fontId="17" fillId="31" borderId="0" xfId="39" applyFont="1" applyFill="1" applyAlignment="1">
      <alignment horizontal="center" vertical="center"/>
    </xf>
    <xf numFmtId="0" fontId="33" fillId="0" borderId="0" xfId="0" applyFont="1" applyAlignment="1">
      <alignment horizont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57">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55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671"/>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273474.51</c:v>
                </c:pt>
                <c:pt idx="1">
                  <c:v>1494677.91</c:v>
                </c:pt>
                <c:pt idx="2">
                  <c:v>1747749.96</c:v>
                </c:pt>
                <c:pt idx="3">
                  <c:v>0</c:v>
                </c:pt>
                <c:pt idx="4">
                  <c:v>0</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1558295</c:v>
                </c:pt>
                <c:pt idx="1">
                  <c:v>1558295</c:v>
                </c:pt>
                <c:pt idx="2">
                  <c:v>1558295</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283780040"/>
        <c:axId val="283782784"/>
      </c:barChart>
      <c:catAx>
        <c:axId val="28378004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9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283782784"/>
        <c:crosses val="autoZero"/>
        <c:auto val="1"/>
        <c:lblAlgn val="ctr"/>
        <c:lblOffset val="100"/>
        <c:tickLblSkip val="1"/>
        <c:tickMarkSkip val="1"/>
        <c:noMultiLvlLbl val="0"/>
      </c:catAx>
      <c:valAx>
        <c:axId val="2837827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28378004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ro-RO"/>
          </a:p>
        </c:txPr>
      </c:legendEntry>
      <c:legendEntry>
        <c:idx val="1"/>
        <c:txPr>
          <a:bodyPr/>
          <a:lstStyle/>
          <a:p>
            <a:pPr>
              <a:defRPr sz="675" b="0" i="0" u="none" strike="noStrike" baseline="0">
                <a:solidFill>
                  <a:srgbClr val="000000"/>
                </a:solidFill>
                <a:latin typeface="Arial"/>
                <a:ea typeface="Arial"/>
                <a:cs typeface="Arial"/>
              </a:defRPr>
            </a:pPr>
            <a:endParaRPr lang="ro-RO"/>
          </a:p>
        </c:txPr>
      </c:legendEntry>
      <c:layout>
        <c:manualLayout>
          <c:xMode val="edge"/>
          <c:yMode val="edge"/>
          <c:x val="0.13106154924351615"/>
          <c:y val="0.88209606986899558"/>
          <c:w val="0.84665787195449138"/>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948"/>
          <c:h val="0.65320736566206339"/>
        </c:manualLayout>
      </c:layout>
      <c:barChart>
        <c:barDir val="col"/>
        <c:grouping val="clustered"/>
        <c:varyColors val="0"/>
        <c:ser>
          <c:idx val="0"/>
          <c:order val="0"/>
          <c:tx>
            <c:strRef>
              <c:f>'Introducerea datelor'!$G$124</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datelor'!$H$124:$S$124</c:f>
              <c:numCache>
                <c:formatCode>0.0%</c:formatCode>
                <c:ptCount val="12"/>
                <c:pt idx="1">
                  <c:v>0.27</c:v>
                </c:pt>
                <c:pt idx="3">
                  <c:v>0.3</c:v>
                </c:pt>
                <c:pt idx="5">
                  <c:v>0.33</c:v>
                </c:pt>
              </c:numCache>
            </c:numRef>
          </c:val>
        </c:ser>
        <c:ser>
          <c:idx val="1"/>
          <c:order val="1"/>
          <c:tx>
            <c:strRef>
              <c:f>'Introducerea datelor'!$G$125</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datelor'!$H$125:$S$125</c:f>
              <c:numCache>
                <c:formatCode>0.0%</c:formatCode>
                <c:ptCount val="12"/>
                <c:pt idx="1">
                  <c:v>0.21</c:v>
                </c:pt>
              </c:numCache>
            </c:numRef>
          </c:val>
        </c:ser>
        <c:dLbls>
          <c:showLegendKey val="0"/>
          <c:showVal val="0"/>
          <c:showCatName val="0"/>
          <c:showSerName val="0"/>
          <c:showPercent val="0"/>
          <c:showBubbleSize val="0"/>
        </c:dLbls>
        <c:gapWidth val="150"/>
        <c:axId val="313803944"/>
        <c:axId val="313805904"/>
      </c:barChart>
      <c:catAx>
        <c:axId val="313803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13805904"/>
        <c:crosses val="autoZero"/>
        <c:auto val="1"/>
        <c:lblAlgn val="ctr"/>
        <c:lblOffset val="100"/>
        <c:tickLblSkip val="1"/>
        <c:tickMarkSkip val="1"/>
        <c:noMultiLvlLbl val="0"/>
      </c:catAx>
      <c:valAx>
        <c:axId val="313805904"/>
        <c:scaling>
          <c:orientation val="minMax"/>
          <c:max val="1"/>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13803944"/>
        <c:crosses val="autoZero"/>
        <c:crossBetween val="between"/>
      </c:valAx>
      <c:spPr>
        <a:noFill/>
        <a:ln w="25400">
          <a:noFill/>
        </a:ln>
      </c:spPr>
    </c:plotArea>
    <c:legend>
      <c:legendPos val="r"/>
      <c:layout>
        <c:manualLayout>
          <c:xMode val="edge"/>
          <c:yMode val="edge"/>
          <c:x val="0.41868471128608925"/>
          <c:y val="0.9229454651501896"/>
          <c:w val="0.57491289198605955"/>
          <c:h val="7.329842931937183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701E-2"/>
          <c:y val="9.7938144329897045E-2"/>
          <c:w val="0.89473684210526316"/>
          <c:h val="0.61340206185566548"/>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datelor'!$H$118:$S$118</c:f>
              <c:numCache>
                <c:formatCode>0.0%</c:formatCode>
                <c:ptCount val="12"/>
                <c:pt idx="1">
                  <c:v>0.83</c:v>
                </c:pt>
                <c:pt idx="3">
                  <c:v>0.84</c:v>
                </c:pt>
                <c:pt idx="5" formatCode="#,##0">
                  <c:v>0</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datelor'!$H$119:$S$119</c:f>
              <c:numCache>
                <c:formatCode>0.0%</c:formatCode>
                <c:ptCount val="12"/>
                <c:pt idx="1">
                  <c:v>0.84</c:v>
                </c:pt>
              </c:numCache>
            </c:numRef>
          </c:val>
        </c:ser>
        <c:dLbls>
          <c:showLegendKey val="0"/>
          <c:showVal val="0"/>
          <c:showCatName val="0"/>
          <c:showSerName val="0"/>
          <c:showPercent val="0"/>
          <c:showBubbleSize val="0"/>
        </c:dLbls>
        <c:gapWidth val="150"/>
        <c:axId val="313806688"/>
        <c:axId val="315814032"/>
      </c:barChart>
      <c:catAx>
        <c:axId val="31380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15814032"/>
        <c:crosses val="autoZero"/>
        <c:auto val="1"/>
        <c:lblAlgn val="ctr"/>
        <c:lblOffset val="100"/>
        <c:tickLblSkip val="1"/>
        <c:tickMarkSkip val="1"/>
        <c:noMultiLvlLbl val="0"/>
      </c:catAx>
      <c:valAx>
        <c:axId val="315814032"/>
        <c:scaling>
          <c:orientation val="minMax"/>
          <c:max val="1"/>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13806688"/>
        <c:crosses val="autoZero"/>
        <c:crossBetween val="between"/>
      </c:valAx>
      <c:spPr>
        <a:noFill/>
        <a:ln w="25400">
          <a:noFill/>
        </a:ln>
      </c:spPr>
    </c:plotArea>
    <c:legend>
      <c:legendPos val="r"/>
      <c:layout>
        <c:manualLayout>
          <c:xMode val="edge"/>
          <c:yMode val="edge"/>
          <c:x val="0.41657198790745215"/>
          <c:y val="0.91237111416118866"/>
          <c:w val="0.57894921029608837"/>
          <c:h val="7.216494845360832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0.74803149606299402" l="0.70866141732283683" r="0.70866141732283683" t="0.74803149606299402"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273474.51</c:v>
                </c:pt>
                <c:pt idx="1">
                  <c:v>1494677.91</c:v>
                </c:pt>
                <c:pt idx="2">
                  <c:v>1747749.96</c:v>
                </c:pt>
                <c:pt idx="3">
                  <c:v>0</c:v>
                </c:pt>
                <c:pt idx="4">
                  <c:v>0</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1558295</c:v>
                </c:pt>
                <c:pt idx="1">
                  <c:v>1558295</c:v>
                </c:pt>
                <c:pt idx="2">
                  <c:v>1558295</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315812856"/>
        <c:axId val="315813248"/>
      </c:areaChart>
      <c:catAx>
        <c:axId val="315812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315813248"/>
        <c:crosses val="autoZero"/>
        <c:auto val="1"/>
        <c:lblAlgn val="ctr"/>
        <c:lblOffset val="100"/>
        <c:tickLblSkip val="8"/>
        <c:tickMarkSkip val="1"/>
        <c:noMultiLvlLbl val="0"/>
      </c:catAx>
      <c:valAx>
        <c:axId val="31581324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31581285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537"/>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1558295</c:v>
                </c:pt>
                <c:pt idx="1">
                  <c:v>1168400.48</c:v>
                </c:pt>
                <c:pt idx="2">
                  <c:v>0</c:v>
                </c:pt>
                <c:pt idx="3">
                  <c:v>0</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0</c:v>
                </c:pt>
                <c:pt idx="1">
                  <c:v>160161.10999999999</c:v>
                </c:pt>
                <c:pt idx="2">
                  <c:v>0</c:v>
                </c:pt>
                <c:pt idx="3">
                  <c:v>0</c:v>
                </c:pt>
              </c:numCache>
            </c:numRef>
          </c:val>
        </c:ser>
        <c:dLbls>
          <c:showLegendKey val="0"/>
          <c:showVal val="0"/>
          <c:showCatName val="0"/>
          <c:showSerName val="0"/>
          <c:showPercent val="0"/>
          <c:showBubbleSize val="0"/>
        </c:dLbls>
        <c:gapWidth val="150"/>
        <c:overlap val="100"/>
        <c:axId val="283781608"/>
        <c:axId val="283783568"/>
      </c:barChart>
      <c:catAx>
        <c:axId val="2837816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o-RO"/>
          </a:p>
        </c:txPr>
        <c:crossAx val="283783568"/>
        <c:crossesAt val="0"/>
        <c:auto val="1"/>
        <c:lblAlgn val="ctr"/>
        <c:lblOffset val="100"/>
        <c:noMultiLvlLbl val="0"/>
      </c:catAx>
      <c:valAx>
        <c:axId val="283783568"/>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o-RO"/>
          </a:p>
        </c:txPr>
        <c:crossAx val="28378160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22" r="0.750000000000003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25"/>
          <c:y val="9.3877551020408165E-2"/>
          <c:w val="0.84029484029484425"/>
          <c:h val="0.5346938775510242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datelor'!$C$39:$C$43</c:f>
              <c:numCache>
                <c:formatCode>#,##0</c:formatCode>
                <c:ptCount val="5"/>
                <c:pt idx="0">
                  <c:v>43447.64</c:v>
                </c:pt>
                <c:pt idx="1">
                  <c:v>1433687.73</c:v>
                </c:pt>
                <c:pt idx="2">
                  <c:v>62149.88</c:v>
                </c:pt>
                <c:pt idx="3">
                  <c:v>208464.71000000002</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datelor'!$D$39:$D$43</c:f>
              <c:numCache>
                <c:formatCode>#,##0</c:formatCode>
                <c:ptCount val="5"/>
                <c:pt idx="0">
                  <c:v>21613.62</c:v>
                </c:pt>
                <c:pt idx="1">
                  <c:v>654688.31999999995</c:v>
                </c:pt>
                <c:pt idx="2">
                  <c:v>31462.89</c:v>
                </c:pt>
                <c:pt idx="3">
                  <c:v>219233.03</c:v>
                </c:pt>
                <c:pt idx="4">
                  <c:v>401563.73000000004</c:v>
                </c:pt>
              </c:numCache>
            </c:numRef>
          </c:val>
        </c:ser>
        <c:dLbls>
          <c:showLegendKey val="0"/>
          <c:showVal val="0"/>
          <c:showCatName val="0"/>
          <c:showSerName val="0"/>
          <c:showPercent val="0"/>
          <c:showBubbleSize val="0"/>
        </c:dLbls>
        <c:gapWidth val="150"/>
        <c:axId val="283776904"/>
        <c:axId val="283776512"/>
      </c:barChart>
      <c:catAx>
        <c:axId val="283776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283776512"/>
        <c:crosses val="autoZero"/>
        <c:auto val="1"/>
        <c:lblAlgn val="ctr"/>
        <c:lblOffset val="100"/>
        <c:tickMarkSkip val="1"/>
        <c:noMultiLvlLbl val="0"/>
      </c:catAx>
      <c:valAx>
        <c:axId val="2837765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28377690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9322033898305759E-2"/>
          <c:y val="0.19565217391304238"/>
          <c:w val="0.8728813559322034"/>
          <c:h val="0.42028985507246575"/>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20558851533"/>
                  <c:y val="-0.27254608684033743"/>
                </c:manualLayout>
              </c:layout>
              <c:tx>
                <c:rich>
                  <a:bodyPr/>
                  <a:lstStyle/>
                  <a:p>
                    <a:pPr>
                      <a:defRPr sz="1000" b="1" i="0" u="none" strike="noStrike" baseline="0">
                        <a:solidFill>
                          <a:srgbClr val="000000"/>
                        </a:solidFill>
                        <a:latin typeface="Calibri"/>
                        <a:ea typeface="Calibri"/>
                        <a:cs typeface="Calibri"/>
                      </a:defRPr>
                    </a:pPr>
                    <a:fld id="{5CA25228-860B-43D0-A083-95C257CCC967}" type="SERIESNAME">
                      <a:rPr lang="en-US"/>
                      <a:pPr>
                        <a:defRPr sz="1000" b="1" i="0" u="none" strike="noStrike" baseline="0">
                          <a:solidFill>
                            <a:srgbClr val="000000"/>
                          </a:solidFill>
                          <a:latin typeface="Calibri"/>
                          <a:ea typeface="Calibri"/>
                          <a:cs typeface="Calibri"/>
                        </a:defRPr>
                      </a:pPr>
                      <a:t>[SERIES NAME]</a:t>
                    </a:fld>
                    <a:r>
                      <a:rPr lang="en-US" baseline="0"/>
                      <a:t>,4.</a:t>
                    </a:r>
                    <a:fld id="{CB3AA6D5-1327-49C2-BD87-76B807C93E1E}" type="VALUE">
                      <a:rPr lang="en-US" baseline="0"/>
                      <a:pPr>
                        <a:defRPr sz="1000" b="1" i="0" u="none" strike="noStrike" baseline="0">
                          <a:solidFill>
                            <a:srgbClr val="000000"/>
                          </a:solidFill>
                          <a:latin typeface="Calibri"/>
                          <a:ea typeface="Calibri"/>
                          <a:cs typeface="Calibri"/>
                        </a:defRPr>
                      </a:pPr>
                      <a:t>[VALUE]</a:t>
                    </a:fld>
                    <a:endParaRPr lang="en-US" baseline="0"/>
                  </a:p>
                </c:rich>
              </c:tx>
              <c:numFmt formatCode="#,##0" sourceLinked="0"/>
              <c:spPr>
                <a:noFill/>
                <a:ln w="25400">
                  <a:noFill/>
                </a:ln>
              </c:spPr>
              <c:dLblPos val="ctr"/>
              <c:showLegendKey val="0"/>
              <c:showVal val="1"/>
              <c:showCatName val="0"/>
              <c:showSerName val="1"/>
              <c:showPercent val="0"/>
              <c:showBubbleSize val="0"/>
              <c:extLst>
                <c:ext xmlns:c15="http://schemas.microsoft.com/office/drawing/2012/chart" uri="{CE6537A1-D6FC-4f65-9D91-7224C49458BB}">
                  <c15:dlblFieldTable/>
                  <c15:showDataLabelsRange val="0"/>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4.5</c:v>
                </c:pt>
              </c:numCache>
            </c:numRef>
          </c:val>
        </c:ser>
        <c:dLbls>
          <c:showLegendKey val="0"/>
          <c:showVal val="0"/>
          <c:showCatName val="0"/>
          <c:showSerName val="0"/>
          <c:showPercent val="0"/>
          <c:showBubbleSize val="0"/>
        </c:dLbls>
        <c:gapWidth val="79"/>
        <c:overlap val="100"/>
        <c:axId val="283778080"/>
        <c:axId val="283778472"/>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dLbl>
              <c:idx val="0"/>
              <c:tx>
                <c:rich>
                  <a:bodyPr/>
                  <a:lstStyle/>
                  <a:p>
                    <a:r>
                      <a:rPr lang="en-US"/>
                      <a:t>4.5</a:t>
                    </a:r>
                  </a:p>
                </c:rich>
              </c:tx>
              <c:showLegendKey val="0"/>
              <c:showVal val="1"/>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datelor'!$D$79</c:f>
              <c:numCache>
                <c:formatCode>General</c:formatCode>
                <c:ptCount val="1"/>
                <c:pt idx="0">
                  <c:v>4.5</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datelor'!$E$79</c:f>
              <c:numCache>
                <c:formatCode>General</c:formatCode>
                <c:ptCount val="1"/>
                <c:pt idx="0">
                  <c:v>0</c:v>
                </c:pt>
              </c:numCache>
            </c:numRef>
          </c:val>
        </c:ser>
        <c:dLbls>
          <c:showLegendKey val="0"/>
          <c:showVal val="0"/>
          <c:showCatName val="0"/>
          <c:showSerName val="0"/>
          <c:showPercent val="0"/>
          <c:showBubbleSize val="0"/>
        </c:dLbls>
        <c:gapWidth val="191"/>
        <c:overlap val="100"/>
        <c:axId val="283778864"/>
        <c:axId val="283779256"/>
      </c:barChart>
      <c:catAx>
        <c:axId val="283778080"/>
        <c:scaling>
          <c:orientation val="minMax"/>
        </c:scaling>
        <c:delete val="1"/>
        <c:axPos val="l"/>
        <c:majorTickMark val="out"/>
        <c:minorTickMark val="none"/>
        <c:tickLblPos val="none"/>
        <c:crossAx val="283778472"/>
        <c:crosses val="autoZero"/>
        <c:auto val="1"/>
        <c:lblAlgn val="ctr"/>
        <c:lblOffset val="100"/>
        <c:noMultiLvlLbl val="0"/>
      </c:catAx>
      <c:valAx>
        <c:axId val="28377847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283778080"/>
        <c:crosses val="max"/>
        <c:crossBetween val="between"/>
      </c:valAx>
      <c:catAx>
        <c:axId val="283778864"/>
        <c:scaling>
          <c:orientation val="minMax"/>
        </c:scaling>
        <c:delete val="1"/>
        <c:axPos val="l"/>
        <c:majorTickMark val="out"/>
        <c:minorTickMark val="none"/>
        <c:tickLblPos val="none"/>
        <c:crossAx val="283779256"/>
        <c:crosses val="autoZero"/>
        <c:auto val="0"/>
        <c:lblAlgn val="ctr"/>
        <c:lblOffset val="100"/>
        <c:noMultiLvlLbl val="0"/>
      </c:catAx>
      <c:valAx>
        <c:axId val="283779256"/>
        <c:scaling>
          <c:orientation val="minMax"/>
        </c:scaling>
        <c:delete val="0"/>
        <c:axPos val="b"/>
        <c:numFmt formatCode="0%" sourceLinked="1"/>
        <c:majorTickMark val="none"/>
        <c:minorTickMark val="none"/>
        <c:tickLblPos val="none"/>
        <c:spPr>
          <a:ln w="3175">
            <a:solidFill>
              <a:srgbClr val="000000"/>
            </a:solidFill>
            <a:prstDash val="solid"/>
          </a:ln>
        </c:spPr>
        <c:crossAx val="283778864"/>
        <c:crosses val="autoZero"/>
        <c:crossBetween val="between"/>
      </c:valAx>
    </c:plotArea>
    <c:legend>
      <c:legendPos val="r"/>
      <c:legendEntry>
        <c:idx val="0"/>
        <c:delete val="1"/>
      </c:legendEntry>
      <c:layout>
        <c:manualLayout>
          <c:xMode val="edge"/>
          <c:yMode val="edge"/>
          <c:x val="0.29449152542372875"/>
          <c:y val="0.80434782608695654"/>
          <c:w val="0.19491525423728906"/>
          <c:h val="0.1449275362318840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22" r="0.750000000000003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datelor'!$C$84</c:f>
              <c:numCache>
                <c:formatCode>General</c:formatCode>
                <c:ptCount val="1"/>
                <c:pt idx="0">
                  <c:v>0</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datelor'!$D$84</c:f>
              <c:numCache>
                <c:formatCode>General</c:formatCode>
                <c:ptCount val="1"/>
                <c:pt idx="0">
                  <c:v>0</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datelor'!$E$84</c:f>
              <c:numCache>
                <c:formatCode>General</c:formatCode>
                <c:ptCount val="1"/>
                <c:pt idx="0">
                  <c:v>0</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datelor'!$F$84</c:f>
              <c:numCache>
                <c:formatCode>General</c:formatCode>
                <c:ptCount val="1"/>
                <c:pt idx="0">
                  <c:v>0</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datelor'!$G$84</c:f>
              <c:numCache>
                <c:formatCode>General</c:formatCode>
                <c:ptCount val="1"/>
                <c:pt idx="0">
                  <c:v>0</c:v>
                </c:pt>
              </c:numCache>
            </c:numRef>
          </c:val>
        </c:ser>
        <c:dLbls>
          <c:showLegendKey val="0"/>
          <c:showVal val="0"/>
          <c:showCatName val="0"/>
          <c:showSerName val="0"/>
          <c:showPercent val="0"/>
          <c:showBubbleSize val="0"/>
        </c:dLbls>
        <c:gapWidth val="150"/>
        <c:overlap val="-20"/>
        <c:axId val="313804336"/>
        <c:axId val="313807080"/>
      </c:barChart>
      <c:catAx>
        <c:axId val="313804336"/>
        <c:scaling>
          <c:orientation val="minMax"/>
        </c:scaling>
        <c:delete val="0"/>
        <c:axPos val="b"/>
        <c:majorTickMark val="none"/>
        <c:minorTickMark val="none"/>
        <c:tickLblPos val="none"/>
        <c:spPr>
          <a:ln w="3175">
            <a:solidFill>
              <a:srgbClr val="000000"/>
            </a:solidFill>
            <a:prstDash val="solid"/>
          </a:ln>
        </c:spPr>
        <c:crossAx val="313807080"/>
        <c:crosses val="autoZero"/>
        <c:auto val="0"/>
        <c:lblAlgn val="ctr"/>
        <c:lblOffset val="100"/>
        <c:tickMarkSkip val="1"/>
        <c:noMultiLvlLbl val="0"/>
      </c:catAx>
      <c:valAx>
        <c:axId val="3138070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13804336"/>
        <c:crosses val="autoZero"/>
        <c:crossBetween val="between"/>
      </c:valAx>
      <c:spPr>
        <a:noFill/>
        <a:ln w="25400">
          <a:noFill/>
        </a:ln>
      </c:spPr>
    </c:plotArea>
    <c:legend>
      <c:legendPos val="r"/>
      <c:layout>
        <c:manualLayout>
          <c:xMode val="edge"/>
          <c:yMode val="edge"/>
          <c:x val="7.5117370892018934E-2"/>
          <c:y val="0.85245901639344956"/>
          <c:w val="0.85446009389671351"/>
          <c:h val="0.10928961748633954"/>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24"/>
          <c:y val="5.6000000000000001E-2"/>
          <c:w val="0.54462242562929064"/>
          <c:h val="0.56000000000000005"/>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pt idx="0">
                  <c:v>2</c:v>
                </c:pt>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pt idx="1">
                  <c:v>1</c:v>
                </c:pt>
              </c:numCache>
            </c:numRef>
          </c:val>
        </c:ser>
        <c:dLbls>
          <c:showLegendKey val="0"/>
          <c:showVal val="0"/>
          <c:showCatName val="0"/>
          <c:showSerName val="0"/>
          <c:showPercent val="0"/>
          <c:showBubbleSize val="0"/>
        </c:dLbls>
        <c:gapWidth val="70"/>
        <c:overlap val="100"/>
        <c:axId val="313804728"/>
        <c:axId val="313807472"/>
      </c:barChart>
      <c:catAx>
        <c:axId val="3138047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13807472"/>
        <c:crosses val="autoZero"/>
        <c:auto val="1"/>
        <c:lblAlgn val="ctr"/>
        <c:lblOffset val="100"/>
        <c:tickLblSkip val="1"/>
        <c:tickMarkSkip val="1"/>
        <c:noMultiLvlLbl val="0"/>
      </c:catAx>
      <c:valAx>
        <c:axId val="31380747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13804728"/>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34"/>
          <c:y val="0.12154728922244371"/>
          <c:w val="0.60327318841303279"/>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313803160"/>
        <c:axId val="313803552"/>
      </c:barChart>
      <c:catAx>
        <c:axId val="3138031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13803552"/>
        <c:crosses val="autoZero"/>
        <c:auto val="1"/>
        <c:lblAlgn val="ctr"/>
        <c:lblOffset val="100"/>
        <c:noMultiLvlLbl val="0"/>
      </c:catAx>
      <c:valAx>
        <c:axId val="31380355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13803160"/>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ro-RO"/>
          </a:p>
        </c:txPr>
      </c:legendEntry>
      <c:legendEntry>
        <c:idx val="1"/>
        <c:txPr>
          <a:bodyPr/>
          <a:lstStyle/>
          <a:p>
            <a:pPr>
              <a:defRPr sz="675" b="0" i="0" u="none" strike="noStrike" baseline="0">
                <a:solidFill>
                  <a:srgbClr val="000000"/>
                </a:solidFill>
                <a:latin typeface="Calibri"/>
                <a:ea typeface="Calibri"/>
                <a:cs typeface="Calibri"/>
              </a:defRPr>
            </a:pPr>
            <a:endParaRPr lang="ro-RO"/>
          </a:p>
        </c:txPr>
      </c:legendEntry>
      <c:layout>
        <c:manualLayout>
          <c:xMode val="edge"/>
          <c:yMode val="edge"/>
          <c:x val="0.31827956989247663"/>
          <c:y val="0.81215469613260005"/>
          <c:w val="0.35483870967742204"/>
          <c:h val="0.1325966850828738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22" r="0.750000000000003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95"/>
          <c:y val="0.10989010989011012"/>
          <c:w val="0.81094724363350856"/>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220962.79</c:v>
                </c:pt>
                <c:pt idx="1">
                  <c:v>1458406.4100000001</c:v>
                </c:pt>
                <c:pt idx="2">
                  <c:v>1573914.3900000001</c:v>
                </c:pt>
                <c:pt idx="3">
                  <c:v>1573914.3900000001</c:v>
                </c:pt>
                <c:pt idx="4">
                  <c:v>1573914.3900000001</c:v>
                </c:pt>
                <c:pt idx="5">
                  <c:v>1573914.3900000001</c:v>
                </c:pt>
                <c:pt idx="6">
                  <c:v>1573914.3900000001</c:v>
                </c:pt>
                <c:pt idx="7">
                  <c:v>1573914.3900000001</c:v>
                </c:pt>
                <c:pt idx="8">
                  <c:v>1573914.3900000001</c:v>
                </c:pt>
                <c:pt idx="9">
                  <c:v>1573914.3900000001</c:v>
                </c:pt>
                <c:pt idx="10">
                  <c:v>1573914.3900000001</c:v>
                </c:pt>
                <c:pt idx="11">
                  <c:v>1573914.3900000001</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120322.08</c:v>
                </c:pt>
                <c:pt idx="1">
                  <c:v>495357.93</c:v>
                </c:pt>
                <c:pt idx="2">
                  <c:v>570099.30000000005</c:v>
                </c:pt>
                <c:pt idx="3">
                  <c:v>570099.30000000005</c:v>
                </c:pt>
                <c:pt idx="4">
                  <c:v>570099.30000000005</c:v>
                </c:pt>
                <c:pt idx="5">
                  <c:v>570099.30000000005</c:v>
                </c:pt>
                <c:pt idx="6">
                  <c:v>570099.30000000005</c:v>
                </c:pt>
                <c:pt idx="7">
                  <c:v>570099.30000000005</c:v>
                </c:pt>
                <c:pt idx="8">
                  <c:v>570099.30000000005</c:v>
                </c:pt>
                <c:pt idx="9">
                  <c:v>570099.30000000005</c:v>
                </c:pt>
                <c:pt idx="10">
                  <c:v>570099.30000000005</c:v>
                </c:pt>
                <c:pt idx="11">
                  <c:v>570099.30000000005</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71447.17</c:v>
                </c:pt>
                <c:pt idx="1">
                  <c:v>828134.17</c:v>
                </c:pt>
                <c:pt idx="2">
                  <c:v>890351.83000000007</c:v>
                </c:pt>
                <c:pt idx="3">
                  <c:v>890351.83000000007</c:v>
                </c:pt>
                <c:pt idx="4">
                  <c:v>890351.83000000007</c:v>
                </c:pt>
                <c:pt idx="5">
                  <c:v>890351.83000000007</c:v>
                </c:pt>
                <c:pt idx="6">
                  <c:v>890351.83000000007</c:v>
                </c:pt>
                <c:pt idx="7">
                  <c:v>890351.83000000007</c:v>
                </c:pt>
                <c:pt idx="8">
                  <c:v>890351.83000000007</c:v>
                </c:pt>
                <c:pt idx="9">
                  <c:v>890351.83000000007</c:v>
                </c:pt>
                <c:pt idx="10">
                  <c:v>890351.83000000007</c:v>
                </c:pt>
                <c:pt idx="11">
                  <c:v>890351.83000000007</c:v>
                </c:pt>
              </c:numCache>
            </c:numRef>
          </c:val>
          <c:smooth val="0"/>
        </c:ser>
        <c:dLbls>
          <c:showLegendKey val="0"/>
          <c:showVal val="0"/>
          <c:showCatName val="0"/>
          <c:showSerName val="0"/>
          <c:showPercent val="0"/>
          <c:showBubbleSize val="0"/>
        </c:dLbls>
        <c:marker val="1"/>
        <c:smooth val="0"/>
        <c:axId val="313806296"/>
        <c:axId val="313805512"/>
      </c:lineChart>
      <c:catAx>
        <c:axId val="313806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313805512"/>
        <c:crosses val="autoZero"/>
        <c:auto val="1"/>
        <c:lblAlgn val="ctr"/>
        <c:lblOffset val="100"/>
        <c:tickLblSkip val="1"/>
        <c:tickMarkSkip val="1"/>
        <c:noMultiLvlLbl val="0"/>
      </c:catAx>
      <c:valAx>
        <c:axId val="31380551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313806296"/>
        <c:crosses val="autoZero"/>
        <c:crossBetween val="between"/>
      </c:valAx>
      <c:spPr>
        <a:solidFill>
          <a:srgbClr val="FFFFFF"/>
        </a:solidFill>
        <a:ln w="12700">
          <a:solidFill>
            <a:srgbClr val="808080"/>
          </a:solidFill>
          <a:prstDash val="solid"/>
        </a:ln>
      </c:spPr>
    </c:plotArea>
    <c:legend>
      <c:legendPos val="r"/>
      <c:layout>
        <c:manualLayout>
          <c:xMode val="edge"/>
          <c:yMode val="edge"/>
          <c:x val="7.2139303482587069E-2"/>
          <c:y val="0.8212598425196852"/>
          <c:w val="0.92288557213930678"/>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datelor'!$H$120:$S$120</c:f>
              <c:numCache>
                <c:formatCode>0%</c:formatCode>
                <c:ptCount val="12"/>
                <c:pt idx="0">
                  <c:v>0.95</c:v>
                </c:pt>
                <c:pt idx="1">
                  <c:v>0.95</c:v>
                </c:pt>
                <c:pt idx="2">
                  <c:v>0.95</c:v>
                </c:pt>
                <c:pt idx="3">
                  <c:v>0.95</c:v>
                </c:pt>
                <c:pt idx="4">
                  <c:v>0.95</c:v>
                </c:pt>
                <c:pt idx="5">
                  <c:v>0.95</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datelor'!$H$121:$S$121</c:f>
              <c:numCache>
                <c:formatCode>0%</c:formatCode>
                <c:ptCount val="12"/>
                <c:pt idx="0">
                  <c:v>0.91</c:v>
                </c:pt>
                <c:pt idx="1">
                  <c:v>0.97</c:v>
                </c:pt>
                <c:pt idx="2">
                  <c:v>0.96</c:v>
                </c:pt>
              </c:numCache>
            </c:numRef>
          </c:val>
        </c:ser>
        <c:dLbls>
          <c:showLegendKey val="0"/>
          <c:showVal val="0"/>
          <c:showCatName val="0"/>
          <c:showSerName val="0"/>
          <c:showPercent val="0"/>
          <c:showBubbleSize val="0"/>
        </c:dLbls>
        <c:gapWidth val="150"/>
        <c:axId val="313805120"/>
        <c:axId val="313801200"/>
      </c:barChart>
      <c:catAx>
        <c:axId val="313805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13801200"/>
        <c:crosses val="autoZero"/>
        <c:auto val="1"/>
        <c:lblAlgn val="ctr"/>
        <c:lblOffset val="100"/>
        <c:tickLblSkip val="1"/>
        <c:tickMarkSkip val="1"/>
        <c:noMultiLvlLbl val="0"/>
      </c:catAx>
      <c:valAx>
        <c:axId val="313801200"/>
        <c:scaling>
          <c:orientation val="minMax"/>
          <c:max val="1"/>
          <c:min val="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a:solidFill>
              <a:srgbClr val="000000"/>
            </a:solidFill>
          </a:ln>
        </c:spPr>
        <c:txPr>
          <a:bodyPr rot="0" vert="horz"/>
          <a:lstStyle/>
          <a:p>
            <a:pPr>
              <a:defRPr sz="475" b="0" i="0" u="none" strike="noStrike" baseline="0">
                <a:solidFill>
                  <a:srgbClr val="000000"/>
                </a:solidFill>
                <a:latin typeface="Arial"/>
                <a:ea typeface="Arial"/>
                <a:cs typeface="Arial"/>
              </a:defRPr>
            </a:pPr>
            <a:endParaRPr lang="ro-RO"/>
          </a:p>
        </c:txPr>
        <c:crossAx val="313805120"/>
        <c:crosses val="autoZero"/>
        <c:crossBetween val="between"/>
      </c:valAx>
      <c:spPr>
        <a:noFill/>
        <a:ln w="25400">
          <a:noFill/>
        </a:ln>
      </c:spPr>
    </c:plotArea>
    <c:legend>
      <c:legendPos val="r"/>
      <c:layout>
        <c:manualLayout>
          <c:xMode val="edge"/>
          <c:yMode val="edge"/>
          <c:x val="0.41431537552651282"/>
          <c:y val="0.91191697811967065"/>
          <c:w val="0.5809859154929542"/>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4575727" y="2576305"/>
          <a:ext cx="3483251" cy="2228850"/>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19455</xdr:colOff>
      <xdr:row>22</xdr:row>
      <xdr:rowOff>2561524</xdr:rowOff>
    </xdr:from>
    <xdr:to>
      <xdr:col>6</xdr:col>
      <xdr:colOff>19455</xdr:colOff>
      <xdr:row>34</xdr:row>
      <xdr:rowOff>16565</xdr:rowOff>
    </xdr:to>
    <xdr:grpSp>
      <xdr:nvGrpSpPr>
        <xdr:cNvPr id="2841006" name="Group 490"/>
        <xdr:cNvGrpSpPr>
          <a:grpSpLocks/>
        </xdr:cNvGrpSpPr>
      </xdr:nvGrpSpPr>
      <xdr:grpSpPr bwMode="auto">
        <a:xfrm>
          <a:off x="19455" y="7763002"/>
          <a:ext cx="4547152" cy="2714498"/>
          <a:chOff x="1" y="485"/>
          <a:chExt cx="407" cy="245"/>
        </a:xfrm>
      </xdr:grpSpPr>
      <xdr:graphicFrame macro="">
        <xdr:nvGraphicFramePr>
          <xdr:cNvPr id="2841007" name="Chart 34"/>
          <xdr:cNvGraphicFramePr>
            <a:graphicFrameLocks/>
          </xdr:cNvGraphicFramePr>
        </xdr:nvGraphicFramePr>
        <xdr:xfrm>
          <a:off x="1" y="48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104775</xdr:colOff>
      <xdr:row>7</xdr:row>
      <xdr:rowOff>1666875</xdr:rowOff>
    </xdr:from>
    <xdr:to>
      <xdr:col>12</xdr:col>
      <xdr:colOff>38100</xdr:colOff>
      <xdr:row>12</xdr:row>
      <xdr:rowOff>95250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15</xdr:row>
      <xdr:rowOff>0</xdr:rowOff>
    </xdr:from>
    <xdr:to>
      <xdr:col>5</xdr:col>
      <xdr:colOff>962025</xdr:colOff>
      <xdr:row>24</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133350</xdr:colOff>
      <xdr:row>8</xdr:row>
      <xdr:rowOff>342900</xdr:rowOff>
    </xdr:from>
    <xdr:to>
      <xdr:col>6</xdr:col>
      <xdr:colOff>0</xdr:colOff>
      <xdr:row>9</xdr:row>
      <xdr:rowOff>523875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15</xdr:row>
      <xdr:rowOff>19050</xdr:rowOff>
    </xdr:from>
    <xdr:to>
      <xdr:col>12</xdr:col>
      <xdr:colOff>180975</xdr:colOff>
      <xdr:row>24</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28574</xdr:colOff>
      <xdr:row>26</xdr:row>
      <xdr:rowOff>152399</xdr:rowOff>
    </xdr:from>
    <xdr:to>
      <xdr:col>6</xdr:col>
      <xdr:colOff>19050</xdr:colOff>
      <xdr:row>34</xdr:row>
      <xdr:rowOff>847725</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114300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17</xdr:col>
      <xdr:colOff>0</xdr:colOff>
      <xdr:row>17</xdr:row>
      <xdr:rowOff>133350</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171450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6794500" y="8207375"/>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7489825" y="8207375"/>
          <a:ext cx="12700"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94300" y="8207375"/>
          <a:ext cx="1314450"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44625" y="8207375"/>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4" connectionId="0">
    <xmlCellPr id="1" uniqueName="1">
      <xmlPr mapId="43" xpath="/ns1:Root/ns1:Prog/ns1:Target_P1_3" xmlDataType="double"/>
    </xmlCellPr>
  </singleXmlCell>
  <singleXmlCell id="615" r="I124" connectionId="0">
    <xmlCellPr id="1" uniqueName="1">
      <xmlPr mapId="43" xpath="/ns1:Root/ns1:Prog/ns1:Target_P2_3" xmlDataType="double"/>
    </xmlCellPr>
  </singleXmlCell>
  <singleXmlCell id="616" r="J124" connectionId="0">
    <xmlCellPr id="1" uniqueName="1">
      <xmlPr mapId="43" xpath="/ns1:Root/ns1:Prog/ns1:Target_P3_3" xmlDataType="double"/>
    </xmlCellPr>
  </singleXmlCell>
  <singleXmlCell id="617" r="K124" connectionId="0">
    <xmlCellPr id="1" uniqueName="1">
      <xmlPr mapId="43" xpath="/ns1:Root/ns1:Prog/ns1:Target_P4_3" xmlDataType="double"/>
    </xmlCellPr>
  </singleXmlCell>
  <singleXmlCell id="618" r="L124" connectionId="0">
    <xmlCellPr id="1" uniqueName="1">
      <xmlPr mapId="43" xpath="/ns1:Root/ns1:Prog/ns1:Target_P5_3" xmlDataType="double"/>
    </xmlCellPr>
  </singleXmlCell>
  <singleXmlCell id="619" r="M124" connectionId="0">
    <xmlCellPr id="1" uniqueName="1">
      <xmlPr mapId="43" xpath="/ns1:Root/ns1:Prog/ns1:Target_P6_3" xmlDataType="double"/>
    </xmlCellPr>
  </singleXmlCell>
  <singleXmlCell id="620" r="N124" connectionId="0">
    <xmlCellPr id="1" uniqueName="1">
      <xmlPr mapId="43" xpath="/ns1:Root/ns1:Prog/ns1:Target_P7_3" xmlDataType="double"/>
    </xmlCellPr>
  </singleXmlCell>
  <singleXmlCell id="621" r="O124" connectionId="0">
    <xmlCellPr id="1" uniqueName="1">
      <xmlPr mapId="43" xpath="/ns1:Root/ns1:Prog/ns1:Target_P8_3" xmlDataType="double"/>
    </xmlCellPr>
  </singleXmlCell>
  <singleXmlCell id="622" r="P124" connectionId="0">
    <xmlCellPr id="1" uniqueName="1">
      <xmlPr mapId="43" xpath="/ns1:Root/ns1:Prog/ns1:Target_P9_3" xmlDataType="double"/>
    </xmlCellPr>
  </singleXmlCell>
  <singleXmlCell id="623" r="Q124" connectionId="0">
    <xmlCellPr id="1" uniqueName="1">
      <xmlPr mapId="43" xpath="/ns1:Root/ns1:Prog/ns1:Target_P10_3" xmlDataType="string"/>
    </xmlCellPr>
  </singleXmlCell>
  <singleXmlCell id="624" r="R124" connectionId="0">
    <xmlCellPr id="1" uniqueName="1">
      <xmlPr mapId="43" xpath="/ns1:Root/ns1:Prog/ns1:Target_P11_3" xmlDataType="string"/>
    </xmlCellPr>
  </singleXmlCell>
  <singleXmlCell id="625" r="S124" connectionId="0">
    <xmlCellPr id="1" uniqueName="1">
      <xmlPr mapId="43" xpath="/ns1:Root/ns1:Prog/ns1:Target_P12_3" xmlDataType="double"/>
    </xmlCellPr>
  </singleXmlCell>
  <singleXmlCell id="626" r="H125" connectionId="0">
    <xmlCellPr id="1" uniqueName="1">
      <xmlPr mapId="43" xpath="/ns1:Root/ns1:Prog/ns1:Achieved__P1_3" xmlDataType="string"/>
    </xmlCellPr>
  </singleXmlCell>
  <singleXmlCell id="627" r="I125" connectionId="0">
    <xmlCellPr id="1" uniqueName="1">
      <xmlPr mapId="43" xpath="/ns1:Root/ns1:Prog/ns1:Achieved__P2_3" xmlDataType="double"/>
    </xmlCellPr>
  </singleXmlCell>
  <singleXmlCell id="628" r="J125" connectionId="0">
    <xmlCellPr id="1" uniqueName="1">
      <xmlPr mapId="43" xpath="/ns1:Root/ns1:Prog/ns1:Achieved__P3_3" xmlDataType="string"/>
    </xmlCellPr>
  </singleXmlCell>
  <singleXmlCell id="629" r="K125" connectionId="0">
    <xmlCellPr id="1" uniqueName="1">
      <xmlPr mapId="43" xpath="/ns1:Root/ns1:Prog/ns1:Achieved__P4_3" xmlDataType="double"/>
    </xmlCellPr>
  </singleXmlCell>
  <singleXmlCell id="630" r="L125" connectionId="0">
    <xmlCellPr id="1" uniqueName="1">
      <xmlPr mapId="43" xpath="/ns1:Root/ns1:Prog/ns1:Achieved__P5_3" xmlDataType="string"/>
    </xmlCellPr>
  </singleXmlCell>
  <singleXmlCell id="631" r="M125" connectionId="0">
    <xmlCellPr id="1" uniqueName="1">
      <xmlPr mapId="43" xpath="/ns1:Root/ns1:Prog/ns1:Achieved__P6_3" xmlDataType="string"/>
    </xmlCellPr>
  </singleXmlCell>
  <singleXmlCell id="632" r="N125" connectionId="0">
    <xmlCellPr id="1" uniqueName="1">
      <xmlPr mapId="43" xpath="/ns1:Root/ns1:Prog/ns1:Achieved__P7_3" xmlDataType="string"/>
    </xmlCellPr>
  </singleXmlCell>
  <singleXmlCell id="633" r="O125" connectionId="0">
    <xmlCellPr id="1" uniqueName="1">
      <xmlPr mapId="43" xpath="/ns1:Root/ns1:Prog/ns1:Achieved__P8_3" xmlDataType="string"/>
    </xmlCellPr>
  </singleXmlCell>
  <singleXmlCell id="634" r="P125" connectionId="0">
    <xmlCellPr id="1" uniqueName="1">
      <xmlPr mapId="43" xpath="/ns1:Root/ns1:Prog/ns1:Achieved__P9_3" xmlDataType="string"/>
    </xmlCellPr>
  </singleXmlCell>
  <singleXmlCell id="635" r="Q125" connectionId="0">
    <xmlCellPr id="1" uniqueName="1">
      <xmlPr mapId="43" xpath="/ns1:Root/ns1:Prog/ns1:Achieved__P10_3" xmlDataType="string"/>
    </xmlCellPr>
  </singleXmlCell>
  <singleXmlCell id="636" r="R125" connectionId="0">
    <xmlCellPr id="1" uniqueName="1">
      <xmlPr mapId="43" xpath="/ns1:Root/ns1:Prog/ns1:Achieved__P11_3" xmlDataType="string"/>
    </xmlCellPr>
  </singleXmlCell>
  <singleXmlCell id="637" r="S125" connectionId="0">
    <xmlCellPr id="1" uniqueName="1">
      <xmlPr mapId="43" xpath="/ns1:Root/ns1:Prog/ns1:Achieved__P12_3" xmlDataType="string"/>
    </xmlCellPr>
  </singleXmlCell>
  <singleXmlCell id="638" r="H128" connectionId="0">
    <xmlCellPr id="1" uniqueName="1">
      <xmlPr mapId="43" xpath="/ns1:Root/ns1:Prog/ns1:Target_P1_4" xmlDataType="string"/>
    </xmlCellPr>
  </singleXmlCell>
  <singleXmlCell id="639" r="I128" connectionId="0">
    <xmlCellPr id="1" uniqueName="1">
      <xmlPr mapId="43" xpath="/ns1:Root/ns1:Prog/ns1:Target_P2_4" xmlDataType="string"/>
    </xmlCellPr>
  </singleXmlCell>
  <singleXmlCell id="640" r="J128" connectionId="0">
    <xmlCellPr id="1" uniqueName="1">
      <xmlPr mapId="43" xpath="/ns1:Root/ns1:Prog/ns1:Target_P3_4" xmlDataType="string"/>
    </xmlCellPr>
  </singleXmlCell>
  <singleXmlCell id="641" r="K128" connectionId="0">
    <xmlCellPr id="1" uniqueName="1">
      <xmlPr mapId="43" xpath="/ns1:Root/ns1:Prog/ns1:Target_P4_4" xmlDataType="double"/>
    </xmlCellPr>
  </singleXmlCell>
  <singleXmlCell id="642" r="L128" connectionId="0">
    <xmlCellPr id="1" uniqueName="1">
      <xmlPr mapId="43" xpath="/ns1:Root/ns1:Prog/ns1:Target_P5_4" xmlDataType="string"/>
    </xmlCellPr>
  </singleXmlCell>
  <singleXmlCell id="643" r="M128" connectionId="0">
    <xmlCellPr id="1" uniqueName="1">
      <xmlPr mapId="43" xpath="/ns1:Root/ns1:Prog/ns1:Target_P6_4" xmlDataType="string"/>
    </xmlCellPr>
  </singleXmlCell>
  <singleXmlCell id="644" r="N128" connectionId="0">
    <xmlCellPr id="1" uniqueName="1">
      <xmlPr mapId="43" xpath="/ns1:Root/ns1:Prog/ns1:Target_P7_4" xmlDataType="string"/>
    </xmlCellPr>
  </singleXmlCell>
  <singleXmlCell id="645" r="O128" connectionId="0">
    <xmlCellPr id="1" uniqueName="1">
      <xmlPr mapId="43" xpath="/ns1:Root/ns1:Prog/ns1:Target_P8_4" xmlDataType="double"/>
    </xmlCellPr>
  </singleXmlCell>
  <singleXmlCell id="646" r="P128" connectionId="0">
    <xmlCellPr id="1" uniqueName="1">
      <xmlPr mapId="43" xpath="/ns1:Root/ns1:Prog/ns1:Target_P9_4" xmlDataType="string"/>
    </xmlCellPr>
  </singleXmlCell>
  <singleXmlCell id="647" r="Q128" connectionId="0">
    <xmlCellPr id="1" uniqueName="1">
      <xmlPr mapId="43" xpath="/ns1:Root/ns1:Prog/ns1:Target_P10_4" xmlDataType="string"/>
    </xmlCellPr>
  </singleXmlCell>
  <singleXmlCell id="648" r="R128" connectionId="0">
    <xmlCellPr id="1" uniqueName="1">
      <xmlPr mapId="43" xpath="/ns1:Root/ns1:Prog/ns1:Target_P11_4" xmlDataType="string"/>
    </xmlCellPr>
  </singleXmlCell>
  <singleXmlCell id="649" r="S128" connectionId="0">
    <xmlCellPr id="1" uniqueName="1">
      <xmlPr mapId="43" xpath="/ns1:Root/ns1:Prog/ns1:Target_P12_4" xmlDataType="double"/>
    </xmlCellPr>
  </singleXmlCell>
  <singleXmlCell id="650" r="H129" connectionId="0">
    <xmlCellPr id="1" uniqueName="1">
      <xmlPr mapId="43" xpath="/ns1:Root/ns1:Prog/ns1:Achieved__P1_4" xmlDataType="string"/>
    </xmlCellPr>
  </singleXmlCell>
  <singleXmlCell id="651" r="I129" connectionId="0">
    <xmlCellPr id="1" uniqueName="1">
      <xmlPr mapId="43" xpath="/ns1:Root/ns1:Prog/ns1:Achieved__P2_4" xmlDataType="string"/>
    </xmlCellPr>
  </singleXmlCell>
  <singleXmlCell id="652" r="J129" connectionId="0">
    <xmlCellPr id="1" uniqueName="1">
      <xmlPr mapId="43" xpath="/ns1:Root/ns1:Prog/ns1:Achieved__P3_4" xmlDataType="string"/>
    </xmlCellPr>
  </singleXmlCell>
  <singleXmlCell id="653" r="K129" connectionId="0">
    <xmlCellPr id="1" uniqueName="1">
      <xmlPr mapId="43" xpath="/ns1:Root/ns1:Prog/ns1:Achieved__P4_4" xmlDataType="double"/>
    </xmlCellPr>
  </singleXmlCell>
  <singleXmlCell id="654" r="L129" connectionId="0">
    <xmlCellPr id="1" uniqueName="1">
      <xmlPr mapId="43" xpath="/ns1:Root/ns1:Prog/ns1:Achieved__P5_4" xmlDataType="string"/>
    </xmlCellPr>
  </singleXmlCell>
  <singleXmlCell id="655" r="M129" connectionId="0">
    <xmlCellPr id="1" uniqueName="1">
      <xmlPr mapId="43" xpath="/ns1:Root/ns1:Prog/ns1:Achieved__P6_4" xmlDataType="string"/>
    </xmlCellPr>
  </singleXmlCell>
  <singleXmlCell id="656" r="N129" connectionId="0">
    <xmlCellPr id="1" uniqueName="1">
      <xmlPr mapId="43" xpath="/ns1:Root/ns1:Prog/ns1:Achieved__P7_4" xmlDataType="string"/>
    </xmlCellPr>
  </singleXmlCell>
  <singleXmlCell id="657" r="O129" connectionId="0">
    <xmlCellPr id="1" uniqueName="1">
      <xmlPr mapId="43" xpath="/ns1:Root/ns1:Prog/ns1:Achieved__P8_4" xmlDataType="string"/>
    </xmlCellPr>
  </singleXmlCell>
  <singleXmlCell id="658" r="P129" connectionId="0">
    <xmlCellPr id="1" uniqueName="1">
      <xmlPr mapId="43" xpath="/ns1:Root/ns1:Prog/ns1:Achieved__P9_4" xmlDataType="string"/>
    </xmlCellPr>
  </singleXmlCell>
  <singleXmlCell id="659" r="Q129" connectionId="0">
    <xmlCellPr id="1" uniqueName="1">
      <xmlPr mapId="43" xpath="/ns1:Root/ns1:Prog/ns1:Achieved__P10_4" xmlDataType="string"/>
    </xmlCellPr>
  </singleXmlCell>
  <singleXmlCell id="660" r="R129" connectionId="0">
    <xmlCellPr id="1" uniqueName="1">
      <xmlPr mapId="43" xpath="/ns1:Root/ns1:Prog/ns1:Achieved__P11_4" xmlDataType="string"/>
    </xmlCellPr>
  </singleXmlCell>
  <singleXmlCell id="661" r="S129" connectionId="0">
    <xmlCellPr id="1" uniqueName="1">
      <xmlPr mapId="43" xpath="/ns1:Root/ns1:Prog/ns1:Achieved__P12_4" xmlDataType="string"/>
    </xmlCellPr>
  </singleXmlCell>
  <singleXmlCell id="662" r="H132" connectionId="0">
    <xmlCellPr id="1" uniqueName="1">
      <xmlPr mapId="43" xpath="/ns1:Root/ns1:Prog/ns1:Target_P1_5" xmlDataType="double"/>
    </xmlCellPr>
  </singleXmlCell>
  <singleXmlCell id="663" r="I132" connectionId="0">
    <xmlCellPr id="1" uniqueName="1">
      <xmlPr mapId="43" xpath="/ns1:Root/ns1:Prog/ns1:Target_P2_5" xmlDataType="double"/>
    </xmlCellPr>
  </singleXmlCell>
  <singleXmlCell id="664" r="J132" connectionId="0">
    <xmlCellPr id="1" uniqueName="1">
      <xmlPr mapId="43" xpath="/ns1:Root/ns1:Prog/ns1:Target_P3_5" xmlDataType="double"/>
    </xmlCellPr>
  </singleXmlCell>
  <singleXmlCell id="665" r="K132" connectionId="0">
    <xmlCellPr id="1" uniqueName="1">
      <xmlPr mapId="43" xpath="/ns1:Root/ns1:Prog/ns1:Target_P4_5" xmlDataType="double"/>
    </xmlCellPr>
  </singleXmlCell>
  <singleXmlCell id="666" r="L132" connectionId="0">
    <xmlCellPr id="1" uniqueName="1">
      <xmlPr mapId="43" xpath="/ns1:Root/ns1:Prog/ns1:Target_P5_5" xmlDataType="double"/>
    </xmlCellPr>
  </singleXmlCell>
  <singleXmlCell id="667" r="M132" connectionId="0">
    <xmlCellPr id="1" uniqueName="1">
      <xmlPr mapId="43" xpath="/ns1:Root/ns1:Prog/ns1:Target_P6_5" xmlDataType="double"/>
    </xmlCellPr>
  </singleXmlCell>
  <singleXmlCell id="668" r="N132" connectionId="0">
    <xmlCellPr id="1" uniqueName="1">
      <xmlPr mapId="43" xpath="/ns1:Root/ns1:Prog/ns1:Target_P7_5" xmlDataType="double"/>
    </xmlCellPr>
  </singleXmlCell>
  <singleXmlCell id="669" r="O132" connectionId="0">
    <xmlCellPr id="1" uniqueName="1">
      <xmlPr mapId="43" xpath="/ns1:Root/ns1:Prog/ns1:Target_P8_5" xmlDataType="double"/>
    </xmlCellPr>
  </singleXmlCell>
  <singleXmlCell id="670" r="P132" connectionId="0">
    <xmlCellPr id="1" uniqueName="1">
      <xmlPr mapId="43" xpath="/ns1:Root/ns1:Prog/ns1:Target_P9_5" xmlDataType="double"/>
    </xmlCellPr>
  </singleXmlCell>
  <singleXmlCell id="671" r="Q132" connectionId="0">
    <xmlCellPr id="1" uniqueName="1">
      <xmlPr mapId="43" xpath="/ns1:Root/ns1:Prog/ns1:Target_P10_5" xmlDataType="double"/>
    </xmlCellPr>
  </singleXmlCell>
  <singleXmlCell id="672" r="R132" connectionId="0">
    <xmlCellPr id="1" uniqueName="1">
      <xmlPr mapId="43" xpath="/ns1:Root/ns1:Prog/ns1:Target_P11_5" xmlDataType="double"/>
    </xmlCellPr>
  </singleXmlCell>
  <singleXmlCell id="673" r="S132" connectionId="0">
    <xmlCellPr id="1" uniqueName="1">
      <xmlPr mapId="43" xpath="/ns1:Root/ns1:Prog/ns1:Target_P12_5" xmlDataType="double"/>
    </xmlCellPr>
  </singleXmlCell>
  <singleXmlCell id="674" r="H133" connectionId="0">
    <xmlCellPr id="1" uniqueName="1">
      <xmlPr mapId="43" xpath="/ns1:Root/ns1:Prog/ns1:Achieved__P1_5" xmlDataType="double"/>
    </xmlCellPr>
  </singleXmlCell>
  <singleXmlCell id="675" r="I133" connectionId="0">
    <xmlCellPr id="1" uniqueName="1">
      <xmlPr mapId="43" xpath="/ns1:Root/ns1:Prog/ns1:Achieved__P2_5" xmlDataType="double"/>
    </xmlCellPr>
  </singleXmlCell>
  <singleXmlCell id="676" r="J133" connectionId="0">
    <xmlCellPr id="1" uniqueName="1">
      <xmlPr mapId="43" xpath="/ns1:Root/ns1:Prog/ns1:Achieved__P3_5" xmlDataType="double"/>
    </xmlCellPr>
  </singleXmlCell>
  <singleXmlCell id="677" r="K133" connectionId="0">
    <xmlCellPr id="1" uniqueName="1">
      <xmlPr mapId="43" xpath="/ns1:Root/ns1:Prog/ns1:Achieved__P4_5" xmlDataType="double"/>
    </xmlCellPr>
  </singleXmlCell>
  <singleXmlCell id="678" r="L133" connectionId="0">
    <xmlCellPr id="1" uniqueName="1">
      <xmlPr mapId="43" xpath="/ns1:Root/ns1:Prog/ns1:Achieved__P5_5" xmlDataType="string"/>
    </xmlCellPr>
  </singleXmlCell>
  <singleXmlCell id="679" r="M133" connectionId="0">
    <xmlCellPr id="1" uniqueName="1">
      <xmlPr mapId="43" xpath="/ns1:Root/ns1:Prog/ns1:Achieved__P6_5" xmlDataType="string"/>
    </xmlCellPr>
  </singleXmlCell>
  <singleXmlCell id="680" r="N133" connectionId="0">
    <xmlCellPr id="1" uniqueName="1">
      <xmlPr mapId="43" xpath="/ns1:Root/ns1:Prog/ns1:Achieved__P7_5" xmlDataType="string"/>
    </xmlCellPr>
  </singleXmlCell>
  <singleXmlCell id="681" r="O133" connectionId="0">
    <xmlCellPr id="1" uniqueName="1">
      <xmlPr mapId="43" xpath="/ns1:Root/ns1:Prog/ns1:Achieved__P8_5" xmlDataType="string"/>
    </xmlCellPr>
  </singleXmlCell>
  <singleXmlCell id="682" r="P133" connectionId="0">
    <xmlCellPr id="1" uniqueName="1">
      <xmlPr mapId="43" xpath="/ns1:Root/ns1:Prog/ns1:Achieved__P9_5" xmlDataType="string"/>
    </xmlCellPr>
  </singleXmlCell>
  <singleXmlCell id="683" r="Q133" connectionId="0">
    <xmlCellPr id="1" uniqueName="1">
      <xmlPr mapId="43" xpath="/ns1:Root/ns1:Prog/ns1:Achieved__P10_5" xmlDataType="string"/>
    </xmlCellPr>
  </singleXmlCell>
  <singleXmlCell id="684" r="R133" connectionId="0">
    <xmlCellPr id="1" uniqueName="1">
      <xmlPr mapId="43" xpath="/ns1:Root/ns1:Prog/ns1:Achieved__P11_5" xmlDataType="string"/>
    </xmlCellPr>
  </singleXmlCell>
  <singleXmlCell id="685" r="S133" connectionId="0">
    <xmlCellPr id="1" uniqueName="1">
      <xmlPr mapId="43" xpath="/ns1:Root/ns1:Prog/ns1:Achieved__P12_5" xmlDataType="string"/>
    </xmlCellPr>
  </singleXmlCell>
  <singleXmlCell id="686" r="H134" connectionId="0">
    <xmlCellPr id="1" uniqueName="1">
      <xmlPr mapId="43" xpath="/ns1:Root/ns1:Prog/ns1:Target_P1_6" xmlDataType="double"/>
    </xmlCellPr>
  </singleXmlCell>
  <singleXmlCell id="687" r="I134" connectionId="0">
    <xmlCellPr id="1" uniqueName="1">
      <xmlPr mapId="43" xpath="/ns1:Root/ns1:Prog/ns1:Target_P2_6" xmlDataType="double"/>
    </xmlCellPr>
  </singleXmlCell>
  <singleXmlCell id="688" r="J134" connectionId="0">
    <xmlCellPr id="1" uniqueName="1">
      <xmlPr mapId="43" xpath="/ns1:Root/ns1:Prog/ns1:Target_P3_6" xmlDataType="double"/>
    </xmlCellPr>
  </singleXmlCell>
  <singleXmlCell id="689" r="K134" connectionId="0">
    <xmlCellPr id="1" uniqueName="1">
      <xmlPr mapId="43" xpath="/ns1:Root/ns1:Prog/ns1:Target_P4_6" xmlDataType="double"/>
    </xmlCellPr>
  </singleXmlCell>
  <singleXmlCell id="690" r="L134" connectionId="0">
    <xmlCellPr id="1" uniqueName="1">
      <xmlPr mapId="43" xpath="/ns1:Root/ns1:Prog/ns1:Target_P5_6" xmlDataType="double"/>
    </xmlCellPr>
  </singleXmlCell>
  <singleXmlCell id="691" r="M134" connectionId="0">
    <xmlCellPr id="1" uniqueName="1">
      <xmlPr mapId="43" xpath="/ns1:Root/ns1:Prog/ns1:Target_P6_6" xmlDataType="double"/>
    </xmlCellPr>
  </singleXmlCell>
  <singleXmlCell id="692" r="N134" connectionId="0">
    <xmlCellPr id="1" uniqueName="1">
      <xmlPr mapId="43" xpath="/ns1:Root/ns1:Prog/ns1:Target_P7_6" xmlDataType="double"/>
    </xmlCellPr>
  </singleXmlCell>
  <singleXmlCell id="693" r="O134" connectionId="0">
    <xmlCellPr id="1" uniqueName="1">
      <xmlPr mapId="43" xpath="/ns1:Root/ns1:Prog/ns1:Target_P8_6" xmlDataType="double"/>
    </xmlCellPr>
  </singleXmlCell>
  <singleXmlCell id="694" r="P134" connectionId="0">
    <xmlCellPr id="1" uniqueName="1">
      <xmlPr mapId="43" xpath="/ns1:Root/ns1:Prog/ns1:Target_P9_6" xmlDataType="double"/>
    </xmlCellPr>
  </singleXmlCell>
  <singleXmlCell id="695" r="Q134" connectionId="0">
    <xmlCellPr id="1" uniqueName="1">
      <xmlPr mapId="43" xpath="/ns1:Root/ns1:Prog/ns1:Target_P10_6" xmlDataType="double"/>
    </xmlCellPr>
  </singleXmlCell>
  <singleXmlCell id="696" r="R134" connectionId="0">
    <xmlCellPr id="1" uniqueName="1">
      <xmlPr mapId="43" xpath="/ns1:Root/ns1:Prog/ns1:Target_P11_6" xmlDataType="double"/>
    </xmlCellPr>
  </singleXmlCell>
  <singleXmlCell id="697" r="S134" connectionId="0">
    <xmlCellPr id="1" uniqueName="1">
      <xmlPr mapId="43" xpath="/ns1:Root/ns1:Prog/ns1:Target_P12_6" xmlDataType="double"/>
    </xmlCellPr>
  </singleXmlCell>
  <singleXmlCell id="698" r="H135" connectionId="0">
    <xmlCellPr id="1" uniqueName="1">
      <xmlPr mapId="43" xpath="/ns1:Root/ns1:Prog/ns1:Achieved__P1_6" xmlDataType="double"/>
    </xmlCellPr>
  </singleXmlCell>
  <singleXmlCell id="699" r="I135" connectionId="0">
    <xmlCellPr id="1" uniqueName="1">
      <xmlPr mapId="43" xpath="/ns1:Root/ns1:Prog/ns1:Achieved__P2_6" xmlDataType="double"/>
    </xmlCellPr>
  </singleXmlCell>
  <singleXmlCell id="700" r="J135" connectionId="0">
    <xmlCellPr id="1" uniqueName="1">
      <xmlPr mapId="43" xpath="/ns1:Root/ns1:Prog/ns1:Achieved__P3_6" xmlDataType="double"/>
    </xmlCellPr>
  </singleXmlCell>
  <singleXmlCell id="701" r="K135" connectionId="0">
    <xmlCellPr id="1" uniqueName="1">
      <xmlPr mapId="43" xpath="/ns1:Root/ns1:Prog/ns1:Achieved__P4_6" xmlDataType="double"/>
    </xmlCellPr>
  </singleXmlCell>
  <singleXmlCell id="702" r="L135" connectionId="0">
    <xmlCellPr id="1" uniqueName="1">
      <xmlPr mapId="43" xpath="/ns1:Root/ns1:Prog/ns1:Achieved__P5_6" xmlDataType="string"/>
    </xmlCellPr>
  </singleXmlCell>
  <singleXmlCell id="703" r="M135" connectionId="0">
    <xmlCellPr id="1" uniqueName="1">
      <xmlPr mapId="43" xpath="/ns1:Root/ns1:Prog/ns1:Achieved__P6_6" xmlDataType="string"/>
    </xmlCellPr>
  </singleXmlCell>
  <singleXmlCell id="704" r="N135" connectionId="0">
    <xmlCellPr id="1" uniqueName="1">
      <xmlPr mapId="43" xpath="/ns1:Root/ns1:Prog/ns1:Achieved__P7_6" xmlDataType="string"/>
    </xmlCellPr>
  </singleXmlCell>
  <singleXmlCell id="705" r="O135" connectionId="0">
    <xmlCellPr id="1" uniqueName="1">
      <xmlPr mapId="43" xpath="/ns1:Root/ns1:Prog/ns1:Achieved__P8_6" xmlDataType="string"/>
    </xmlCellPr>
  </singleXmlCell>
  <singleXmlCell id="706" r="P135" connectionId="0">
    <xmlCellPr id="1" uniqueName="1">
      <xmlPr mapId="43" xpath="/ns1:Root/ns1:Prog/ns1:Achieved__P9_6" xmlDataType="string"/>
    </xmlCellPr>
  </singleXmlCell>
  <singleXmlCell id="707" r="Q135" connectionId="0">
    <xmlCellPr id="1" uniqueName="1">
      <xmlPr mapId="43" xpath="/ns1:Root/ns1:Prog/ns1:Achieved__P10_6" xmlDataType="string"/>
    </xmlCellPr>
  </singleXmlCell>
  <singleXmlCell id="708" r="R135" connectionId="0">
    <xmlCellPr id="1" uniqueName="1">
      <xmlPr mapId="43" xpath="/ns1:Root/ns1:Prog/ns1:Achieved__P11_6" xmlDataType="string"/>
    </xmlCellPr>
  </singleXmlCell>
  <singleXmlCell id="709" r="S135"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58" r="H136" connectionId="0">
    <xmlCellPr id="1" uniqueName="1">
      <xmlPr mapId="43" xpath="/ns1:Root/ns1:Prog/ns1:Target_P1_9" xmlDataType="double"/>
    </xmlCellPr>
  </singleXmlCell>
  <singleXmlCell id="759" r="I136" connectionId="0">
    <xmlCellPr id="1" uniqueName="1">
      <xmlPr mapId="43" xpath="/ns1:Root/ns1:Prog/ns1:Target_P2_9" xmlDataType="double"/>
    </xmlCellPr>
  </singleXmlCell>
  <singleXmlCell id="760" r="J136" connectionId="0">
    <xmlCellPr id="1" uniqueName="1">
      <xmlPr mapId="43" xpath="/ns1:Root/ns1:Prog/ns1:Target_P3_9" xmlDataType="double"/>
    </xmlCellPr>
  </singleXmlCell>
  <singleXmlCell id="761" r="K136" connectionId="0">
    <xmlCellPr id="1" uniqueName="1">
      <xmlPr mapId="43" xpath="/ns1:Root/ns1:Prog/ns1:Target_P4_9" xmlDataType="double"/>
    </xmlCellPr>
  </singleXmlCell>
  <singleXmlCell id="762" r="L136" connectionId="0">
    <xmlCellPr id="1" uniqueName="1">
      <xmlPr mapId="43" xpath="/ns1:Root/ns1:Prog/ns1:Target_P5_9" xmlDataType="double"/>
    </xmlCellPr>
  </singleXmlCell>
  <singleXmlCell id="763" r="M136" connectionId="0">
    <xmlCellPr id="1" uniqueName="1">
      <xmlPr mapId="43" xpath="/ns1:Root/ns1:Prog/ns1:Target_P6_9" xmlDataType="double"/>
    </xmlCellPr>
  </singleXmlCell>
  <singleXmlCell id="764" r="N136" connectionId="0">
    <xmlCellPr id="1" uniqueName="1">
      <xmlPr mapId="43" xpath="/ns1:Root/ns1:Prog/ns1:Target_P7_9" xmlDataType="double"/>
    </xmlCellPr>
  </singleXmlCell>
  <singleXmlCell id="765" r="O136" connectionId="0">
    <xmlCellPr id="1" uniqueName="1">
      <xmlPr mapId="43" xpath="/ns1:Root/ns1:Prog/ns1:Target_P8_9" xmlDataType="double"/>
    </xmlCellPr>
  </singleXmlCell>
  <singleXmlCell id="766" r="P136" connectionId="0">
    <xmlCellPr id="1" uniqueName="1">
      <xmlPr mapId="43" xpath="/ns1:Root/ns1:Prog/ns1:Target_P9_9" xmlDataType="double"/>
    </xmlCellPr>
  </singleXmlCell>
  <singleXmlCell id="767" r="Q136" connectionId="0">
    <xmlCellPr id="1" uniqueName="1">
      <xmlPr mapId="43" xpath="/ns1:Root/ns1:Prog/ns1:Target_P10_9" xmlDataType="double"/>
    </xmlCellPr>
  </singleXmlCell>
  <singleXmlCell id="768" r="R136" connectionId="0">
    <xmlCellPr id="1" uniqueName="1">
      <xmlPr mapId="43" xpath="/ns1:Root/ns1:Prog/ns1:Target_P11_9" xmlDataType="double"/>
    </xmlCellPr>
  </singleXmlCell>
  <singleXmlCell id="769" r="S136" connectionId="0">
    <xmlCellPr id="1" uniqueName="1">
      <xmlPr mapId="43" xpath="/ns1:Root/ns1:Prog/ns1:Target_P12_9" xmlDataType="double"/>
    </xmlCellPr>
  </singleXmlCell>
  <singleXmlCell id="770" r="H137" connectionId="0">
    <xmlCellPr id="1" uniqueName="1">
      <xmlPr mapId="43" xpath="/ns1:Root/ns1:Prog/ns1:Achieved__P1_9" xmlDataType="string"/>
    </xmlCellPr>
  </singleXmlCell>
  <singleXmlCell id="771" r="I137" connectionId="0">
    <xmlCellPr id="1" uniqueName="1">
      <xmlPr mapId="43" xpath="/ns1:Root/ns1:Prog/ns1:Achieved__P2_9" xmlDataType="double"/>
    </xmlCellPr>
  </singleXmlCell>
  <singleXmlCell id="772" r="J137" connectionId="0">
    <xmlCellPr id="1" uniqueName="1">
      <xmlPr mapId="43" xpath="/ns1:Root/ns1:Prog/ns1:Achieved__P3_9" xmlDataType="string"/>
    </xmlCellPr>
  </singleXmlCell>
  <singleXmlCell id="773" r="K137" connectionId="0">
    <xmlCellPr id="1" uniqueName="1">
      <xmlPr mapId="43" xpath="/ns1:Root/ns1:Prog/ns1:Achieved__P4_9" xmlDataType="double"/>
    </xmlCellPr>
  </singleXmlCell>
  <singleXmlCell id="774" r="L137" connectionId="0">
    <xmlCellPr id="1" uniqueName="1">
      <xmlPr mapId="43" xpath="/ns1:Root/ns1:Prog/ns1:Achieved__P5_9" xmlDataType="string"/>
    </xmlCellPr>
  </singleXmlCell>
  <singleXmlCell id="775" r="M137" connectionId="0">
    <xmlCellPr id="1" uniqueName="1">
      <xmlPr mapId="43" xpath="/ns1:Root/ns1:Prog/ns1:Achieved__P6_9" xmlDataType="string"/>
    </xmlCellPr>
  </singleXmlCell>
  <singleXmlCell id="776" r="N137" connectionId="0">
    <xmlCellPr id="1" uniqueName="1">
      <xmlPr mapId="43" xpath="/ns1:Root/ns1:Prog/ns1:Achieved__P7_9" xmlDataType="string"/>
    </xmlCellPr>
  </singleXmlCell>
  <singleXmlCell id="777" r="O137" connectionId="0">
    <xmlCellPr id="1" uniqueName="1">
      <xmlPr mapId="43" xpath="/ns1:Root/ns1:Prog/ns1:Achieved__P8_9" xmlDataType="string"/>
    </xmlCellPr>
  </singleXmlCell>
  <singleXmlCell id="778" r="P137" connectionId="0">
    <xmlCellPr id="1" uniqueName="1">
      <xmlPr mapId="43" xpath="/ns1:Root/ns1:Prog/ns1:Achieved__P9_9" xmlDataType="string"/>
    </xmlCellPr>
  </singleXmlCell>
  <singleXmlCell id="779" r="Q137" connectionId="0">
    <xmlCellPr id="1" uniqueName="1">
      <xmlPr mapId="43" xpath="/ns1:Root/ns1:Prog/ns1:Achieved__P10_9" xmlDataType="string"/>
    </xmlCellPr>
  </singleXmlCell>
  <singleXmlCell id="780" r="R137" connectionId="0">
    <xmlCellPr id="1" uniqueName="1">
      <xmlPr mapId="43" xpath="/ns1:Root/ns1:Prog/ns1:Achieved__P11_9" xmlDataType="string"/>
    </xmlCellPr>
  </singleXmlCell>
  <singleXmlCell id="781" r="S137" connectionId="0">
    <xmlCellPr id="1" uniqueName="1">
      <xmlPr mapId="43" xpath="/ns1:Root/ns1:Prog/ns1:Achieved__P12_9" xmlDataType="string"/>
    </xmlCellPr>
  </singleXmlCell>
  <singleXmlCell id="782" r="H138" connectionId="0">
    <xmlCellPr id="1" uniqueName="1">
      <xmlPr mapId="43" xpath="/ns1:Root/ns1:Prog/ns1:Target_P1" xmlDataType="string"/>
    </xmlCellPr>
  </singleXmlCell>
  <singleXmlCell id="783" r="I138" connectionId="0">
    <xmlCellPr id="1" uniqueName="1">
      <xmlPr mapId="43" xpath="/ns1:Root/ns1:Prog/ns1:Target_P2" xmlDataType="string"/>
    </xmlCellPr>
  </singleXmlCell>
  <singleXmlCell id="784" r="J138" connectionId="0">
    <xmlCellPr id="1" uniqueName="1">
      <xmlPr mapId="43" xpath="/ns1:Root/ns1:Prog/ns1:Target_P3" xmlDataType="string"/>
    </xmlCellPr>
  </singleXmlCell>
  <singleXmlCell id="785" r="K138" connectionId="0">
    <xmlCellPr id="1" uniqueName="1">
      <xmlPr mapId="43" xpath="/ns1:Root/ns1:Prog/ns1:Target_P4" xmlDataType="double"/>
    </xmlCellPr>
  </singleXmlCell>
  <singleXmlCell id="786" r="L138" connectionId="0">
    <xmlCellPr id="1" uniqueName="1">
      <xmlPr mapId="43" xpath="/ns1:Root/ns1:Prog/ns1:Target_P5" xmlDataType="string"/>
    </xmlCellPr>
  </singleXmlCell>
  <singleXmlCell id="787" r="M138" connectionId="0">
    <xmlCellPr id="1" uniqueName="1">
      <xmlPr mapId="43" xpath="/ns1:Root/ns1:Prog/ns1:Target_P6" xmlDataType="string"/>
    </xmlCellPr>
  </singleXmlCell>
  <singleXmlCell id="788" r="N138" connectionId="0">
    <xmlCellPr id="1" uniqueName="1">
      <xmlPr mapId="43" xpath="/ns1:Root/ns1:Prog/ns1:Target_P7" xmlDataType="string"/>
    </xmlCellPr>
  </singleXmlCell>
  <singleXmlCell id="789" r="O138" connectionId="0">
    <xmlCellPr id="1" uniqueName="1">
      <xmlPr mapId="43" xpath="/ns1:Root/ns1:Prog/ns1:Target_P8" xmlDataType="string"/>
    </xmlCellPr>
  </singleXmlCell>
  <singleXmlCell id="790" r="P138" connectionId="0">
    <xmlCellPr id="1" uniqueName="1">
      <xmlPr mapId="43" xpath="/ns1:Root/ns1:Prog/ns1:Target_P9" xmlDataType="string"/>
    </xmlCellPr>
  </singleXmlCell>
  <singleXmlCell id="791" r="Q138" connectionId="0">
    <xmlCellPr id="1" uniqueName="1">
      <xmlPr mapId="43" xpath="/ns1:Root/ns1:Prog/ns1:Target_P10" xmlDataType="string"/>
    </xmlCellPr>
  </singleXmlCell>
  <singleXmlCell id="792" r="R138" connectionId="0">
    <xmlCellPr id="1" uniqueName="1">
      <xmlPr mapId="43" xpath="/ns1:Root/ns1:Prog/ns1:Target_P11" xmlDataType="string"/>
    </xmlCellPr>
  </singleXmlCell>
  <singleXmlCell id="793" r="S138" connectionId="0">
    <xmlCellPr id="1" uniqueName="1">
      <xmlPr mapId="43" xpath="/ns1:Root/ns1:Prog/ns1:Target_P12" xmlDataType="string"/>
    </xmlCellPr>
  </singleXmlCell>
  <singleXmlCell id="794" r="H139" connectionId="0">
    <xmlCellPr id="1" uniqueName="1">
      <xmlPr mapId="43" xpath="/ns1:Root/ns1:Prog/ns1:Achieved__P1" xmlDataType="string"/>
    </xmlCellPr>
  </singleXmlCell>
  <singleXmlCell id="795" r="I139" connectionId="0">
    <xmlCellPr id="1" uniqueName="1">
      <xmlPr mapId="43" xpath="/ns1:Root/ns1:Prog/ns1:Achieved__P2" xmlDataType="string"/>
    </xmlCellPr>
  </singleXmlCell>
  <singleXmlCell id="796" r="J139" connectionId="0">
    <xmlCellPr id="1" uniqueName="1">
      <xmlPr mapId="43" xpath="/ns1:Root/ns1:Prog/ns1:Achieved__P3" xmlDataType="string"/>
    </xmlCellPr>
  </singleXmlCell>
  <singleXmlCell id="797" r="K139" connectionId="0">
    <xmlCellPr id="1" uniqueName="1">
      <xmlPr mapId="43" xpath="/ns1:Root/ns1:Prog/ns1:Achieved__P4" xmlDataType="string"/>
    </xmlCellPr>
  </singleXmlCell>
  <singleXmlCell id="798" r="L139" connectionId="0">
    <xmlCellPr id="1" uniqueName="1">
      <xmlPr mapId="43" xpath="/ns1:Root/ns1:Prog/ns1:Achieved__P5" xmlDataType="string"/>
    </xmlCellPr>
  </singleXmlCell>
  <singleXmlCell id="799" r="M139" connectionId="0">
    <xmlCellPr id="1" uniqueName="1">
      <xmlPr mapId="43" xpath="/ns1:Root/ns1:Prog/ns1:Achieved__P6" xmlDataType="string"/>
    </xmlCellPr>
  </singleXmlCell>
  <singleXmlCell id="800" r="N139" connectionId="0">
    <xmlCellPr id="1" uniqueName="1">
      <xmlPr mapId="43" xpath="/ns1:Root/ns1:Prog/ns1:Achieved__P7" xmlDataType="string"/>
    </xmlCellPr>
  </singleXmlCell>
  <singleXmlCell id="801" r="O139" connectionId="0">
    <xmlCellPr id="1" uniqueName="1">
      <xmlPr mapId="43" xpath="/ns1:Root/ns1:Prog/ns1:Achieved__P8" xmlDataType="string"/>
    </xmlCellPr>
  </singleXmlCell>
  <singleXmlCell id="802" r="P139" connectionId="0">
    <xmlCellPr id="1" uniqueName="1">
      <xmlPr mapId="43" xpath="/ns1:Root/ns1:Prog/ns1:Achieved__P9" xmlDataType="string"/>
    </xmlCellPr>
  </singleXmlCell>
  <singleXmlCell id="803" r="Q139" connectionId="0">
    <xmlCellPr id="1" uniqueName="1">
      <xmlPr mapId="43" xpath="/ns1:Root/ns1:Prog/ns1:Achieved__P10" xmlDataType="string"/>
    </xmlCellPr>
  </singleXmlCell>
  <singleXmlCell id="804" r="R139" connectionId="0">
    <xmlCellPr id="1" uniqueName="1">
      <xmlPr mapId="43" xpath="/ns1:Root/ns1:Prog/ns1:Achieved__P11" xmlDataType="string"/>
    </xmlCellPr>
  </singleXmlCell>
  <singleXmlCell id="805" r="S139"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4" connectionId="0">
    <xmlCellPr id="1" uniqueName="1">
      <xmlPr mapId="43" xpath="/ns1:Root/ns1:P3" xmlDataType="string"/>
    </xmlCellPr>
  </singleXmlCell>
  <singleXmlCell id="814" r="E124" connectionId="0">
    <xmlCellPr id="1" uniqueName="1">
      <xmlPr mapId="43" xpath="/ns1:Root/ns1:P3_Code" xmlDataType="double"/>
    </xmlCellPr>
  </singleXmlCell>
  <singleXmlCell id="815" r="F124" connectionId="0">
    <xmlCellPr id="1" uniqueName="1">
      <xmlPr mapId="43" xpath="/ns1:Root/ns1:P3_Tied" xmlDataType="string"/>
    </xmlCellPr>
  </singleXmlCell>
  <singleXmlCell id="816" r="B128" connectionId="0">
    <xmlCellPr id="1" uniqueName="1">
      <xmlPr mapId="43" xpath="/ns1:Root/ns1:P4" xmlDataType="string"/>
    </xmlCellPr>
  </singleXmlCell>
  <singleXmlCell id="817" r="E128" connectionId="0">
    <xmlCellPr id="1" uniqueName="1">
      <xmlPr mapId="43" xpath="/ns1:Root/ns1:P4_Code" xmlDataType="double"/>
    </xmlCellPr>
  </singleXmlCell>
  <singleXmlCell id="818" r="F128" connectionId="0">
    <xmlCellPr id="1" uniqueName="1">
      <xmlPr mapId="43" xpath="/ns1:Root/ns1:P4_Tied" xmlDataType="string"/>
    </xmlCellPr>
  </singleXmlCell>
  <singleXmlCell id="819" r="B132" connectionId="0">
    <xmlCellPr id="1" uniqueName="1">
      <xmlPr mapId="43" xpath="/ns1:Root/ns1:P5" xmlDataType="string"/>
    </xmlCellPr>
  </singleXmlCell>
  <singleXmlCell id="820" r="E132" connectionId="0">
    <xmlCellPr id="1" uniqueName="1">
      <xmlPr mapId="43" xpath="/ns1:Root/ns1:P5_Code" xmlDataType="double"/>
    </xmlCellPr>
  </singleXmlCell>
  <singleXmlCell id="821" r="F132" connectionId="0">
    <xmlCellPr id="1" uniqueName="1">
      <xmlPr mapId="43" xpath="/ns1:Root/ns1:P5_Tied" xmlDataType="string"/>
    </xmlCellPr>
  </singleXmlCell>
  <singleXmlCell id="822" r="B134" connectionId="0">
    <xmlCellPr id="1" uniqueName="1">
      <xmlPr mapId="43" xpath="/ns1:Root/ns1:P6" xmlDataType="string"/>
    </xmlCellPr>
  </singleXmlCell>
  <singleXmlCell id="823" r="E134" connectionId="0">
    <xmlCellPr id="1" uniqueName="1">
      <xmlPr mapId="43" xpath="/ns1:Root/ns1:P6_Code" xmlDataType="double"/>
    </xmlCellPr>
  </singleXmlCell>
  <singleXmlCell id="824" r="F134"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31" r="B136" connectionId="0">
    <xmlCellPr id="1" uniqueName="1">
      <xmlPr mapId="43" xpath="/ns1:Root/ns1:P9" xmlDataType="string"/>
    </xmlCellPr>
  </singleXmlCell>
  <singleXmlCell id="832" r="E136" connectionId="0">
    <xmlCellPr id="1" uniqueName="1">
      <xmlPr mapId="43" xpath="/ns1:Root/ns1:P9_Code" xmlDataType="double"/>
    </xmlCellPr>
  </singleXmlCell>
  <singleXmlCell id="833" r="F136" connectionId="0">
    <xmlCellPr id="1" uniqueName="1">
      <xmlPr mapId="43" xpath="/ns1:Root/ns1:P9_Tied" xmlDataType="double"/>
    </xmlCellPr>
  </singleXmlCell>
  <singleXmlCell id="834" r="B138" connectionId="0">
    <xmlCellPr id="1" uniqueName="1">
      <xmlPr mapId="43" xpath="/ns1:Root/ns1:P10" xmlDataType="string"/>
    </xmlCellPr>
  </singleXmlCell>
  <singleXmlCell id="835" r="E138" connectionId="0">
    <xmlCellPr id="1" uniqueName="1">
      <xmlPr mapId="43" xpath="/ns1:Root/ns1:P10_Code" xmlDataType="double"/>
    </xmlCellPr>
  </singleXmlCell>
  <singleXmlCell id="836" r="F138"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H4" sqref="H4"/>
    </sheetView>
  </sheetViews>
  <sheetFormatPr defaultColWidth="11" defaultRowHeight="15"/>
  <cols>
    <col min="1" max="1" width="1.125" customWidth="1"/>
    <col min="2" max="10" width="11.375" customWidth="1"/>
    <col min="11" max="11" width="1.75" customWidth="1"/>
  </cols>
  <sheetData>
    <row r="1" spans="2:15" ht="25.5" customHeight="1"/>
    <row r="2" spans="2:15" ht="36">
      <c r="B2" s="554" t="str">
        <f>+'Detalii despre Grant'!B3:J3</f>
        <v>Dashboard:  Moldova - HIV / AIDS</v>
      </c>
      <c r="C2" s="554"/>
      <c r="D2" s="554"/>
      <c r="E2" s="554"/>
      <c r="F2" s="554"/>
      <c r="G2" s="554"/>
      <c r="H2" s="554"/>
      <c r="I2" s="554"/>
      <c r="J2" s="554"/>
      <c r="K2" s="554"/>
      <c r="L2" s="554"/>
      <c r="M2" s="1"/>
      <c r="N2" s="1"/>
      <c r="O2" s="1"/>
    </row>
    <row r="4" spans="2:15" ht="21">
      <c r="B4" s="555" t="str">
        <f>+IF('Introducerea datelor'!G6="Please Select", "",'Introducerea datelor'!G6) &amp;"  "&amp;+IF('Introducerea datelor'!G8="Please Select", "", 'Introducerea datelor'!G8&amp;",  ")&amp;+IF('Introducerea datelor'!I8="Please Select","",'Introducerea datelor'!I8)</f>
        <v xml:space="preserve">HIV / AIDS  </v>
      </c>
      <c r="C4" s="555"/>
      <c r="D4" s="555"/>
      <c r="E4" s="556"/>
      <c r="F4" s="227"/>
      <c r="G4" s="227"/>
      <c r="H4" s="339" t="str">
        <f>+'Introducerea datelor'!B6&amp;" "&amp;+'Introducerea datelor'!C6</f>
        <v>Nr. Grantului : MDA-H-PCIMU</v>
      </c>
      <c r="I4" s="339"/>
      <c r="J4" s="226"/>
      <c r="K4" s="227"/>
      <c r="L4" s="227"/>
    </row>
    <row r="22" spans="2:12" ht="26.25">
      <c r="B22" s="557" t="s">
        <v>297</v>
      </c>
      <c r="C22" s="558"/>
      <c r="D22" s="558"/>
      <c r="E22" s="558"/>
      <c r="F22" s="558"/>
      <c r="G22" s="558"/>
      <c r="H22" s="558"/>
      <c r="I22" s="558"/>
      <c r="J22" s="558"/>
      <c r="K22" s="558"/>
      <c r="L22" s="558"/>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375" customWidth="1"/>
    <col min="2" max="2" width="16.125" customWidth="1"/>
    <col min="3" max="3" width="14.75" customWidth="1"/>
    <col min="4" max="4" width="15.625" customWidth="1"/>
    <col min="5" max="6" width="11.375" customWidth="1"/>
    <col min="7" max="7" width="14.375" customWidth="1"/>
    <col min="8" max="8" width="35.625" customWidth="1"/>
    <col min="9" max="9" width="45.75" customWidth="1"/>
    <col min="10" max="10" width="33.625" customWidth="1"/>
    <col min="11" max="12" width="11.375" customWidth="1"/>
    <col min="13" max="13" width="28.625" customWidth="1"/>
    <col min="14" max="14" width="46.375" customWidth="1"/>
  </cols>
  <sheetData>
    <row r="2" spans="2:15" ht="25.5" customHeight="1"/>
    <row r="3" spans="2:15" ht="36">
      <c r="B3" s="1006" t="str">
        <f>'Detalii despre Grant'!B3:J3</f>
        <v>Dashboard:  Moldova - HIV / AIDS</v>
      </c>
      <c r="C3" s="1006"/>
      <c r="D3" s="1006"/>
      <c r="E3" s="1006"/>
      <c r="F3" s="1006"/>
      <c r="G3" s="1006"/>
      <c r="H3" s="1006"/>
      <c r="I3" s="1"/>
    </row>
    <row r="6" spans="2:15" ht="18.75">
      <c r="B6" s="1007" t="s">
        <v>261</v>
      </c>
      <c r="C6" s="1007"/>
      <c r="D6" s="1007"/>
      <c r="E6" s="1007"/>
      <c r="F6" s="1007"/>
      <c r="G6" s="1007"/>
      <c r="H6" s="1007"/>
    </row>
    <row r="8" spans="2:15" ht="18.75">
      <c r="B8" s="62" t="s">
        <v>17</v>
      </c>
      <c r="C8" s="62" t="s">
        <v>20</v>
      </c>
      <c r="D8" s="62" t="s">
        <v>21</v>
      </c>
      <c r="E8" s="62" t="s">
        <v>26</v>
      </c>
      <c r="F8" s="62" t="s">
        <v>245</v>
      </c>
      <c r="G8" s="62" t="s">
        <v>228</v>
      </c>
      <c r="H8" s="62" t="s">
        <v>247</v>
      </c>
      <c r="I8" s="63" t="s">
        <v>64</v>
      </c>
      <c r="J8" s="63" t="s">
        <v>93</v>
      </c>
      <c r="M8" s="19"/>
      <c r="N8" s="19"/>
      <c r="O8" s="19"/>
    </row>
    <row r="9" spans="2:15">
      <c r="B9" s="86" t="s">
        <v>289</v>
      </c>
      <c r="C9" s="86" t="s">
        <v>289</v>
      </c>
      <c r="D9" s="86" t="s">
        <v>289</v>
      </c>
      <c r="E9" s="86" t="s">
        <v>289</v>
      </c>
      <c r="F9" s="86" t="s">
        <v>289</v>
      </c>
      <c r="G9" s="86" t="s">
        <v>289</v>
      </c>
      <c r="H9" s="86" t="s">
        <v>289</v>
      </c>
      <c r="I9" s="406" t="s">
        <v>289</v>
      </c>
      <c r="J9" s="86" t="s">
        <v>289</v>
      </c>
      <c r="M9" s="19"/>
      <c r="N9" s="19"/>
      <c r="O9" s="19"/>
    </row>
    <row r="10" spans="2:15">
      <c r="B10" s="57" t="s">
        <v>16</v>
      </c>
      <c r="C10" s="57" t="s">
        <v>10</v>
      </c>
      <c r="D10" s="57" t="s">
        <v>8</v>
      </c>
      <c r="E10" s="57" t="s">
        <v>9</v>
      </c>
      <c r="F10" s="57" t="s">
        <v>75</v>
      </c>
      <c r="G10" s="413" t="s">
        <v>28</v>
      </c>
      <c r="H10" s="60" t="s">
        <v>33</v>
      </c>
      <c r="I10" s="27" t="s">
        <v>250</v>
      </c>
      <c r="J10" s="86" t="s">
        <v>94</v>
      </c>
      <c r="M10" s="19"/>
      <c r="N10" s="19"/>
      <c r="O10" s="19"/>
    </row>
    <row r="11" spans="2:15">
      <c r="B11" s="57" t="s">
        <v>18</v>
      </c>
      <c r="C11" s="57" t="s">
        <v>5</v>
      </c>
      <c r="D11" s="57" t="s">
        <v>11</v>
      </c>
      <c r="E11" s="57" t="s">
        <v>7</v>
      </c>
      <c r="F11" s="57" t="s">
        <v>76</v>
      </c>
      <c r="G11" s="413" t="s">
        <v>29</v>
      </c>
      <c r="H11" s="60" t="s">
        <v>34</v>
      </c>
      <c r="I11" s="27" t="s">
        <v>251</v>
      </c>
      <c r="J11" s="86" t="s">
        <v>95</v>
      </c>
      <c r="M11" s="19"/>
      <c r="N11" s="19"/>
      <c r="O11" s="19"/>
    </row>
    <row r="12" spans="2:15">
      <c r="B12" s="57" t="s">
        <v>19</v>
      </c>
      <c r="D12" s="57" t="s">
        <v>13</v>
      </c>
      <c r="E12" s="57" t="s">
        <v>14</v>
      </c>
      <c r="F12" s="57" t="s">
        <v>77</v>
      </c>
      <c r="G12" s="413" t="s">
        <v>30</v>
      </c>
      <c r="H12" s="60" t="s">
        <v>35</v>
      </c>
      <c r="I12" s="27" t="s">
        <v>252</v>
      </c>
      <c r="J12" s="86" t="s">
        <v>96</v>
      </c>
      <c r="M12" s="193"/>
      <c r="N12" s="19"/>
      <c r="O12" s="19"/>
    </row>
    <row r="13" spans="2:15">
      <c r="B13" s="57" t="s">
        <v>60</v>
      </c>
      <c r="D13" s="57" t="s">
        <v>15</v>
      </c>
      <c r="E13" s="58"/>
      <c r="F13" s="57" t="s">
        <v>78</v>
      </c>
      <c r="G13" s="413" t="s">
        <v>31</v>
      </c>
      <c r="H13" s="60" t="s">
        <v>36</v>
      </c>
      <c r="I13" s="27" t="s">
        <v>253</v>
      </c>
      <c r="J13" s="86" t="s">
        <v>97</v>
      </c>
      <c r="M13" s="193"/>
      <c r="N13" s="19"/>
      <c r="O13" s="19"/>
    </row>
    <row r="14" spans="2:15">
      <c r="B14" s="57" t="s">
        <v>61</v>
      </c>
      <c r="D14" s="57" t="s">
        <v>22</v>
      </c>
      <c r="F14" s="57" t="s">
        <v>85</v>
      </c>
      <c r="G14" s="413" t="s">
        <v>32</v>
      </c>
      <c r="H14" s="60" t="s">
        <v>37</v>
      </c>
      <c r="I14" s="27" t="s">
        <v>230</v>
      </c>
      <c r="J14" s="86" t="s">
        <v>98</v>
      </c>
      <c r="M14" s="193"/>
      <c r="N14" s="19"/>
      <c r="O14" s="19"/>
    </row>
    <row r="15" spans="2:15">
      <c r="D15" s="57" t="s">
        <v>23</v>
      </c>
      <c r="F15" s="57" t="s">
        <v>86</v>
      </c>
      <c r="H15" s="60" t="s">
        <v>38</v>
      </c>
      <c r="I15" s="27" t="s">
        <v>49</v>
      </c>
      <c r="J15" s="86" t="s">
        <v>99</v>
      </c>
      <c r="M15" s="193"/>
      <c r="N15" s="19"/>
      <c r="O15" s="19"/>
    </row>
    <row r="16" spans="2:15">
      <c r="D16" s="57" t="s">
        <v>24</v>
      </c>
      <c r="F16" s="57" t="s">
        <v>87</v>
      </c>
      <c r="H16" s="60" t="s">
        <v>39</v>
      </c>
      <c r="I16" s="27" t="s">
        <v>50</v>
      </c>
      <c r="J16" s="86" t="s">
        <v>100</v>
      </c>
      <c r="M16" s="193"/>
      <c r="N16" s="19"/>
      <c r="O16" s="19"/>
    </row>
    <row r="17" spans="4:15">
      <c r="D17" s="57" t="s">
        <v>25</v>
      </c>
      <c r="F17" s="57" t="s">
        <v>88</v>
      </c>
      <c r="H17" s="60" t="s">
        <v>40</v>
      </c>
      <c r="I17" s="27" t="s">
        <v>51</v>
      </c>
      <c r="J17" s="86" t="s">
        <v>101</v>
      </c>
      <c r="M17" s="193"/>
      <c r="N17" s="19"/>
      <c r="O17" s="19"/>
    </row>
    <row r="18" spans="4:15">
      <c r="D18" s="57" t="s">
        <v>6</v>
      </c>
      <c r="F18" s="57" t="s">
        <v>89</v>
      </c>
      <c r="H18" s="60" t="s">
        <v>41</v>
      </c>
      <c r="I18" s="27" t="s">
        <v>52</v>
      </c>
      <c r="J18" s="86" t="s">
        <v>102</v>
      </c>
      <c r="M18" s="193"/>
      <c r="N18" s="19"/>
      <c r="O18" s="19"/>
    </row>
    <row r="19" spans="4:15">
      <c r="D19" s="412" t="s">
        <v>287</v>
      </c>
      <c r="F19" s="57" t="s">
        <v>90</v>
      </c>
      <c r="H19" s="60" t="s">
        <v>42</v>
      </c>
      <c r="I19" s="27" t="s">
        <v>53</v>
      </c>
      <c r="J19" s="86" t="s">
        <v>103</v>
      </c>
      <c r="M19" s="193"/>
      <c r="N19" s="19"/>
      <c r="O19" s="19"/>
    </row>
    <row r="20" spans="4:15">
      <c r="D20" s="59"/>
      <c r="F20" s="57" t="s">
        <v>91</v>
      </c>
      <c r="H20" s="60" t="s">
        <v>226</v>
      </c>
      <c r="I20" s="27" t="s">
        <v>54</v>
      </c>
      <c r="J20" s="86" t="s">
        <v>104</v>
      </c>
      <c r="M20" s="19"/>
      <c r="N20" s="19"/>
      <c r="O20" s="19"/>
    </row>
    <row r="21" spans="4:15">
      <c r="D21" s="61"/>
      <c r="F21" s="57" t="s">
        <v>246</v>
      </c>
      <c r="H21" s="61"/>
      <c r="I21" s="27" t="s">
        <v>56</v>
      </c>
      <c r="J21" s="86" t="s">
        <v>105</v>
      </c>
      <c r="M21" s="19"/>
      <c r="N21" s="19"/>
      <c r="O21" s="19"/>
    </row>
    <row r="22" spans="4:15">
      <c r="H22" s="61"/>
      <c r="I22" s="27" t="s">
        <v>57</v>
      </c>
      <c r="J22" s="86" t="s">
        <v>106</v>
      </c>
      <c r="M22" s="19"/>
      <c r="N22" s="19"/>
      <c r="O22" s="19"/>
    </row>
    <row r="23" spans="4:15">
      <c r="I23" s="27" t="s">
        <v>55</v>
      </c>
      <c r="J23" s="86" t="s">
        <v>107</v>
      </c>
      <c r="M23" s="19"/>
      <c r="N23" s="19"/>
      <c r="O23" s="19"/>
    </row>
    <row r="24" spans="4:15">
      <c r="I24" s="27" t="s">
        <v>256</v>
      </c>
      <c r="J24" s="86" t="s">
        <v>108</v>
      </c>
      <c r="M24" s="19"/>
      <c r="N24" s="19"/>
      <c r="O24" s="19"/>
    </row>
    <row r="25" spans="4:15">
      <c r="I25" s="45"/>
      <c r="J25" s="86" t="s">
        <v>109</v>
      </c>
    </row>
    <row r="26" spans="4:15">
      <c r="I26" s="27" t="s">
        <v>257</v>
      </c>
      <c r="J26" s="86" t="s">
        <v>110</v>
      </c>
    </row>
    <row r="27" spans="4:15">
      <c r="I27" s="27" t="s">
        <v>255</v>
      </c>
      <c r="J27" s="86" t="s">
        <v>111</v>
      </c>
    </row>
    <row r="28" spans="4:15">
      <c r="I28" s="45"/>
      <c r="J28" s="86" t="s">
        <v>112</v>
      </c>
    </row>
    <row r="29" spans="4:15">
      <c r="I29" s="45"/>
      <c r="J29" s="86" t="s">
        <v>113</v>
      </c>
    </row>
    <row r="30" spans="4:15">
      <c r="I30" s="45"/>
      <c r="J30" s="86" t="s">
        <v>114</v>
      </c>
    </row>
    <row r="31" spans="4:15">
      <c r="J31" s="86" t="s">
        <v>115</v>
      </c>
    </row>
    <row r="32" spans="4:15">
      <c r="J32" s="86" t="s">
        <v>116</v>
      </c>
    </row>
    <row r="33" spans="10:10">
      <c r="J33" s="86" t="s">
        <v>117</v>
      </c>
    </row>
    <row r="34" spans="10:10">
      <c r="J34" s="86" t="s">
        <v>118</v>
      </c>
    </row>
    <row r="35" spans="10:10">
      <c r="J35" s="86" t="s">
        <v>119</v>
      </c>
    </row>
    <row r="36" spans="10:10">
      <c r="J36" s="86" t="s">
        <v>119</v>
      </c>
    </row>
    <row r="37" spans="10:10">
      <c r="J37" s="86" t="s">
        <v>120</v>
      </c>
    </row>
    <row r="38" spans="10:10">
      <c r="J38" s="86" t="s">
        <v>121</v>
      </c>
    </row>
    <row r="39" spans="10:10">
      <c r="J39" s="86" t="s">
        <v>122</v>
      </c>
    </row>
    <row r="40" spans="10:10">
      <c r="J40" s="86" t="s">
        <v>123</v>
      </c>
    </row>
    <row r="41" spans="10:10">
      <c r="J41" s="86" t="s">
        <v>124</v>
      </c>
    </row>
    <row r="42" spans="10:10">
      <c r="J42" s="86" t="s">
        <v>125</v>
      </c>
    </row>
    <row r="43" spans="10:10">
      <c r="J43" s="86" t="s">
        <v>126</v>
      </c>
    </row>
    <row r="44" spans="10:10">
      <c r="J44" s="86" t="s">
        <v>127</v>
      </c>
    </row>
    <row r="45" spans="10:10">
      <c r="J45" s="86" t="s">
        <v>128</v>
      </c>
    </row>
    <row r="46" spans="10:10">
      <c r="J46" s="86" t="s">
        <v>129</v>
      </c>
    </row>
    <row r="47" spans="10:10">
      <c r="J47" s="86" t="s">
        <v>130</v>
      </c>
    </row>
    <row r="48" spans="10:10">
      <c r="J48" s="86" t="s">
        <v>131</v>
      </c>
    </row>
    <row r="49" spans="10:10">
      <c r="J49" s="86" t="s">
        <v>132</v>
      </c>
    </row>
    <row r="50" spans="10:10">
      <c r="J50" s="86" t="s">
        <v>133</v>
      </c>
    </row>
    <row r="51" spans="10:10">
      <c r="J51" s="86" t="s">
        <v>134</v>
      </c>
    </row>
    <row r="52" spans="10:10">
      <c r="J52" s="86" t="s">
        <v>135</v>
      </c>
    </row>
    <row r="53" spans="10:10">
      <c r="J53" s="86" t="s">
        <v>136</v>
      </c>
    </row>
    <row r="54" spans="10:10">
      <c r="J54" s="86" t="s">
        <v>137</v>
      </c>
    </row>
    <row r="55" spans="10:10">
      <c r="J55" s="86" t="s">
        <v>138</v>
      </c>
    </row>
    <row r="56" spans="10:10">
      <c r="J56" s="86" t="s">
        <v>139</v>
      </c>
    </row>
    <row r="57" spans="10:10">
      <c r="J57" s="86" t="s">
        <v>140</v>
      </c>
    </row>
    <row r="58" spans="10:10">
      <c r="J58" s="86" t="s">
        <v>141</v>
      </c>
    </row>
    <row r="59" spans="10:10">
      <c r="J59" s="86" t="s">
        <v>142</v>
      </c>
    </row>
    <row r="60" spans="10:10">
      <c r="J60" s="86" t="s">
        <v>143</v>
      </c>
    </row>
    <row r="61" spans="10:10">
      <c r="J61" s="86" t="s">
        <v>144</v>
      </c>
    </row>
    <row r="62" spans="10:10">
      <c r="J62" s="86" t="s">
        <v>145</v>
      </c>
    </row>
    <row r="63" spans="10:10">
      <c r="J63" s="86" t="s">
        <v>146</v>
      </c>
    </row>
    <row r="64" spans="10:10">
      <c r="J64" s="86" t="s">
        <v>147</v>
      </c>
    </row>
    <row r="65" spans="10:10">
      <c r="J65" s="86" t="s">
        <v>148</v>
      </c>
    </row>
    <row r="66" spans="10:10">
      <c r="J66" s="86" t="s">
        <v>149</v>
      </c>
    </row>
    <row r="67" spans="10:10">
      <c r="J67" s="86" t="s">
        <v>150</v>
      </c>
    </row>
    <row r="68" spans="10:10">
      <c r="J68" s="86" t="s">
        <v>151</v>
      </c>
    </row>
    <row r="69" spans="10:10">
      <c r="J69" s="86" t="s">
        <v>152</v>
      </c>
    </row>
    <row r="70" spans="10:10">
      <c r="J70" s="86" t="s">
        <v>153</v>
      </c>
    </row>
    <row r="71" spans="10:10">
      <c r="J71" s="86" t="s">
        <v>154</v>
      </c>
    </row>
    <row r="72" spans="10:10">
      <c r="J72" s="86" t="s">
        <v>155</v>
      </c>
    </row>
    <row r="73" spans="10:10">
      <c r="J73" s="86" t="s">
        <v>156</v>
      </c>
    </row>
    <row r="74" spans="10:10">
      <c r="J74" s="86" t="s">
        <v>157</v>
      </c>
    </row>
    <row r="75" spans="10:10">
      <c r="J75" s="86" t="s">
        <v>158</v>
      </c>
    </row>
    <row r="76" spans="10:10">
      <c r="J76" s="86" t="s">
        <v>159</v>
      </c>
    </row>
    <row r="77" spans="10:10">
      <c r="J77" s="86" t="s">
        <v>160</v>
      </c>
    </row>
    <row r="78" spans="10:10">
      <c r="J78" s="86" t="s">
        <v>161</v>
      </c>
    </row>
    <row r="79" spans="10:10">
      <c r="J79" s="86" t="s">
        <v>162</v>
      </c>
    </row>
    <row r="80" spans="10:10">
      <c r="J80" s="86" t="s">
        <v>163</v>
      </c>
    </row>
    <row r="81" spans="10:10">
      <c r="J81" s="86" t="s">
        <v>164</v>
      </c>
    </row>
    <row r="82" spans="10:10">
      <c r="J82" s="86" t="s">
        <v>165</v>
      </c>
    </row>
    <row r="83" spans="10:10">
      <c r="J83" s="86" t="s">
        <v>166</v>
      </c>
    </row>
    <row r="84" spans="10:10">
      <c r="J84" s="86" t="s">
        <v>167</v>
      </c>
    </row>
    <row r="85" spans="10:10">
      <c r="J85" s="86" t="s">
        <v>168</v>
      </c>
    </row>
    <row r="86" spans="10:10">
      <c r="J86" s="86" t="s">
        <v>169</v>
      </c>
    </row>
    <row r="87" spans="10:10">
      <c r="J87" s="86" t="s">
        <v>170</v>
      </c>
    </row>
    <row r="88" spans="10:10">
      <c r="J88" s="86" t="s">
        <v>171</v>
      </c>
    </row>
    <row r="89" spans="10:10">
      <c r="J89" s="86" t="s">
        <v>172</v>
      </c>
    </row>
    <row r="90" spans="10:10">
      <c r="J90" s="86" t="s">
        <v>173</v>
      </c>
    </row>
    <row r="91" spans="10:10">
      <c r="J91" s="86" t="s">
        <v>174</v>
      </c>
    </row>
    <row r="92" spans="10:10">
      <c r="J92" s="86" t="s">
        <v>175</v>
      </c>
    </row>
    <row r="93" spans="10:10">
      <c r="J93" s="86" t="s">
        <v>176</v>
      </c>
    </row>
    <row r="94" spans="10:10">
      <c r="J94" s="86" t="s">
        <v>177</v>
      </c>
    </row>
    <row r="95" spans="10:10">
      <c r="J95" s="86" t="s">
        <v>178</v>
      </c>
    </row>
    <row r="96" spans="10:10">
      <c r="J96" s="86" t="s">
        <v>179</v>
      </c>
    </row>
    <row r="97" spans="10:10">
      <c r="J97" s="86" t="s">
        <v>180</v>
      </c>
    </row>
    <row r="98" spans="10:10">
      <c r="J98" s="86" t="s">
        <v>181</v>
      </c>
    </row>
    <row r="99" spans="10:10">
      <c r="J99" s="86" t="s">
        <v>182</v>
      </c>
    </row>
    <row r="100" spans="10:10">
      <c r="J100" s="86" t="s">
        <v>183</v>
      </c>
    </row>
    <row r="101" spans="10:10">
      <c r="J101" s="86" t="s">
        <v>184</v>
      </c>
    </row>
    <row r="102" spans="10:10">
      <c r="J102" s="86" t="s">
        <v>185</v>
      </c>
    </row>
    <row r="103" spans="10:10">
      <c r="J103" s="86" t="s">
        <v>186</v>
      </c>
    </row>
    <row r="104" spans="10:10">
      <c r="J104" s="86" t="s">
        <v>187</v>
      </c>
    </row>
    <row r="105" spans="10:10">
      <c r="J105" s="86" t="s">
        <v>188</v>
      </c>
    </row>
    <row r="106" spans="10:10">
      <c r="J106" s="86" t="s">
        <v>189</v>
      </c>
    </row>
    <row r="107" spans="10:10">
      <c r="J107" s="86" t="s">
        <v>190</v>
      </c>
    </row>
    <row r="108" spans="10:10">
      <c r="J108" s="86" t="s">
        <v>191</v>
      </c>
    </row>
    <row r="109" spans="10:10">
      <c r="J109" s="86" t="s">
        <v>192</v>
      </c>
    </row>
    <row r="110" spans="10:10">
      <c r="J110" s="86" t="s">
        <v>193</v>
      </c>
    </row>
    <row r="111" spans="10:10">
      <c r="J111" s="86" t="s">
        <v>59</v>
      </c>
    </row>
    <row r="112" spans="10:10">
      <c r="J112" s="86" t="s">
        <v>194</v>
      </c>
    </row>
    <row r="113" spans="10:10">
      <c r="J113" s="86" t="s">
        <v>195</v>
      </c>
    </row>
    <row r="114" spans="10:10">
      <c r="J114" s="86" t="s">
        <v>196</v>
      </c>
    </row>
    <row r="115" spans="10:10">
      <c r="J115" s="86" t="s">
        <v>197</v>
      </c>
    </row>
    <row r="116" spans="10:10">
      <c r="J116" s="86" t="s">
        <v>198</v>
      </c>
    </row>
    <row r="117" spans="10:10">
      <c r="J117" s="86" t="s">
        <v>199</v>
      </c>
    </row>
    <row r="118" spans="10:10">
      <c r="J118" s="86" t="s">
        <v>200</v>
      </c>
    </row>
    <row r="119" spans="10:10">
      <c r="J119" s="86" t="s">
        <v>201</v>
      </c>
    </row>
    <row r="120" spans="10:10">
      <c r="J120" s="86" t="s">
        <v>202</v>
      </c>
    </row>
    <row r="121" spans="10:10">
      <c r="J121" s="86" t="s">
        <v>203</v>
      </c>
    </row>
    <row r="122" spans="10:10">
      <c r="J122" s="86" t="s">
        <v>204</v>
      </c>
    </row>
    <row r="123" spans="10:10">
      <c r="J123" s="86" t="s">
        <v>205</v>
      </c>
    </row>
    <row r="124" spans="10:10">
      <c r="J124" s="86" t="s">
        <v>206</v>
      </c>
    </row>
    <row r="125" spans="10:10">
      <c r="J125" s="86" t="s">
        <v>207</v>
      </c>
    </row>
    <row r="126" spans="10:10">
      <c r="J126" s="86" t="s">
        <v>208</v>
      </c>
    </row>
    <row r="127" spans="10:10">
      <c r="J127" s="86" t="s">
        <v>209</v>
      </c>
    </row>
    <row r="128" spans="10:10">
      <c r="J128" s="86" t="s">
        <v>210</v>
      </c>
    </row>
    <row r="129" spans="10:10">
      <c r="J129" s="86" t="s">
        <v>211</v>
      </c>
    </row>
    <row r="130" spans="10:10">
      <c r="J130" s="86" t="s">
        <v>212</v>
      </c>
    </row>
    <row r="131" spans="10:10">
      <c r="J131" s="86" t="s">
        <v>213</v>
      </c>
    </row>
    <row r="132" spans="10:10">
      <c r="J132" s="86" t="s">
        <v>214</v>
      </c>
    </row>
    <row r="133" spans="10:10">
      <c r="J133" s="86" t="s">
        <v>215</v>
      </c>
    </row>
    <row r="134" spans="10:10">
      <c r="J134" s="86" t="s">
        <v>216</v>
      </c>
    </row>
    <row r="135" spans="10:10">
      <c r="J135" s="86" t="s">
        <v>217</v>
      </c>
    </row>
    <row r="136" spans="10:10">
      <c r="J136" s="86" t="s">
        <v>218</v>
      </c>
    </row>
    <row r="137" spans="10:10">
      <c r="J137" s="86" t="s">
        <v>219</v>
      </c>
    </row>
    <row r="138" spans="10:10">
      <c r="J138" s="86" t="s">
        <v>220</v>
      </c>
    </row>
    <row r="139" spans="10:10">
      <c r="J139" s="86" t="s">
        <v>221</v>
      </c>
    </row>
    <row r="140" spans="10:10">
      <c r="J140" s="86" t="s">
        <v>222</v>
      </c>
    </row>
    <row r="141" spans="10:10">
      <c r="J141" s="86" t="s">
        <v>223</v>
      </c>
    </row>
    <row r="142" spans="10:10">
      <c r="J142" s="86" t="s">
        <v>224</v>
      </c>
    </row>
    <row r="143" spans="10:10">
      <c r="J143" s="86" t="s">
        <v>225</v>
      </c>
    </row>
    <row r="144" spans="10:10">
      <c r="J144" s="40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4"/>
  <sheetViews>
    <sheetView showGridLines="0" zoomScale="85" zoomScaleNormal="85" zoomScaleSheetLayoutView="40" workbookViewId="0">
      <pane ySplit="2" topLeftCell="A36" activePane="bottomLeft" state="frozen"/>
      <selection activeCell="E22" sqref="E22"/>
      <selection pane="bottomLeft" activeCell="B33" sqref="B33:D33"/>
    </sheetView>
  </sheetViews>
  <sheetFormatPr defaultColWidth="11" defaultRowHeight="15"/>
  <cols>
    <col min="1" max="1" width="2.75" customWidth="1"/>
    <col min="2" max="2" width="21.375" customWidth="1"/>
    <col min="3" max="3" width="11.375" customWidth="1"/>
    <col min="4" max="4" width="11.125" customWidth="1"/>
    <col min="5" max="5" width="16.375" customWidth="1"/>
    <col min="6" max="6" width="15.75" customWidth="1"/>
    <col min="7" max="7" width="37.25" customWidth="1"/>
    <col min="8" max="8" width="17.25" customWidth="1"/>
    <col min="9" max="9" width="71" customWidth="1"/>
    <col min="10" max="10" width="14.125" customWidth="1"/>
    <col min="11" max="11" width="16" customWidth="1"/>
    <col min="12" max="12" width="13.125" customWidth="1"/>
    <col min="13" max="13" width="49.375" customWidth="1"/>
    <col min="14" max="14" width="2.625" style="36" customWidth="1"/>
    <col min="15" max="15" width="3" style="36" customWidth="1"/>
    <col min="16" max="16" width="2.625" customWidth="1"/>
    <col min="17" max="17" width="16.125" customWidth="1"/>
    <col min="18" max="18" width="13.75" customWidth="1"/>
    <col min="19" max="19" width="11.375" customWidth="1"/>
    <col min="20" max="20" width="14.875" customWidth="1"/>
    <col min="21" max="21" width="16" customWidth="1"/>
    <col min="22" max="22" width="11.375" hidden="1" customWidth="1"/>
    <col min="23" max="23" width="15.625" customWidth="1"/>
    <col min="24" max="24" width="11.375" customWidth="1"/>
    <col min="25" max="25" width="2.25" customWidth="1"/>
    <col min="26" max="26" width="1.125" customWidth="1"/>
    <col min="27" max="27" width="3.25" customWidth="1"/>
    <col min="28" max="28" width="17" customWidth="1"/>
    <col min="29" max="29" width="15" customWidth="1"/>
    <col min="30" max="30" width="11.375" customWidth="1"/>
    <col min="31" max="31" width="13.625" customWidth="1"/>
    <col min="32" max="32" width="16.875" customWidth="1"/>
    <col min="33" max="33" width="11.375" customWidth="1"/>
    <col min="34" max="34" width="2" customWidth="1"/>
    <col min="35" max="35" width="3.25" customWidth="1"/>
    <col min="36" max="36" width="2.25" customWidth="1"/>
    <col min="37" max="37" width="40.75" customWidth="1"/>
    <col min="38" max="38" width="15.375" customWidth="1"/>
  </cols>
  <sheetData>
    <row r="1" spans="1:15" ht="34.5" customHeight="1">
      <c r="A1" s="3"/>
      <c r="B1" s="3"/>
      <c r="C1" s="3"/>
      <c r="D1" s="3"/>
      <c r="E1" s="3"/>
      <c r="F1" s="3"/>
      <c r="G1" s="3"/>
      <c r="H1" s="3"/>
      <c r="I1" s="3"/>
      <c r="J1" s="3"/>
      <c r="K1" s="3"/>
      <c r="L1" s="3"/>
      <c r="M1" s="3"/>
    </row>
    <row r="2" spans="1:15" ht="36" customHeight="1">
      <c r="A2" s="3"/>
      <c r="B2" s="665" t="str">
        <f>+"Dashboard: "&amp;" "&amp;+IF('Introducerea datelor'!C4="Please Select","",'Introducerea datelor'!C4&amp;" - ")&amp;+IF('Introducerea datelor'!G6="Please Select","",'Introducerea datelor'!G6)</f>
        <v>Dashboard:  Moldova - HIV / AIDS</v>
      </c>
      <c r="C2" s="665"/>
      <c r="D2" s="665"/>
      <c r="E2" s="665"/>
      <c r="F2" s="665"/>
      <c r="G2" s="665"/>
      <c r="H2" s="665"/>
      <c r="I2" s="665"/>
      <c r="J2" s="665"/>
      <c r="K2" s="665"/>
      <c r="L2" s="665"/>
      <c r="M2" s="665"/>
    </row>
    <row r="3" spans="1:15" ht="15.75" customHeight="1">
      <c r="A3" s="3"/>
      <c r="B3" s="218"/>
      <c r="C3" s="218"/>
      <c r="D3" s="218"/>
      <c r="E3" s="218"/>
      <c r="F3" s="218"/>
      <c r="G3" s="218"/>
      <c r="H3" s="218"/>
      <c r="I3" s="218"/>
      <c r="J3" s="218"/>
      <c r="K3" s="219"/>
      <c r="L3" s="219"/>
      <c r="M3" s="3"/>
    </row>
    <row r="5" spans="1:15" ht="23.25">
      <c r="B5" s="644" t="s">
        <v>242</v>
      </c>
      <c r="C5" s="644"/>
      <c r="D5" s="644"/>
      <c r="E5" s="644"/>
      <c r="F5" s="644"/>
      <c r="G5" s="644"/>
      <c r="H5" s="644"/>
      <c r="I5" s="644"/>
      <c r="J5" s="644"/>
      <c r="K5" s="644"/>
      <c r="L5" s="644"/>
      <c r="M5" s="644"/>
      <c r="N5" s="644"/>
      <c r="O5" s="644"/>
    </row>
    <row r="7" spans="1:15" ht="21">
      <c r="B7" s="666" t="s">
        <v>231</v>
      </c>
      <c r="C7" s="667"/>
      <c r="D7" s="668"/>
      <c r="E7" s="666" t="s">
        <v>232</v>
      </c>
      <c r="F7" s="667"/>
      <c r="G7" s="667"/>
      <c r="H7" s="667"/>
      <c r="I7" s="668"/>
      <c r="J7" s="666" t="s">
        <v>233</v>
      </c>
      <c r="K7" s="667"/>
      <c r="L7" s="668"/>
      <c r="M7" s="666" t="s">
        <v>271</v>
      </c>
      <c r="N7" s="667"/>
      <c r="O7" s="668"/>
    </row>
    <row r="8" spans="1:15" ht="92.25" customHeight="1">
      <c r="B8" s="586" t="str">
        <f>+'Introducerea datelor'!B27</f>
        <v>F1: Bugetul și debursările de către Fondul Global</v>
      </c>
      <c r="C8" s="677"/>
      <c r="D8" s="678"/>
      <c r="E8" s="669" t="s">
        <v>293</v>
      </c>
      <c r="F8" s="670"/>
      <c r="G8" s="670"/>
      <c r="H8" s="670"/>
      <c r="I8" s="671"/>
      <c r="J8" s="606" t="s">
        <v>272</v>
      </c>
      <c r="K8" s="607"/>
      <c r="L8" s="608"/>
      <c r="M8" s="606" t="s">
        <v>294</v>
      </c>
      <c r="N8" s="607"/>
      <c r="O8" s="608"/>
    </row>
    <row r="9" spans="1:15" ht="117.75" customHeight="1">
      <c r="B9" s="586" t="str">
        <f>+'Introducerea datelor'!B36</f>
        <v>F2: Bugetul și cheltuielile actuale după Obiectivele Grantului</v>
      </c>
      <c r="C9" s="677"/>
      <c r="D9" s="678"/>
      <c r="E9" s="621" t="s">
        <v>280</v>
      </c>
      <c r="F9" s="622"/>
      <c r="G9" s="622"/>
      <c r="H9" s="622"/>
      <c r="I9" s="623"/>
      <c r="J9" s="606" t="s">
        <v>274</v>
      </c>
      <c r="K9" s="607"/>
      <c r="L9" s="608"/>
      <c r="M9" s="606" t="s">
        <v>294</v>
      </c>
      <c r="N9" s="607"/>
      <c r="O9" s="608"/>
    </row>
    <row r="10" spans="1:15" ht="174.75" customHeight="1">
      <c r="B10" s="672" t="str">
        <f>+'Introducerea datelor'!B49</f>
        <v>F3: Debursări și cheltuieli</v>
      </c>
      <c r="C10" s="675"/>
      <c r="D10" s="676"/>
      <c r="E10" s="621" t="s">
        <v>295</v>
      </c>
      <c r="F10" s="622"/>
      <c r="G10" s="622"/>
      <c r="H10" s="622"/>
      <c r="I10" s="623"/>
      <c r="J10" s="606" t="s">
        <v>281</v>
      </c>
      <c r="K10" s="607"/>
      <c r="L10" s="608"/>
      <c r="M10" s="606" t="s">
        <v>273</v>
      </c>
      <c r="N10" s="607"/>
      <c r="O10" s="608"/>
    </row>
    <row r="11" spans="1:15" ht="227.25" customHeight="1">
      <c r="B11" s="672" t="str">
        <f>+'Introducerea datelor'!B58</f>
        <v xml:space="preserve">F4: Ultima perioadă de raportare și debursare a RP </v>
      </c>
      <c r="C11" s="673"/>
      <c r="D11" s="674"/>
      <c r="E11" s="621" t="s">
        <v>298</v>
      </c>
      <c r="F11" s="622"/>
      <c r="G11" s="622"/>
      <c r="H11" s="622"/>
      <c r="I11" s="623"/>
      <c r="J11" s="606" t="s">
        <v>282</v>
      </c>
      <c r="K11" s="607"/>
      <c r="L11" s="608"/>
      <c r="M11" s="606" t="s">
        <v>236</v>
      </c>
      <c r="N11" s="607"/>
      <c r="O11" s="608"/>
    </row>
    <row r="12" spans="1:15" s="19" customFormat="1">
      <c r="B12" s="679"/>
      <c r="C12" s="679"/>
      <c r="D12" s="679"/>
      <c r="E12" s="680"/>
      <c r="F12" s="680"/>
      <c r="G12" s="680"/>
      <c r="H12" s="680"/>
      <c r="I12" s="680"/>
      <c r="J12" s="680"/>
      <c r="K12" s="680"/>
      <c r="L12" s="680"/>
      <c r="M12" s="680"/>
      <c r="N12" s="680"/>
      <c r="O12" s="680"/>
    </row>
    <row r="13" spans="1:15" s="19" customFormat="1">
      <c r="B13" s="631"/>
      <c r="C13" s="631"/>
      <c r="D13" s="631"/>
      <c r="E13" s="632"/>
      <c r="F13" s="632"/>
      <c r="G13" s="632"/>
      <c r="H13" s="632"/>
      <c r="I13" s="632"/>
      <c r="J13" s="632"/>
      <c r="K13" s="632"/>
      <c r="L13" s="632"/>
      <c r="M13" s="632"/>
      <c r="N13" s="632"/>
      <c r="O13" s="632"/>
    </row>
    <row r="14" spans="1:15" s="19" customFormat="1">
      <c r="B14" s="631"/>
      <c r="C14" s="631"/>
      <c r="D14" s="631"/>
      <c r="E14" s="632"/>
      <c r="F14" s="632"/>
      <c r="G14" s="632"/>
      <c r="H14" s="632"/>
      <c r="I14" s="632"/>
      <c r="J14" s="632"/>
      <c r="K14" s="632"/>
      <c r="L14" s="632"/>
      <c r="M14" s="632"/>
      <c r="N14" s="632"/>
      <c r="O14" s="632"/>
    </row>
    <row r="15" spans="1:15" s="19" customFormat="1">
      <c r="B15" s="631"/>
      <c r="C15" s="631"/>
      <c r="D15" s="631"/>
      <c r="E15" s="632"/>
      <c r="F15" s="632"/>
      <c r="G15" s="632"/>
      <c r="H15" s="632"/>
      <c r="I15" s="632"/>
      <c r="J15" s="632"/>
      <c r="K15" s="632"/>
      <c r="L15" s="632"/>
      <c r="M15" s="632"/>
      <c r="N15" s="632"/>
      <c r="O15" s="632"/>
    </row>
    <row r="16" spans="1:15" ht="23.25">
      <c r="B16" s="644" t="s">
        <v>243</v>
      </c>
      <c r="C16" s="644"/>
      <c r="D16" s="644"/>
      <c r="E16" s="644"/>
      <c r="F16" s="644"/>
      <c r="G16" s="644"/>
      <c r="H16" s="644"/>
      <c r="I16" s="644"/>
      <c r="J16" s="644"/>
      <c r="K16" s="644"/>
      <c r="L16" s="644"/>
      <c r="M16" s="644"/>
      <c r="N16" s="644"/>
      <c r="O16" s="644"/>
    </row>
    <row r="18" spans="1:15" ht="21">
      <c r="B18" s="681" t="s">
        <v>231</v>
      </c>
      <c r="C18" s="682"/>
      <c r="D18" s="683"/>
      <c r="E18" s="681" t="s">
        <v>232</v>
      </c>
      <c r="F18" s="682"/>
      <c r="G18" s="682"/>
      <c r="H18" s="682"/>
      <c r="I18" s="683"/>
      <c r="J18" s="681" t="s">
        <v>233</v>
      </c>
      <c r="K18" s="682"/>
      <c r="L18" s="683"/>
      <c r="M18" s="681" t="s">
        <v>234</v>
      </c>
      <c r="N18" s="682"/>
      <c r="O18" s="683"/>
    </row>
    <row r="19" spans="1:15" ht="114" customHeight="1">
      <c r="B19" s="586" t="str">
        <f>+'Introducerea datelor'!B69</f>
        <v xml:space="preserve">M1: Statutul Condițiilor Precedente și a Acțiunilor Prestabilite în Timp </v>
      </c>
      <c r="C19" s="587"/>
      <c r="D19" s="588"/>
      <c r="E19" s="621" t="s">
        <v>241</v>
      </c>
      <c r="F19" s="622"/>
      <c r="G19" s="622"/>
      <c r="H19" s="622"/>
      <c r="I19" s="623"/>
      <c r="J19" s="606" t="s">
        <v>275</v>
      </c>
      <c r="K19" s="607"/>
      <c r="L19" s="608"/>
      <c r="M19" s="606" t="s">
        <v>276</v>
      </c>
      <c r="N19" s="607"/>
      <c r="O19" s="608"/>
    </row>
    <row r="20" spans="1:15" ht="102.75" customHeight="1">
      <c r="B20" s="586" t="str">
        <f>+'Introducerea datelor'!B76</f>
        <v xml:space="preserve">M2: Statutul pozițiilor cheie ale RP </v>
      </c>
      <c r="C20" s="587"/>
      <c r="D20" s="588"/>
      <c r="E20" s="621" t="s">
        <v>296</v>
      </c>
      <c r="F20" s="622"/>
      <c r="G20" s="622"/>
      <c r="H20" s="622"/>
      <c r="I20" s="623"/>
      <c r="J20" s="606" t="s">
        <v>238</v>
      </c>
      <c r="K20" s="607"/>
      <c r="L20" s="608"/>
      <c r="M20" s="606" t="s">
        <v>237</v>
      </c>
      <c r="N20" s="607"/>
      <c r="O20" s="608"/>
    </row>
    <row r="21" spans="1:15" ht="111.75" customHeight="1">
      <c r="B21" s="586" t="str">
        <f>+'Introducerea datelor'!B81</f>
        <v xml:space="preserve">M3: Aranjamente contractuale (SR) </v>
      </c>
      <c r="C21" s="587"/>
      <c r="D21" s="588"/>
      <c r="E21" s="624" t="s">
        <v>0</v>
      </c>
      <c r="F21" s="622"/>
      <c r="G21" s="622"/>
      <c r="H21" s="622"/>
      <c r="I21" s="623"/>
      <c r="J21" s="606" t="s">
        <v>277</v>
      </c>
      <c r="K21" s="607"/>
      <c r="L21" s="608"/>
      <c r="M21" s="606" t="s">
        <v>278</v>
      </c>
      <c r="N21" s="607"/>
      <c r="O21" s="608"/>
    </row>
    <row r="22" spans="1:15" ht="74.25" customHeight="1">
      <c r="B22" s="586" t="str">
        <f>+'Introducerea datelor'!B86</f>
        <v>M4: Numărul rapoartelor complete recepționate la timp</v>
      </c>
      <c r="C22" s="587"/>
      <c r="D22" s="588"/>
      <c r="E22" s="624" t="s">
        <v>299</v>
      </c>
      <c r="F22" s="633"/>
      <c r="G22" s="633"/>
      <c r="H22" s="633"/>
      <c r="I22" s="634"/>
      <c r="J22" s="606" t="s">
        <v>283</v>
      </c>
      <c r="K22" s="607"/>
      <c r="L22" s="608"/>
      <c r="M22" s="606" t="s">
        <v>239</v>
      </c>
      <c r="N22" s="607"/>
      <c r="O22" s="608"/>
    </row>
    <row r="23" spans="1:15" ht="119.25" customHeight="1">
      <c r="B23" s="625" t="str">
        <f>+'Introducerea datelor'!B92</f>
        <v xml:space="preserve">M5: Bugetul și Procurarea produselor medicale, echipamentului medical, medicamentelor și produselor farmaceutice </v>
      </c>
      <c r="C23" s="626"/>
      <c r="D23" s="627"/>
      <c r="E23" s="635" t="s">
        <v>284</v>
      </c>
      <c r="F23" s="636"/>
      <c r="G23" s="636"/>
      <c r="H23" s="636"/>
      <c r="I23" s="637"/>
      <c r="J23" s="615" t="s">
        <v>235</v>
      </c>
      <c r="K23" s="616"/>
      <c r="L23" s="617"/>
      <c r="M23" s="615" t="s">
        <v>240</v>
      </c>
      <c r="N23" s="616"/>
      <c r="O23" s="617"/>
    </row>
    <row r="24" spans="1:15" ht="66.75" customHeight="1">
      <c r="B24" s="628"/>
      <c r="C24" s="629"/>
      <c r="D24" s="630"/>
      <c r="E24" s="638" t="s">
        <v>279</v>
      </c>
      <c r="F24" s="639"/>
      <c r="G24" s="639"/>
      <c r="H24" s="639"/>
      <c r="I24" s="640"/>
      <c r="J24" s="618"/>
      <c r="K24" s="619"/>
      <c r="L24" s="620"/>
      <c r="M24" s="618"/>
      <c r="N24" s="619"/>
      <c r="O24" s="620"/>
    </row>
    <row r="25" spans="1:15" ht="145.5" customHeight="1">
      <c r="B25" s="586" t="str">
        <f>+'Introducerea datelor'!B105</f>
        <v>M6: Diferență între stocul curent și stocul de siguranță</v>
      </c>
      <c r="C25" s="587"/>
      <c r="D25" s="588"/>
      <c r="E25" s="595" t="s">
        <v>300</v>
      </c>
      <c r="F25" s="596"/>
      <c r="G25" s="596"/>
      <c r="H25" s="596"/>
      <c r="I25" s="597"/>
      <c r="J25" s="612" t="s">
        <v>285</v>
      </c>
      <c r="K25" s="613"/>
      <c r="L25" s="614"/>
      <c r="M25" s="609" t="s">
        <v>286</v>
      </c>
      <c r="N25" s="610"/>
      <c r="O25" s="611"/>
    </row>
    <row r="29" spans="1:15" ht="18.75">
      <c r="B29" s="249"/>
    </row>
    <row r="30" spans="1:15" ht="23.25">
      <c r="B30" s="644" t="s">
        <v>434</v>
      </c>
      <c r="C30" s="644"/>
      <c r="D30" s="644"/>
      <c r="E30" s="644"/>
      <c r="F30" s="644"/>
      <c r="G30" s="644"/>
      <c r="H30" s="644"/>
      <c r="I30" s="644"/>
      <c r="J30" s="644"/>
      <c r="K30" s="644"/>
      <c r="L30" s="644"/>
      <c r="M30" s="644"/>
      <c r="N30" s="644"/>
      <c r="O30" s="644"/>
    </row>
    <row r="32" spans="1:15" ht="28.5" customHeight="1">
      <c r="A32" s="243"/>
      <c r="B32" s="645" t="s">
        <v>270</v>
      </c>
      <c r="C32" s="646"/>
      <c r="D32" s="647"/>
      <c r="E32" s="648" t="s">
        <v>435</v>
      </c>
      <c r="F32" s="649"/>
      <c r="G32" s="649"/>
      <c r="H32" s="649"/>
      <c r="I32" s="650"/>
      <c r="J32" s="648" t="s">
        <v>304</v>
      </c>
      <c r="K32" s="649"/>
      <c r="L32" s="650"/>
      <c r="M32" s="648" t="s">
        <v>307</v>
      </c>
      <c r="N32" s="649"/>
      <c r="O32" s="650"/>
    </row>
    <row r="33" spans="1:15" ht="120" customHeight="1">
      <c r="A33" s="244"/>
      <c r="B33" s="574" t="s">
        <v>415</v>
      </c>
      <c r="C33" s="575"/>
      <c r="D33" s="576"/>
      <c r="E33" s="592" t="s">
        <v>417</v>
      </c>
      <c r="F33" s="593"/>
      <c r="G33" s="593"/>
      <c r="H33" s="593"/>
      <c r="I33" s="594"/>
      <c r="J33" s="580" t="s">
        <v>423</v>
      </c>
      <c r="K33" s="581"/>
      <c r="L33" s="582"/>
      <c r="M33" s="571" t="s">
        <v>421</v>
      </c>
      <c r="N33" s="584"/>
      <c r="O33" s="585"/>
    </row>
    <row r="34" spans="1:15" ht="9.75" customHeight="1">
      <c r="A34" s="244"/>
      <c r="B34" s="601"/>
      <c r="C34" s="602"/>
      <c r="D34" s="603"/>
      <c r="E34" s="457"/>
      <c r="F34" s="458"/>
      <c r="G34" s="458"/>
      <c r="H34" s="458"/>
      <c r="I34" s="459"/>
      <c r="J34" s="460"/>
      <c r="K34" s="461"/>
      <c r="L34" s="462"/>
      <c r="M34" s="460"/>
      <c r="N34" s="461"/>
      <c r="O34" s="462"/>
    </row>
    <row r="35" spans="1:15" ht="122.25" customHeight="1">
      <c r="A35" s="244"/>
      <c r="B35" s="574" t="s">
        <v>416</v>
      </c>
      <c r="C35" s="575"/>
      <c r="D35" s="576"/>
      <c r="E35" s="592" t="s">
        <v>418</v>
      </c>
      <c r="F35" s="593"/>
      <c r="G35" s="593"/>
      <c r="H35" s="593"/>
      <c r="I35" s="594"/>
      <c r="J35" s="580" t="s">
        <v>424</v>
      </c>
      <c r="K35" s="581"/>
      <c r="L35" s="582"/>
      <c r="M35" s="571" t="s">
        <v>420</v>
      </c>
      <c r="N35" s="584"/>
      <c r="O35" s="585"/>
    </row>
    <row r="36" spans="1:15" ht="111" customHeight="1">
      <c r="A36" s="244"/>
      <c r="B36" s="604" t="s">
        <v>414</v>
      </c>
      <c r="C36" s="569"/>
      <c r="D36" s="570"/>
      <c r="E36" s="605" t="s">
        <v>419</v>
      </c>
      <c r="F36" s="593"/>
      <c r="G36" s="593"/>
      <c r="H36" s="593"/>
      <c r="I36" s="594"/>
      <c r="J36" s="580" t="s">
        <v>424</v>
      </c>
      <c r="K36" s="581"/>
      <c r="L36" s="582"/>
      <c r="M36" s="571" t="s">
        <v>422</v>
      </c>
      <c r="N36" s="584"/>
      <c r="O36" s="585"/>
    </row>
    <row r="37" spans="1:15" ht="91.5" customHeight="1">
      <c r="A37" s="244"/>
      <c r="B37" s="574" t="s">
        <v>425</v>
      </c>
      <c r="C37" s="575"/>
      <c r="D37" s="576"/>
      <c r="E37" s="589" t="s">
        <v>426</v>
      </c>
      <c r="F37" s="590"/>
      <c r="G37" s="590"/>
      <c r="H37" s="590"/>
      <c r="I37" s="591"/>
      <c r="J37" s="580" t="s">
        <v>423</v>
      </c>
      <c r="K37" s="581"/>
      <c r="L37" s="582"/>
      <c r="M37" s="468" t="s">
        <v>427</v>
      </c>
      <c r="N37" s="463"/>
      <c r="O37" s="464"/>
    </row>
    <row r="38" spans="1:15" ht="96" customHeight="1">
      <c r="A38" s="244"/>
      <c r="B38" s="574" t="s">
        <v>428</v>
      </c>
      <c r="C38" s="575"/>
      <c r="D38" s="576"/>
      <c r="E38" s="598" t="s">
        <v>429</v>
      </c>
      <c r="F38" s="599"/>
      <c r="G38" s="599"/>
      <c r="H38" s="599"/>
      <c r="I38" s="600"/>
      <c r="J38" s="580" t="s">
        <v>423</v>
      </c>
      <c r="K38" s="581"/>
      <c r="L38" s="582"/>
      <c r="M38" s="571" t="s">
        <v>430</v>
      </c>
      <c r="N38" s="584"/>
      <c r="O38" s="585"/>
    </row>
    <row r="39" spans="1:15" ht="108" customHeight="1">
      <c r="A39" s="244"/>
      <c r="B39" s="574" t="s">
        <v>431</v>
      </c>
      <c r="C39" s="575"/>
      <c r="D39" s="576"/>
      <c r="E39" s="592" t="s">
        <v>432</v>
      </c>
      <c r="F39" s="593"/>
      <c r="G39" s="593"/>
      <c r="H39" s="593"/>
      <c r="I39" s="594"/>
      <c r="J39" s="580" t="s">
        <v>423</v>
      </c>
      <c r="K39" s="581"/>
      <c r="L39" s="582"/>
      <c r="M39" s="589" t="s">
        <v>433</v>
      </c>
      <c r="N39" s="584"/>
      <c r="O39" s="585"/>
    </row>
    <row r="40" spans="1:15" ht="113.25" hidden="1" customHeight="1">
      <c r="A40" s="244"/>
      <c r="B40" s="574"/>
      <c r="C40" s="575"/>
      <c r="D40" s="576"/>
      <c r="E40" s="571"/>
      <c r="F40" s="584"/>
      <c r="G40" s="584"/>
      <c r="H40" s="584"/>
      <c r="I40" s="585"/>
      <c r="J40" s="580"/>
      <c r="K40" s="581"/>
      <c r="L40" s="582"/>
      <c r="M40" s="468"/>
      <c r="N40" s="463"/>
      <c r="O40" s="464"/>
    </row>
    <row r="41" spans="1:15" ht="109.5" hidden="1" customHeight="1">
      <c r="A41" s="244"/>
      <c r="B41" s="574"/>
      <c r="C41" s="575"/>
      <c r="D41" s="576"/>
      <c r="E41" s="577"/>
      <c r="F41" s="578"/>
      <c r="G41" s="578"/>
      <c r="H41" s="578"/>
      <c r="I41" s="579"/>
      <c r="J41" s="580"/>
      <c r="K41" s="581"/>
      <c r="L41" s="582"/>
      <c r="M41" s="583"/>
      <c r="N41" s="584"/>
      <c r="O41" s="585"/>
    </row>
    <row r="43" spans="1:15" ht="84" hidden="1" customHeight="1">
      <c r="A43" s="244"/>
      <c r="B43" s="568" t="s">
        <v>311</v>
      </c>
      <c r="C43" s="660"/>
      <c r="D43" s="661"/>
      <c r="E43" s="571" t="s">
        <v>313</v>
      </c>
      <c r="F43" s="572"/>
      <c r="G43" s="572"/>
      <c r="H43" s="572"/>
      <c r="I43" s="573"/>
      <c r="J43" s="580" t="s">
        <v>305</v>
      </c>
      <c r="K43" s="581"/>
      <c r="L43" s="582"/>
      <c r="M43" s="571" t="s">
        <v>316</v>
      </c>
      <c r="N43" s="572"/>
      <c r="O43" s="573"/>
    </row>
    <row r="44" spans="1:15" ht="88.5" hidden="1" customHeight="1">
      <c r="A44" s="244"/>
      <c r="B44" s="568" t="s">
        <v>312</v>
      </c>
      <c r="C44" s="569"/>
      <c r="D44" s="570"/>
      <c r="E44" s="592" t="s">
        <v>314</v>
      </c>
      <c r="F44" s="593"/>
      <c r="G44" s="593"/>
      <c r="H44" s="593"/>
      <c r="I44" s="594"/>
      <c r="J44" s="580" t="s">
        <v>306</v>
      </c>
      <c r="K44" s="581"/>
      <c r="L44" s="582"/>
      <c r="M44" s="468" t="s">
        <v>315</v>
      </c>
      <c r="N44" s="463"/>
      <c r="O44" s="464"/>
    </row>
    <row r="45" spans="1:15" ht="64.5" hidden="1" customHeight="1">
      <c r="A45" s="244"/>
      <c r="B45" s="565"/>
      <c r="C45" s="566"/>
      <c r="D45" s="567"/>
      <c r="E45" s="562"/>
      <c r="F45" s="563"/>
      <c r="G45" s="563"/>
      <c r="H45" s="563"/>
      <c r="I45" s="564"/>
      <c r="J45" s="559"/>
      <c r="K45" s="560"/>
      <c r="L45" s="561"/>
      <c r="M45" s="257"/>
      <c r="N45" s="258"/>
      <c r="O45" s="259"/>
    </row>
    <row r="46" spans="1:15" ht="49.5" hidden="1" customHeight="1">
      <c r="B46" s="565"/>
      <c r="C46" s="566"/>
      <c r="D46" s="567"/>
      <c r="E46" s="562"/>
      <c r="F46" s="563"/>
      <c r="G46" s="563"/>
      <c r="H46" s="563"/>
      <c r="I46" s="564"/>
      <c r="J46" s="559"/>
      <c r="K46" s="560"/>
      <c r="L46" s="561"/>
      <c r="M46" s="257"/>
      <c r="N46" s="258"/>
      <c r="O46" s="259"/>
    </row>
    <row r="47" spans="1:15" ht="30" hidden="1" customHeight="1">
      <c r="B47" s="662"/>
      <c r="C47" s="663"/>
      <c r="D47" s="664"/>
      <c r="E47" s="245"/>
      <c r="F47" s="246"/>
      <c r="G47" s="246"/>
      <c r="H47" s="246"/>
      <c r="I47" s="247"/>
      <c r="J47" s="257"/>
      <c r="K47" s="258"/>
      <c r="L47" s="259"/>
      <c r="M47" s="257"/>
      <c r="N47" s="258"/>
      <c r="O47" s="259"/>
    </row>
    <row r="48" spans="1:15" ht="44.25" hidden="1" customHeight="1">
      <c r="B48" s="654" t="s">
        <v>249</v>
      </c>
      <c r="C48" s="655"/>
      <c r="D48" s="656"/>
      <c r="E48" s="657" t="s">
        <v>232</v>
      </c>
      <c r="F48" s="658"/>
      <c r="G48" s="658"/>
      <c r="H48" s="658"/>
      <c r="I48" s="659"/>
      <c r="J48" s="657" t="s">
        <v>233</v>
      </c>
      <c r="K48" s="658"/>
      <c r="L48" s="659"/>
      <c r="M48" s="657" t="s">
        <v>234</v>
      </c>
      <c r="N48" s="658"/>
      <c r="O48" s="659"/>
    </row>
    <row r="49" spans="2:15" ht="33.75" hidden="1" customHeight="1">
      <c r="B49" s="240"/>
      <c r="C49" s="241"/>
      <c r="D49" s="241"/>
      <c r="E49" s="234"/>
      <c r="F49" s="236"/>
      <c r="G49" s="236"/>
      <c r="H49" s="236"/>
      <c r="I49" s="236"/>
      <c r="J49" s="234"/>
      <c r="K49" s="234"/>
      <c r="L49" s="235"/>
      <c r="M49" s="233"/>
      <c r="N49" s="234"/>
      <c r="O49" s="235"/>
    </row>
    <row r="50" spans="2:15" ht="15.75" customHeight="1">
      <c r="B50" s="651" t="s">
        <v>248</v>
      </c>
      <c r="C50" s="652"/>
      <c r="D50" s="652"/>
      <c r="E50" s="652"/>
      <c r="F50" s="652"/>
      <c r="G50" s="652"/>
      <c r="H50" s="652"/>
      <c r="I50" s="652"/>
      <c r="J50" s="652"/>
      <c r="K50" s="652"/>
      <c r="L50" s="653"/>
      <c r="M50" s="641" t="s">
        <v>244</v>
      </c>
      <c r="N50" s="642"/>
      <c r="O50" s="643"/>
    </row>
    <row r="51" spans="2:15">
      <c r="D51" s="220"/>
    </row>
    <row r="53" spans="2:15">
      <c r="D53" s="220"/>
    </row>
    <row r="54" spans="2:15">
      <c r="D54" s="220"/>
    </row>
  </sheetData>
  <mergeCells count="124">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50:O50"/>
    <mergeCell ref="B30:O30"/>
    <mergeCell ref="B32:D32"/>
    <mergeCell ref="E32:I32"/>
    <mergeCell ref="J32:L32"/>
    <mergeCell ref="M32:O32"/>
    <mergeCell ref="B50:L50"/>
    <mergeCell ref="B48:D48"/>
    <mergeCell ref="E48:I48"/>
    <mergeCell ref="J48:L48"/>
    <mergeCell ref="M48:O48"/>
    <mergeCell ref="J36:L36"/>
    <mergeCell ref="M36:O36"/>
    <mergeCell ref="M33:O33"/>
    <mergeCell ref="M35:O35"/>
    <mergeCell ref="J33:L33"/>
    <mergeCell ref="J35:L35"/>
    <mergeCell ref="B39:D39"/>
    <mergeCell ref="E43:I43"/>
    <mergeCell ref="E44:I44"/>
    <mergeCell ref="B43:D43"/>
    <mergeCell ref="B47:D47"/>
    <mergeCell ref="J44:L44"/>
    <mergeCell ref="J45:L45"/>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5:D35"/>
    <mergeCell ref="E37:I37"/>
    <mergeCell ref="J38:L38"/>
    <mergeCell ref="M38:O38"/>
    <mergeCell ref="B40:D40"/>
    <mergeCell ref="M39:O39"/>
    <mergeCell ref="E40:I40"/>
    <mergeCell ref="B37:D37"/>
    <mergeCell ref="J37:L37"/>
    <mergeCell ref="J40:L40"/>
    <mergeCell ref="E39:I39"/>
    <mergeCell ref="J39:L39"/>
    <mergeCell ref="E33:I33"/>
    <mergeCell ref="E35:I35"/>
    <mergeCell ref="E25:I25"/>
    <mergeCell ref="E38:I38"/>
    <mergeCell ref="B34:D34"/>
    <mergeCell ref="B36:D36"/>
    <mergeCell ref="B38:D38"/>
    <mergeCell ref="E36:I36"/>
    <mergeCell ref="J46:L46"/>
    <mergeCell ref="E45:I45"/>
    <mergeCell ref="B45:D45"/>
    <mergeCell ref="B46:D46"/>
    <mergeCell ref="E46:I46"/>
    <mergeCell ref="B44:D44"/>
    <mergeCell ref="M43:O43"/>
    <mergeCell ref="B41:D41"/>
    <mergeCell ref="E41:I41"/>
    <mergeCell ref="J41:L41"/>
    <mergeCell ref="M41:O41"/>
    <mergeCell ref="J43:L43"/>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3"/>
  <sheetViews>
    <sheetView showGridLines="0" view="pageBreakPreview" topLeftCell="C1" zoomScale="85" zoomScaleNormal="100" zoomScaleSheetLayoutView="85" zoomScalePageLayoutView="10" workbookViewId="0">
      <selection activeCell="C13" sqref="C13"/>
    </sheetView>
  </sheetViews>
  <sheetFormatPr defaultColWidth="11" defaultRowHeight="15"/>
  <cols>
    <col min="1" max="1" width="2.75" customWidth="1"/>
    <col min="2" max="2" width="46.125" customWidth="1"/>
    <col min="3" max="3" width="16.25" customWidth="1"/>
    <col min="4" max="4" width="17.75" customWidth="1"/>
    <col min="5" max="6" width="16.25" customWidth="1"/>
    <col min="7" max="7" width="18" customWidth="1"/>
    <col min="8" max="13" width="16.25" customWidth="1"/>
    <col min="14" max="14" width="16.25" style="36" customWidth="1"/>
    <col min="15" max="15" width="15.625" style="36" customWidth="1"/>
    <col min="16" max="16" width="19.375" customWidth="1"/>
    <col min="17" max="17" width="16.125" customWidth="1"/>
    <col min="18" max="18" width="13.75" customWidth="1"/>
    <col min="19" max="19" width="13.375" customWidth="1"/>
    <col min="20" max="20" width="14.875" customWidth="1"/>
    <col min="21" max="21" width="16" customWidth="1"/>
    <col min="22" max="22" width="11.375" hidden="1" customWidth="1"/>
    <col min="23" max="23" width="15.625" customWidth="1"/>
    <col min="24" max="24" width="11.375" customWidth="1"/>
    <col min="25" max="25" width="2.25" customWidth="1"/>
    <col min="26" max="26" width="1.125" customWidth="1"/>
    <col min="27" max="27" width="3.25" customWidth="1"/>
    <col min="28" max="28" width="17" customWidth="1"/>
    <col min="29" max="29" width="15" customWidth="1"/>
    <col min="30" max="30" width="11.375" customWidth="1"/>
    <col min="31" max="31" width="13.625" customWidth="1"/>
    <col min="32" max="32" width="16.875" customWidth="1"/>
    <col min="33" max="33" width="11.375" customWidth="1"/>
    <col min="34" max="34" width="2" style="36" customWidth="1"/>
    <col min="35" max="35" width="3.25" style="36" customWidth="1"/>
    <col min="36" max="36" width="2.25" style="36" customWidth="1"/>
    <col min="37" max="37" width="40.75" customWidth="1"/>
    <col min="38" max="38" width="15.375" customWidth="1"/>
  </cols>
  <sheetData>
    <row r="1" spans="1:13" ht="29.25" customHeight="1">
      <c r="A1" s="3"/>
      <c r="B1" s="3"/>
      <c r="C1" s="3"/>
      <c r="D1" s="3"/>
      <c r="E1" s="3"/>
      <c r="F1" s="3"/>
      <c r="G1" s="3"/>
      <c r="H1" s="3"/>
      <c r="I1" s="3"/>
      <c r="J1" s="3"/>
      <c r="K1" s="3"/>
      <c r="L1" s="3"/>
      <c r="M1" s="3"/>
    </row>
    <row r="2" spans="1:13" ht="15.75" customHeight="1">
      <c r="A2" s="3"/>
      <c r="B2" s="732" t="s">
        <v>379</v>
      </c>
      <c r="C2" s="732"/>
      <c r="D2" s="732"/>
      <c r="E2" s="732"/>
      <c r="F2" s="732"/>
      <c r="G2" s="732"/>
      <c r="H2" s="732"/>
      <c r="I2" s="732"/>
      <c r="J2" s="732"/>
      <c r="K2" s="275"/>
      <c r="L2" s="275"/>
      <c r="M2" s="275"/>
    </row>
    <row r="3" spans="1:13" ht="4.5" customHeight="1">
      <c r="A3" s="3"/>
      <c r="B3" s="3"/>
      <c r="C3" s="3"/>
      <c r="D3" s="3"/>
      <c r="E3" s="3"/>
      <c r="F3" s="3"/>
      <c r="G3" s="3"/>
      <c r="H3" s="3"/>
      <c r="I3" s="3"/>
      <c r="J3" s="3"/>
      <c r="K3" s="3"/>
      <c r="L3" s="3"/>
      <c r="M3" s="3"/>
    </row>
    <row r="4" spans="1:13" ht="60.75" customHeight="1">
      <c r="A4" s="3"/>
      <c r="B4" s="273" t="s">
        <v>380</v>
      </c>
      <c r="C4" s="717" t="s">
        <v>170</v>
      </c>
      <c r="D4" s="718"/>
      <c r="E4" s="716" t="s">
        <v>384</v>
      </c>
      <c r="F4" s="716"/>
      <c r="G4" s="723" t="s">
        <v>437</v>
      </c>
      <c r="H4" s="724"/>
      <c r="I4" s="724"/>
      <c r="J4" s="725"/>
      <c r="K4" s="485"/>
      <c r="L4" s="3"/>
      <c r="M4" s="3"/>
    </row>
    <row r="5" spans="1:13" ht="3" customHeight="1">
      <c r="A5" s="3"/>
      <c r="B5" s="273"/>
      <c r="C5" s="3"/>
      <c r="D5" s="3"/>
      <c r="E5" s="276"/>
      <c r="F5" s="276"/>
      <c r="G5" s="3"/>
      <c r="H5" s="3"/>
      <c r="I5" s="3"/>
      <c r="J5" s="3"/>
      <c r="K5" s="3"/>
      <c r="L5" s="3"/>
      <c r="M5" s="3"/>
    </row>
    <row r="6" spans="1:13">
      <c r="A6" s="3"/>
      <c r="B6" s="273" t="s">
        <v>496</v>
      </c>
      <c r="C6" s="717" t="s">
        <v>436</v>
      </c>
      <c r="D6" s="718"/>
      <c r="E6" s="716" t="s">
        <v>385</v>
      </c>
      <c r="F6" s="716"/>
      <c r="G6" s="305" t="s">
        <v>16</v>
      </c>
      <c r="H6" s="273" t="s">
        <v>388</v>
      </c>
      <c r="I6" s="734">
        <v>3212688</v>
      </c>
      <c r="J6" s="735"/>
      <c r="K6" s="485"/>
      <c r="L6" s="3"/>
      <c r="M6" s="3"/>
    </row>
    <row r="7" spans="1:13" ht="3" customHeight="1">
      <c r="A7" s="3"/>
      <c r="B7" s="273"/>
      <c r="C7" s="3"/>
      <c r="D7" s="3"/>
      <c r="E7" s="276"/>
      <c r="F7" s="276"/>
      <c r="G7" s="3"/>
      <c r="H7" s="273"/>
      <c r="I7" s="3"/>
      <c r="J7" s="3"/>
      <c r="K7" s="3"/>
      <c r="L7" s="3"/>
      <c r="M7" s="3"/>
    </row>
    <row r="8" spans="1:13">
      <c r="A8" s="3"/>
      <c r="B8" s="273" t="s">
        <v>381</v>
      </c>
      <c r="C8" s="717" t="s">
        <v>497</v>
      </c>
      <c r="D8" s="718"/>
      <c r="E8" s="277"/>
      <c r="F8" s="272" t="s">
        <v>386</v>
      </c>
      <c r="G8" s="392" t="s">
        <v>289</v>
      </c>
      <c r="H8" s="272" t="s">
        <v>389</v>
      </c>
      <c r="I8" s="717"/>
      <c r="J8" s="718"/>
      <c r="K8" s="281"/>
      <c r="L8" s="3"/>
      <c r="M8" s="3"/>
    </row>
    <row r="9" spans="1:13" ht="3" customHeight="1">
      <c r="A9" s="3"/>
      <c r="B9" s="276"/>
      <c r="C9" s="3"/>
      <c r="D9" s="3"/>
      <c r="E9" s="276"/>
      <c r="F9" s="276"/>
      <c r="G9" s="3"/>
      <c r="H9" s="3"/>
      <c r="I9" s="3"/>
      <c r="J9" s="3"/>
      <c r="K9" s="3"/>
      <c r="L9" s="3"/>
      <c r="M9" s="3"/>
    </row>
    <row r="10" spans="1:13">
      <c r="A10" s="3"/>
      <c r="B10" s="273" t="s">
        <v>382</v>
      </c>
      <c r="C10" s="738">
        <v>42005</v>
      </c>
      <c r="D10" s="739"/>
      <c r="E10" s="733" t="s">
        <v>387</v>
      </c>
      <c r="F10" s="722"/>
      <c r="G10" s="717" t="s">
        <v>41</v>
      </c>
      <c r="H10" s="737"/>
      <c r="I10" s="737"/>
      <c r="J10" s="718"/>
      <c r="K10" s="3"/>
      <c r="L10" s="3"/>
      <c r="M10" s="3"/>
    </row>
    <row r="11" spans="1:13" ht="5.25" customHeight="1">
      <c r="A11" s="3"/>
      <c r="B11" s="3"/>
      <c r="C11" s="3"/>
      <c r="D11" s="3"/>
      <c r="E11" s="3"/>
      <c r="F11" s="3"/>
      <c r="G11" s="3"/>
      <c r="H11" s="3"/>
      <c r="I11" s="3"/>
      <c r="J11" s="3"/>
      <c r="K11" s="3"/>
      <c r="L11" s="3"/>
      <c r="M11" s="3"/>
    </row>
    <row r="12" spans="1:13" ht="15" customHeight="1">
      <c r="A12" s="3"/>
      <c r="B12" s="484" t="s">
        <v>383</v>
      </c>
      <c r="C12" s="715" t="s">
        <v>28</v>
      </c>
      <c r="D12" s="715"/>
      <c r="E12" s="733" t="s">
        <v>498</v>
      </c>
      <c r="F12" s="716"/>
      <c r="G12" s="736" t="s">
        <v>438</v>
      </c>
      <c r="H12" s="736"/>
      <c r="I12" s="736"/>
      <c r="J12" s="736"/>
      <c r="K12" s="3"/>
      <c r="L12" s="3"/>
      <c r="M12" s="3"/>
    </row>
    <row r="13" spans="1:13" ht="5.25" customHeight="1">
      <c r="A13" s="3"/>
      <c r="B13" s="3"/>
      <c r="C13" s="3"/>
      <c r="D13" s="3"/>
      <c r="E13" s="3"/>
      <c r="F13" s="3"/>
      <c r="G13" s="3"/>
      <c r="H13" s="3"/>
      <c r="I13" s="3"/>
      <c r="J13" s="3"/>
      <c r="K13" s="3"/>
      <c r="L13" s="3"/>
      <c r="M13" s="3"/>
    </row>
    <row r="14" spans="1:13" ht="15.75" customHeight="1">
      <c r="A14" s="3"/>
      <c r="B14" s="732" t="s">
        <v>378</v>
      </c>
      <c r="C14" s="732"/>
      <c r="D14" s="732"/>
      <c r="E14" s="732"/>
      <c r="F14" s="732"/>
      <c r="G14" s="732"/>
      <c r="H14" s="732"/>
      <c r="I14" s="732"/>
      <c r="J14" s="732"/>
      <c r="K14" s="3"/>
      <c r="L14" s="3"/>
      <c r="M14" s="3"/>
    </row>
    <row r="15" spans="1:13" ht="3" customHeight="1">
      <c r="A15" s="3"/>
      <c r="B15" s="3"/>
      <c r="C15" s="3"/>
      <c r="D15" s="3"/>
      <c r="E15" s="3"/>
      <c r="F15" s="3"/>
      <c r="G15" s="3"/>
      <c r="H15" s="3"/>
      <c r="I15" s="3"/>
      <c r="J15" s="3"/>
      <c r="K15" s="3"/>
      <c r="L15" s="3"/>
      <c r="M15" s="3"/>
    </row>
    <row r="16" spans="1:13">
      <c r="A16" s="3"/>
      <c r="B16" s="484" t="s">
        <v>398</v>
      </c>
      <c r="C16" s="392" t="s">
        <v>77</v>
      </c>
      <c r="D16" s="272" t="s">
        <v>396</v>
      </c>
      <c r="E16" s="278">
        <v>42370</v>
      </c>
      <c r="F16" s="274" t="s">
        <v>397</v>
      </c>
      <c r="G16" s="514">
        <v>42551</v>
      </c>
      <c r="H16" s="733" t="s">
        <v>395</v>
      </c>
      <c r="I16" s="722"/>
      <c r="J16" s="278">
        <v>42660</v>
      </c>
      <c r="K16" s="485"/>
      <c r="L16" s="3"/>
      <c r="M16" s="3"/>
    </row>
    <row r="17" spans="1:35" ht="3" customHeight="1">
      <c r="A17" s="3"/>
      <c r="B17" s="3"/>
      <c r="C17" s="3"/>
      <c r="D17" s="3"/>
      <c r="E17" s="3"/>
      <c r="F17" s="3"/>
      <c r="G17" s="3"/>
      <c r="H17" s="3"/>
      <c r="I17" s="3"/>
      <c r="J17" s="3"/>
      <c r="K17" s="3"/>
      <c r="L17" s="3"/>
      <c r="M17" s="3"/>
    </row>
    <row r="18" spans="1:35" ht="15.75" customHeight="1">
      <c r="A18" s="3"/>
      <c r="B18" s="721" t="s">
        <v>399</v>
      </c>
      <c r="C18" s="722"/>
      <c r="D18" s="723" t="s">
        <v>439</v>
      </c>
      <c r="E18" s="724"/>
      <c r="F18" s="725"/>
      <c r="G18" s="279"/>
      <c r="H18" s="279"/>
      <c r="I18" s="279"/>
      <c r="J18" s="27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732" t="s">
        <v>377</v>
      </c>
      <c r="C21" s="732"/>
      <c r="D21" s="732"/>
      <c r="E21" s="732"/>
      <c r="F21" s="732"/>
      <c r="G21" s="732"/>
      <c r="H21" s="732"/>
      <c r="I21" s="732"/>
      <c r="J21" s="732"/>
      <c r="K21" s="3"/>
      <c r="L21" s="3"/>
      <c r="M21" s="3"/>
    </row>
    <row r="22" spans="1:35">
      <c r="A22" s="3"/>
      <c r="B22" s="276" t="s">
        <v>390</v>
      </c>
      <c r="C22" s="3"/>
      <c r="D22" s="3"/>
      <c r="E22" s="280"/>
      <c r="F22" s="280"/>
      <c r="G22" s="3"/>
      <c r="H22" s="3"/>
      <c r="I22" s="280"/>
      <c r="J22" s="280"/>
      <c r="K22" s="3"/>
      <c r="L22" s="3"/>
      <c r="M22" s="3"/>
    </row>
    <row r="23" spans="1:35" ht="3" customHeight="1">
      <c r="A23" s="3"/>
      <c r="B23" s="3"/>
      <c r="C23" s="3"/>
      <c r="D23" s="3"/>
      <c r="E23" s="3"/>
      <c r="F23" s="3"/>
      <c r="G23" s="3"/>
      <c r="H23" s="3"/>
      <c r="I23" s="3"/>
      <c r="J23" s="3"/>
      <c r="K23" s="3"/>
      <c r="L23" s="3"/>
      <c r="M23" s="3"/>
    </row>
    <row r="24" spans="1:35">
      <c r="A24" s="3"/>
      <c r="B24" s="273" t="s">
        <v>391</v>
      </c>
      <c r="C24" s="378"/>
      <c r="D24" s="716" t="s">
        <v>392</v>
      </c>
      <c r="E24" s="716"/>
      <c r="F24" s="379"/>
      <c r="G24" s="716" t="s">
        <v>393</v>
      </c>
      <c r="H24" s="716"/>
      <c r="I24" s="751"/>
      <c r="J24" s="752"/>
      <c r="K24" s="3"/>
      <c r="L24" s="3"/>
      <c r="M24" s="3"/>
      <c r="N24" s="20"/>
    </row>
    <row r="25" spans="1:35" ht="19.5" thickBot="1">
      <c r="A25" s="3"/>
      <c r="B25" s="87" t="s">
        <v>499</v>
      </c>
      <c r="C25" s="88"/>
      <c r="D25" s="88"/>
      <c r="E25" s="88"/>
      <c r="F25" s="88"/>
      <c r="G25" s="88"/>
      <c r="H25" s="262"/>
      <c r="I25" s="89"/>
      <c r="J25" s="89"/>
      <c r="K25" s="262" t="s">
        <v>394</v>
      </c>
      <c r="L25" s="88"/>
      <c r="M25" s="88"/>
      <c r="N25" s="504"/>
      <c r="O25" s="40"/>
      <c r="AI25" s="44"/>
    </row>
    <row r="26" spans="1:35">
      <c r="A26" s="3"/>
      <c r="B26" s="728" t="s">
        <v>400</v>
      </c>
      <c r="C26" s="729"/>
      <c r="D26" s="411" t="s">
        <v>5</v>
      </c>
      <c r="E26" s="91"/>
      <c r="F26" s="91"/>
      <c r="G26" s="91"/>
      <c r="H26" s="91"/>
      <c r="I26" s="91"/>
      <c r="J26" s="92"/>
      <c r="K26" s="91"/>
      <c r="L26" s="91"/>
      <c r="M26" s="91"/>
      <c r="N26" s="40"/>
      <c r="O26" s="40"/>
      <c r="AI26" s="44"/>
    </row>
    <row r="27" spans="1:35" ht="18.75">
      <c r="A27" s="3"/>
      <c r="B27" s="90" t="s">
        <v>318</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88" t="s">
        <v>44</v>
      </c>
      <c r="C29" s="689"/>
      <c r="D29" s="689"/>
      <c r="E29" s="689"/>
      <c r="F29" s="689"/>
      <c r="G29" s="689"/>
      <c r="H29" s="689"/>
      <c r="I29" s="689"/>
      <c r="J29" s="689"/>
      <c r="K29" s="689"/>
      <c r="L29" s="689"/>
      <c r="M29" s="689"/>
      <c r="N29" s="690"/>
      <c r="P29" s="205"/>
      <c r="Q29" s="206"/>
      <c r="R29" s="207">
        <f>+C33</f>
        <v>273474.51</v>
      </c>
      <c r="S29" s="205"/>
    </row>
    <row r="30" spans="1:35">
      <c r="A30" s="3"/>
      <c r="B30" s="93" t="s">
        <v>374</v>
      </c>
      <c r="C30" s="377" t="s">
        <v>469</v>
      </c>
      <c r="D30" s="377" t="s">
        <v>76</v>
      </c>
      <c r="E30" s="377" t="s">
        <v>77</v>
      </c>
      <c r="F30" s="377" t="s">
        <v>78</v>
      </c>
      <c r="G30" s="377" t="s">
        <v>85</v>
      </c>
      <c r="H30" s="377" t="s">
        <v>86</v>
      </c>
      <c r="I30" s="362" t="s">
        <v>87</v>
      </c>
      <c r="J30" s="362" t="s">
        <v>88</v>
      </c>
      <c r="K30" s="362" t="s">
        <v>89</v>
      </c>
      <c r="L30" s="362" t="s">
        <v>90</v>
      </c>
      <c r="M30" s="362" t="s">
        <v>91</v>
      </c>
      <c r="N30" s="363" t="s">
        <v>246</v>
      </c>
      <c r="O30" s="364" t="s">
        <v>1</v>
      </c>
      <c r="P30" s="205"/>
      <c r="Q30" s="206"/>
      <c r="R30" s="207">
        <f>+D33</f>
        <v>1494677.91</v>
      </c>
      <c r="S30" s="205"/>
    </row>
    <row r="31" spans="1:35">
      <c r="A31" s="3"/>
      <c r="B31" s="270" t="str">
        <f>CONCATENATE("Buget (in ",'Introducerea datelor'!$D$26,")")</f>
        <v>Buget (in €)</v>
      </c>
      <c r="C31" s="371">
        <v>273474.51</v>
      </c>
      <c r="D31" s="370">
        <v>1221203.3999999999</v>
      </c>
      <c r="E31" s="370">
        <v>253072.05</v>
      </c>
      <c r="F31" s="370"/>
      <c r="G31" s="370"/>
      <c r="H31" s="370"/>
      <c r="I31" s="370"/>
      <c r="J31" s="370"/>
      <c r="K31" s="370"/>
      <c r="L31" s="370"/>
      <c r="M31" s="370"/>
      <c r="N31" s="370"/>
      <c r="O31" s="758">
        <f>L34/I6</f>
        <v>0</v>
      </c>
      <c r="P31" s="205"/>
      <c r="Q31" s="206"/>
      <c r="R31" s="207">
        <f>+E33</f>
        <v>1747749.96</v>
      </c>
      <c r="S31" s="205"/>
    </row>
    <row r="32" spans="1:35">
      <c r="A32" s="3"/>
      <c r="B32" s="93" t="str">
        <f>CONCATENATE("Debursări de către FG (in ", $D$26,")")</f>
        <v>Debursări de către FG (in €)</v>
      </c>
      <c r="C32" s="371">
        <v>1558295</v>
      </c>
      <c r="D32" s="371">
        <v>0</v>
      </c>
      <c r="E32" s="371">
        <v>0</v>
      </c>
      <c r="F32" s="371"/>
      <c r="G32" s="371"/>
      <c r="H32" s="371"/>
      <c r="I32" s="370"/>
      <c r="J32" s="370"/>
      <c r="K32" s="370"/>
      <c r="L32" s="370"/>
      <c r="M32" s="370"/>
      <c r="N32" s="370"/>
      <c r="O32" s="759"/>
      <c r="P32" s="205"/>
      <c r="Q32" s="206"/>
      <c r="R32" s="207">
        <f>+F33</f>
        <v>0</v>
      </c>
      <c r="S32" s="205"/>
    </row>
    <row r="33" spans="1:35">
      <c r="A33" s="3"/>
      <c r="B33" s="94" t="s">
        <v>375</v>
      </c>
      <c r="C33" s="372">
        <f>+C31</f>
        <v>273474.51</v>
      </c>
      <c r="D33" s="372">
        <f>IF(AND(D31=0,D32=0),0,+C33+D31)</f>
        <v>1494677.91</v>
      </c>
      <c r="E33" s="372">
        <f t="shared" ref="E33:N33" si="0">IF(AND(E31=0,E32=0),0,+D33+E31)</f>
        <v>1747749.96</v>
      </c>
      <c r="F33" s="372">
        <f t="shared" si="0"/>
        <v>0</v>
      </c>
      <c r="G33" s="372">
        <f t="shared" si="0"/>
        <v>0</v>
      </c>
      <c r="H33" s="372">
        <f t="shared" si="0"/>
        <v>0</v>
      </c>
      <c r="I33" s="372">
        <f t="shared" si="0"/>
        <v>0</v>
      </c>
      <c r="J33" s="372">
        <f t="shared" si="0"/>
        <v>0</v>
      </c>
      <c r="K33" s="372">
        <f t="shared" si="0"/>
        <v>0</v>
      </c>
      <c r="L33" s="372">
        <f t="shared" si="0"/>
        <v>0</v>
      </c>
      <c r="M33" s="372">
        <f t="shared" si="0"/>
        <v>0</v>
      </c>
      <c r="N33" s="372">
        <f t="shared" si="0"/>
        <v>0</v>
      </c>
      <c r="O33" s="759"/>
      <c r="P33" s="353"/>
      <c r="Q33" s="206"/>
      <c r="R33" s="207">
        <f>+G33</f>
        <v>0</v>
      </c>
      <c r="S33" s="205"/>
    </row>
    <row r="34" spans="1:35" ht="15.75" thickBot="1">
      <c r="A34" s="3"/>
      <c r="B34" s="95" t="s">
        <v>376</v>
      </c>
      <c r="C34" s="373">
        <f>+C32</f>
        <v>1558295</v>
      </c>
      <c r="D34" s="373">
        <f>IF(AND(D31=0,D32=0),0,+C34+D32)</f>
        <v>1558295</v>
      </c>
      <c r="E34" s="373">
        <f t="shared" ref="E34:N34" si="1">IF(AND(E31=0,E32=0),0,+D34+E32)</f>
        <v>1558295</v>
      </c>
      <c r="F34" s="373">
        <f t="shared" si="1"/>
        <v>0</v>
      </c>
      <c r="G34" s="373">
        <f t="shared" si="1"/>
        <v>0</v>
      </c>
      <c r="H34" s="373">
        <f t="shared" si="1"/>
        <v>0</v>
      </c>
      <c r="I34" s="373">
        <f t="shared" si="1"/>
        <v>0</v>
      </c>
      <c r="J34" s="373">
        <f t="shared" si="1"/>
        <v>0</v>
      </c>
      <c r="K34" s="373">
        <f t="shared" si="1"/>
        <v>0</v>
      </c>
      <c r="L34" s="373">
        <f t="shared" si="1"/>
        <v>0</v>
      </c>
      <c r="M34" s="373">
        <f t="shared" si="1"/>
        <v>0</v>
      </c>
      <c r="N34" s="373">
        <f t="shared" si="1"/>
        <v>0</v>
      </c>
      <c r="O34" s="760"/>
      <c r="P34" s="353"/>
      <c r="Q34" s="206"/>
      <c r="R34" s="207">
        <f>+H33</f>
        <v>0</v>
      </c>
      <c r="S34" s="205"/>
    </row>
    <row r="35" spans="1:35">
      <c r="A35" s="3"/>
      <c r="B35" s="3"/>
      <c r="C35" s="331">
        <f>+IF(AND(C30=$C$16,C33&lt;&gt;0),C34/C33,0)</f>
        <v>0</v>
      </c>
      <c r="D35" s="331">
        <f t="shared" ref="D35:N35" si="2">+IF(AND(D30=$C$16,D33&lt;&gt;0),D34/D33,0)</f>
        <v>0</v>
      </c>
      <c r="E35" s="331">
        <f t="shared" si="2"/>
        <v>0.89160064978631159</v>
      </c>
      <c r="F35" s="331">
        <f t="shared" si="2"/>
        <v>0</v>
      </c>
      <c r="G35" s="331">
        <f t="shared" si="2"/>
        <v>0</v>
      </c>
      <c r="H35" s="331">
        <f t="shared" si="2"/>
        <v>0</v>
      </c>
      <c r="I35" s="331">
        <f t="shared" si="2"/>
        <v>0</v>
      </c>
      <c r="J35" s="331">
        <f t="shared" si="2"/>
        <v>0</v>
      </c>
      <c r="K35" s="331">
        <f t="shared" si="2"/>
        <v>0</v>
      </c>
      <c r="L35" s="331">
        <f t="shared" si="2"/>
        <v>0</v>
      </c>
      <c r="M35" s="331">
        <f t="shared" si="2"/>
        <v>0</v>
      </c>
      <c r="N35" s="331">
        <f t="shared" si="2"/>
        <v>0</v>
      </c>
      <c r="O35" s="281"/>
      <c r="P35" s="208"/>
      <c r="Q35" s="209"/>
      <c r="R35" s="207">
        <f>+I33</f>
        <v>0</v>
      </c>
      <c r="S35" s="205"/>
    </row>
    <row r="36" spans="1:35" ht="18.75">
      <c r="A36" s="3"/>
      <c r="B36" s="90" t="s">
        <v>319</v>
      </c>
      <c r="C36" s="3"/>
      <c r="D36" s="3"/>
      <c r="E36" s="344"/>
      <c r="F36" s="3"/>
      <c r="G36" s="25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82" t="s">
        <v>320</v>
      </c>
      <c r="C38" s="383" t="str">
        <f>CONCATENATE("Bugetul Cumulativ (in ",'Introducerea datelor'!$D$26,")")</f>
        <v>Bugetul Cumulativ (in €)</v>
      </c>
      <c r="D38" s="384" t="str">
        <f>CONCATENATE("Cheltuielile Cumulative (in ",'Introducerea datelor'!$D$26,")")</f>
        <v>Cheltuielile Cumulative (in €)</v>
      </c>
      <c r="E38" s="268"/>
      <c r="F38" s="284"/>
      <c r="G38" s="3"/>
      <c r="H38" s="3"/>
      <c r="I38" s="3"/>
      <c r="J38" s="101"/>
      <c r="K38" s="42"/>
      <c r="N38"/>
      <c r="O38"/>
      <c r="AE38" s="20"/>
      <c r="AF38" s="36"/>
    </row>
    <row r="39" spans="1:35" ht="27.75" customHeight="1">
      <c r="A39" s="3"/>
      <c r="B39" s="385" t="s">
        <v>470</v>
      </c>
      <c r="C39" s="380">
        <f>13782.96+15881.72+13782.96</f>
        <v>43447.64</v>
      </c>
      <c r="D39" s="386">
        <f>21613.62</f>
        <v>21613.62</v>
      </c>
      <c r="E39" s="282"/>
      <c r="F39" s="355"/>
      <c r="G39" s="356"/>
      <c r="H39" s="3"/>
      <c r="I39" s="3"/>
      <c r="J39" s="102"/>
      <c r="K39" s="43"/>
      <c r="N39"/>
      <c r="O39"/>
      <c r="AE39" s="20"/>
      <c r="AF39" s="36"/>
    </row>
    <row r="40" spans="1:35" ht="27.75" customHeight="1">
      <c r="A40" s="3"/>
      <c r="B40" s="456" t="s">
        <v>471</v>
      </c>
      <c r="C40" s="380">
        <f>173277.95+1103170.1+157239.68</f>
        <v>1433687.73</v>
      </c>
      <c r="D40" s="386">
        <f>654688.32</f>
        <v>654688.31999999995</v>
      </c>
      <c r="E40" s="15"/>
      <c r="F40" s="355"/>
      <c r="G40" s="356"/>
      <c r="H40" s="3"/>
      <c r="I40" s="3"/>
      <c r="J40" s="3"/>
      <c r="K40" s="43"/>
      <c r="N40"/>
      <c r="O40"/>
      <c r="AE40" s="20"/>
      <c r="AF40" s="36"/>
    </row>
    <row r="41" spans="1:35" ht="30">
      <c r="A41" s="3"/>
      <c r="B41" s="385" t="s">
        <v>472</v>
      </c>
      <c r="C41" s="381">
        <f>12949.96+37099.96+12099.96</f>
        <v>62149.88</v>
      </c>
      <c r="D41" s="386">
        <f>31462.89</f>
        <v>31462.89</v>
      </c>
      <c r="E41" s="15"/>
      <c r="F41" s="357"/>
      <c r="G41" s="3"/>
      <c r="H41" s="3"/>
      <c r="I41" s="3"/>
      <c r="J41" s="3"/>
      <c r="K41" s="43"/>
      <c r="N41"/>
      <c r="O41"/>
      <c r="AE41" s="20"/>
      <c r="AF41" s="36"/>
    </row>
    <row r="42" spans="1:35" ht="15" customHeight="1">
      <c r="A42" s="3"/>
      <c r="B42" s="385" t="s">
        <v>473</v>
      </c>
      <c r="C42" s="380">
        <f>73463.64+65051.62+69949.45</f>
        <v>208464.71000000002</v>
      </c>
      <c r="D42" s="386">
        <f>219233.03</f>
        <v>219233.03</v>
      </c>
      <c r="E42" s="15"/>
      <c r="F42" s="354"/>
      <c r="G42" s="3"/>
      <c r="H42" s="3"/>
      <c r="I42" s="3"/>
      <c r="J42" s="3"/>
      <c r="K42" s="20"/>
      <c r="N42"/>
      <c r="O42"/>
      <c r="AE42" s="20"/>
      <c r="AF42" s="36"/>
    </row>
    <row r="43" spans="1:35" ht="15.75" customHeight="1">
      <c r="A43" s="3"/>
      <c r="B43" s="387" t="s">
        <v>474</v>
      </c>
      <c r="C43" s="381" t="s">
        <v>317</v>
      </c>
      <c r="D43" s="386">
        <f>119003.96+282559.77</f>
        <v>401563.73000000004</v>
      </c>
      <c r="E43" s="15"/>
      <c r="F43" s="283"/>
      <c r="G43" s="3"/>
      <c r="H43" s="3"/>
      <c r="I43" s="3"/>
      <c r="J43" s="3"/>
      <c r="K43" s="20"/>
      <c r="N43"/>
      <c r="O43"/>
      <c r="AE43" s="20"/>
      <c r="AF43" s="36"/>
    </row>
    <row r="44" spans="1:35">
      <c r="A44" s="3"/>
      <c r="B44" s="387"/>
      <c r="C44" s="381"/>
      <c r="D44" s="386"/>
      <c r="E44" s="15"/>
      <c r="F44" s="407"/>
      <c r="G44" s="3"/>
      <c r="H44" s="3"/>
      <c r="I44" s="3"/>
      <c r="J44" s="3"/>
      <c r="K44" s="20"/>
      <c r="N44"/>
      <c r="O44"/>
      <c r="AE44" s="20"/>
      <c r="AF44" s="36"/>
    </row>
    <row r="45" spans="1:35">
      <c r="A45" s="3"/>
      <c r="B45" s="387"/>
      <c r="C45" s="381"/>
      <c r="D45" s="386"/>
      <c r="E45" s="15"/>
      <c r="F45" s="283"/>
      <c r="G45" s="15"/>
      <c r="H45" s="15"/>
      <c r="I45" s="15"/>
      <c r="J45" s="15"/>
      <c r="K45" s="20"/>
      <c r="N45"/>
      <c r="O45"/>
      <c r="AE45" s="36"/>
      <c r="AF45" s="36"/>
    </row>
    <row r="46" spans="1:35" ht="15.75" thickBot="1">
      <c r="A46" s="3"/>
      <c r="B46" s="388"/>
      <c r="C46" s="380"/>
      <c r="D46" s="386"/>
      <c r="E46" s="15"/>
      <c r="F46" s="15"/>
      <c r="G46" s="15"/>
      <c r="H46" s="15"/>
      <c r="I46" s="15"/>
      <c r="J46" s="15"/>
      <c r="K46" s="20"/>
      <c r="N46"/>
      <c r="O46"/>
      <c r="AE46" s="36"/>
      <c r="AF46" s="36"/>
    </row>
    <row r="47" spans="1:35" ht="15.75" thickBot="1">
      <c r="A47" s="3"/>
      <c r="B47" s="389" t="s">
        <v>43</v>
      </c>
      <c r="C47" s="390">
        <f>SUM(C39:C46)</f>
        <v>1747749.9599999997</v>
      </c>
      <c r="D47" s="391">
        <f>SUM(D39:D46)</f>
        <v>1328561.5900000001</v>
      </c>
      <c r="E47" s="281"/>
      <c r="F47" s="763" t="str">
        <f ca="1">+IF((ROUND(C47,0)=ROUND(OFFSET(B33,0,RIGHT('Introducerea datelor'!$C$16,LEN('Introducerea datelor'!$C$16)-1),1,1),0)),"OK: Datele coincid","Atentie: Datele nu coincid")</f>
        <v>OK: Datele coincid</v>
      </c>
      <c r="G47" s="764"/>
      <c r="H47" s="764"/>
      <c r="I47" s="765"/>
      <c r="J47" s="199"/>
      <c r="K47" s="199"/>
      <c r="L47" s="199"/>
      <c r="M47" s="208"/>
      <c r="N47" s="209"/>
      <c r="O47" s="207"/>
      <c r="P47" s="205"/>
      <c r="AE47" s="36"/>
      <c r="AF47" s="36"/>
    </row>
    <row r="48" spans="1:35">
      <c r="A48" s="3"/>
      <c r="B48" s="3"/>
      <c r="C48" s="199"/>
      <c r="D48" s="199"/>
      <c r="E48" s="265"/>
      <c r="F48" s="199"/>
      <c r="G48" s="199"/>
      <c r="H48" s="199"/>
      <c r="I48" s="199"/>
      <c r="J48" s="199"/>
      <c r="K48" s="199"/>
      <c r="L48" s="199"/>
      <c r="M48" s="199"/>
      <c r="N48" s="199"/>
      <c r="O48" s="199"/>
      <c r="P48" s="208"/>
      <c r="Q48" s="209"/>
      <c r="R48" s="207"/>
      <c r="S48" s="205"/>
    </row>
    <row r="49" spans="1:35" ht="18.75">
      <c r="A49" s="3"/>
      <c r="B49" s="90" t="s">
        <v>321</v>
      </c>
      <c r="C49" s="3"/>
      <c r="D49" s="3"/>
      <c r="E49" s="3"/>
      <c r="F49" s="3"/>
      <c r="G49" s="3"/>
      <c r="H49" s="3"/>
      <c r="I49" s="3"/>
      <c r="J49" s="3"/>
      <c r="K49" s="3"/>
      <c r="L49" s="3"/>
      <c r="M49" s="3"/>
      <c r="P49" s="205"/>
      <c r="Q49" s="206"/>
      <c r="R49" s="207">
        <f>+J33</f>
        <v>0</v>
      </c>
      <c r="S49" s="205"/>
    </row>
    <row r="50" spans="1:35" ht="15.75" thickBot="1">
      <c r="A50" s="3"/>
      <c r="B50" s="3"/>
      <c r="C50" s="3"/>
      <c r="D50" s="3"/>
      <c r="E50" s="3"/>
      <c r="F50" s="3"/>
      <c r="G50" s="3"/>
      <c r="H50" s="3"/>
      <c r="I50" s="3"/>
      <c r="J50" s="3"/>
      <c r="K50" s="3"/>
      <c r="L50" s="3"/>
      <c r="M50" s="3"/>
      <c r="P50" s="205"/>
      <c r="Q50" s="206"/>
      <c r="R50" s="207">
        <f>+K33</f>
        <v>0</v>
      </c>
      <c r="S50" s="205"/>
    </row>
    <row r="51" spans="1:35" ht="35.25" customHeight="1">
      <c r="A51" s="3"/>
      <c r="B51" s="287"/>
      <c r="C51" s="288" t="s">
        <v>322</v>
      </c>
      <c r="D51" s="288" t="s">
        <v>323</v>
      </c>
      <c r="E51" s="405" t="str">
        <f>CONCATENATE("Total Cheltuit și debursat (in ",D26,")")</f>
        <v>Total Cheltuit și debursat (in €)</v>
      </c>
      <c r="F51" s="3"/>
      <c r="G51" s="291"/>
      <c r="H51" s="284"/>
      <c r="I51" s="271"/>
      <c r="J51" s="271"/>
      <c r="K51" s="271"/>
      <c r="L51" s="271"/>
      <c r="M51" s="22"/>
      <c r="N51" s="22"/>
      <c r="O51" s="205"/>
      <c r="P51" s="206"/>
      <c r="Q51" s="207">
        <f>+M33</f>
        <v>0</v>
      </c>
      <c r="R51" s="205"/>
      <c r="AH51" s="20"/>
    </row>
    <row r="52" spans="1:35">
      <c r="A52" s="3"/>
      <c r="B52" s="285" t="s">
        <v>401</v>
      </c>
      <c r="C52" s="374">
        <v>1558295</v>
      </c>
      <c r="D52" s="375">
        <v>0</v>
      </c>
      <c r="E52" s="478">
        <f>+D52+C52</f>
        <v>1558295</v>
      </c>
      <c r="F52" s="3"/>
      <c r="G52" s="97"/>
      <c r="H52" s="289"/>
      <c r="I52" s="96"/>
      <c r="J52" s="202"/>
      <c r="K52" s="203"/>
      <c r="L52" s="98"/>
      <c r="M52" s="37"/>
      <c r="N52" s="37"/>
      <c r="O52" s="205"/>
      <c r="P52" s="205"/>
      <c r="Q52" s="205"/>
      <c r="R52" s="205"/>
      <c r="AH52" s="20"/>
    </row>
    <row r="53" spans="1:35">
      <c r="A53" s="3"/>
      <c r="B53" s="285" t="s">
        <v>402</v>
      </c>
      <c r="C53" s="374">
        <v>1168400.48</v>
      </c>
      <c r="D53" s="374">
        <v>160161.10999999999</v>
      </c>
      <c r="E53" s="478">
        <f>+D53+C53</f>
        <v>1328561.5899999999</v>
      </c>
      <c r="F53" s="3"/>
      <c r="G53" s="250"/>
      <c r="H53" s="289"/>
      <c r="I53" s="96"/>
      <c r="J53" s="202"/>
      <c r="K53" s="202"/>
      <c r="L53" s="98"/>
      <c r="M53" s="38"/>
      <c r="N53" s="38"/>
      <c r="O53" s="205"/>
      <c r="P53" s="205"/>
      <c r="Q53" s="205"/>
      <c r="R53" s="205"/>
      <c r="AH53" s="20"/>
    </row>
    <row r="54" spans="1:35">
      <c r="A54" s="3"/>
      <c r="B54" s="285" t="s">
        <v>403</v>
      </c>
      <c r="C54" s="374">
        <v>0</v>
      </c>
      <c r="D54" s="374">
        <v>0</v>
      </c>
      <c r="E54" s="478">
        <f>+D54+C54</f>
        <v>0</v>
      </c>
      <c r="F54" s="3"/>
      <c r="G54" s="97"/>
      <c r="H54" s="289"/>
      <c r="I54" s="96"/>
      <c r="J54" s="202"/>
      <c r="K54" s="203"/>
      <c r="L54" s="98"/>
      <c r="M54" s="37"/>
      <c r="N54" s="37"/>
      <c r="O54"/>
      <c r="AH54" s="20"/>
    </row>
    <row r="55" spans="1:35" ht="15.75" thickBot="1">
      <c r="A55" s="3"/>
      <c r="B55" s="286" t="s">
        <v>404</v>
      </c>
      <c r="C55" s="376">
        <v>0</v>
      </c>
      <c r="D55" s="376">
        <v>0</v>
      </c>
      <c r="E55" s="479">
        <f>+D55+C55</f>
        <v>0</v>
      </c>
      <c r="F55" s="3"/>
      <c r="G55" s="251"/>
      <c r="H55" s="290"/>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69"/>
      <c r="E57" s="3"/>
      <c r="F57" s="3"/>
      <c r="G57" s="3"/>
      <c r="H57" s="3"/>
      <c r="I57" s="3"/>
      <c r="J57" s="3"/>
      <c r="K57" s="3"/>
      <c r="L57" s="3"/>
      <c r="M57" s="3"/>
    </row>
    <row r="58" spans="1:35" ht="18.75">
      <c r="A58" s="3"/>
      <c r="B58" s="90" t="s">
        <v>324</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97" t="s">
        <v>325</v>
      </c>
      <c r="C60" s="698"/>
      <c r="D60" s="699"/>
      <c r="E60" s="3"/>
      <c r="F60" s="3"/>
      <c r="G60" s="3"/>
      <c r="H60" s="3"/>
      <c r="I60" s="3"/>
      <c r="J60" s="3"/>
      <c r="K60" s="3"/>
      <c r="L60" s="3"/>
      <c r="M60" s="36"/>
      <c r="O60"/>
    </row>
    <row r="61" spans="1:35">
      <c r="A61" s="3"/>
      <c r="B61" s="103"/>
      <c r="C61" s="293" t="s">
        <v>326</v>
      </c>
      <c r="D61" s="294" t="s">
        <v>327</v>
      </c>
      <c r="E61" s="3"/>
      <c r="F61" s="3"/>
      <c r="G61" s="3"/>
      <c r="H61" s="3"/>
      <c r="I61" s="3"/>
      <c r="J61" s="3"/>
      <c r="K61" s="3"/>
      <c r="L61" s="3"/>
      <c r="M61" s="36"/>
      <c r="O61"/>
    </row>
    <row r="62" spans="1:35">
      <c r="A62" s="3"/>
      <c r="B62" s="104" t="s">
        <v>328</v>
      </c>
      <c r="C62" s="358">
        <v>45</v>
      </c>
      <c r="D62" s="359">
        <v>45</v>
      </c>
      <c r="E62" s="3"/>
      <c r="F62" s="3"/>
      <c r="G62" s="3"/>
      <c r="H62" s="3"/>
      <c r="I62" s="3"/>
      <c r="J62" s="3"/>
      <c r="K62" s="3"/>
      <c r="L62" s="3"/>
      <c r="M62" s="36"/>
      <c r="O62"/>
    </row>
    <row r="63" spans="1:35">
      <c r="A63" s="3"/>
      <c r="B63" s="292" t="s">
        <v>329</v>
      </c>
      <c r="C63" s="358">
        <v>0</v>
      </c>
      <c r="D63" s="359">
        <v>0</v>
      </c>
      <c r="E63" s="3"/>
      <c r="F63" s="3"/>
      <c r="G63" s="3"/>
      <c r="H63" s="289"/>
      <c r="I63" s="289"/>
      <c r="J63" s="3"/>
      <c r="K63" s="3"/>
      <c r="L63" s="3"/>
      <c r="M63" s="36"/>
      <c r="O63"/>
    </row>
    <row r="64" spans="1:35" ht="15.75" thickBot="1">
      <c r="A64" s="3"/>
      <c r="B64" s="105" t="s">
        <v>330</v>
      </c>
      <c r="C64" s="360">
        <v>0</v>
      </c>
      <c r="D64" s="361">
        <v>0</v>
      </c>
      <c r="E64" s="3"/>
      <c r="F64" s="3"/>
      <c r="G64" s="3"/>
      <c r="H64" s="289"/>
      <c r="I64" s="289"/>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1"/>
      <c r="M66" s="3"/>
      <c r="AC66" s="19"/>
      <c r="AD66" s="19"/>
    </row>
    <row r="67" spans="1:30" ht="19.5" thickBot="1">
      <c r="A67" s="3"/>
      <c r="B67" s="106" t="s">
        <v>331</v>
      </c>
      <c r="C67" s="107"/>
      <c r="D67" s="107"/>
      <c r="E67" s="107"/>
      <c r="F67" s="107"/>
      <c r="G67" s="107"/>
      <c r="H67" s="315" t="s">
        <v>332</v>
      </c>
      <c r="I67" s="107"/>
      <c r="J67" s="108"/>
      <c r="K67" s="108"/>
      <c r="L67" s="402"/>
      <c r="M67" s="403"/>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333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726"/>
      <c r="C71" s="727"/>
      <c r="D71" s="113" t="s">
        <v>334</v>
      </c>
      <c r="E71" s="114" t="s">
        <v>335</v>
      </c>
      <c r="F71" s="114" t="s">
        <v>336</v>
      </c>
      <c r="G71" s="115" t="s">
        <v>43</v>
      </c>
      <c r="H71" s="300"/>
      <c r="I71" s="301"/>
      <c r="J71" s="15"/>
      <c r="K71" s="2"/>
      <c r="L71" s="2"/>
      <c r="M71" s="2"/>
      <c r="N71" s="20"/>
      <c r="O71" s="19"/>
      <c r="P71" s="19"/>
      <c r="Q71" s="19"/>
      <c r="R71" s="19"/>
      <c r="S71" s="19"/>
    </row>
    <row r="72" spans="1:30">
      <c r="A72" s="3"/>
      <c r="B72" s="719" t="s">
        <v>337</v>
      </c>
      <c r="C72" s="720"/>
      <c r="D72" s="253"/>
      <c r="E72" s="253">
        <v>2</v>
      </c>
      <c r="F72" s="253"/>
      <c r="G72" s="117">
        <f>SUM(D72:F72)</f>
        <v>2</v>
      </c>
      <c r="H72" s="283"/>
      <c r="I72" s="299"/>
      <c r="J72" s="299"/>
      <c r="K72" s="2"/>
      <c r="L72" s="2"/>
      <c r="M72" s="2"/>
      <c r="N72" s="20"/>
      <c r="O72" s="19"/>
      <c r="P72" s="19"/>
      <c r="Q72" s="19"/>
      <c r="R72" s="19"/>
      <c r="S72" s="19"/>
    </row>
    <row r="73" spans="1:30" ht="15.75" thickBot="1">
      <c r="A73" s="3"/>
      <c r="B73" s="753" t="s">
        <v>338</v>
      </c>
      <c r="C73" s="754"/>
      <c r="D73" s="254"/>
      <c r="E73" s="254"/>
      <c r="F73" s="254">
        <v>1</v>
      </c>
      <c r="G73" s="117">
        <f>SUM(D73:F73)</f>
        <v>1</v>
      </c>
      <c r="H73" s="283"/>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410</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467" t="s">
        <v>339</v>
      </c>
      <c r="D78" s="467" t="s">
        <v>340</v>
      </c>
      <c r="E78" s="120" t="s">
        <v>341</v>
      </c>
      <c r="F78" s="15"/>
      <c r="G78" s="15"/>
      <c r="H78" s="15"/>
      <c r="I78" s="301"/>
      <c r="J78" s="2"/>
      <c r="K78" s="2"/>
      <c r="L78" s="2"/>
      <c r="M78" s="2"/>
      <c r="N78" s="19"/>
      <c r="O78" s="19"/>
      <c r="P78" s="19"/>
      <c r="S78" s="19"/>
    </row>
    <row r="79" spans="1:30" ht="15.75" thickBot="1">
      <c r="A79" s="3"/>
      <c r="B79" s="121" t="s">
        <v>439</v>
      </c>
      <c r="C79" s="345">
        <v>4.5</v>
      </c>
      <c r="D79" s="345">
        <v>4.5</v>
      </c>
      <c r="E79" s="346">
        <f>+C79-D79</f>
        <v>0</v>
      </c>
      <c r="F79" s="261"/>
      <c r="G79" s="266"/>
      <c r="H79" s="15"/>
      <c r="I79" s="299"/>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342</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c r="A83" s="3"/>
      <c r="B83" s="119"/>
      <c r="C83" s="467" t="s">
        <v>344</v>
      </c>
      <c r="D83" s="467" t="s">
        <v>345</v>
      </c>
      <c r="E83" s="467" t="s">
        <v>346</v>
      </c>
      <c r="F83" s="147" t="s">
        <v>347</v>
      </c>
      <c r="G83" s="147" t="s">
        <v>348</v>
      </c>
      <c r="H83" s="267"/>
      <c r="I83" s="301"/>
      <c r="J83" s="2"/>
      <c r="K83" s="2"/>
      <c r="L83" s="2"/>
      <c r="M83" s="2"/>
      <c r="N83" s="19"/>
      <c r="O83" s="19"/>
      <c r="P83" s="19"/>
      <c r="S83" s="19"/>
    </row>
    <row r="84" spans="1:36" ht="15.75" thickBot="1">
      <c r="A84" s="3"/>
      <c r="B84" s="121" t="s">
        <v>92</v>
      </c>
      <c r="C84" s="345">
        <v>0</v>
      </c>
      <c r="D84" s="345">
        <v>0</v>
      </c>
      <c r="E84" s="345">
        <v>0</v>
      </c>
      <c r="F84" s="345">
        <v>0</v>
      </c>
      <c r="G84" s="347">
        <v>0</v>
      </c>
      <c r="H84" s="302"/>
      <c r="I84" s="283"/>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343</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2" t="s">
        <v>349</v>
      </c>
      <c r="D88" s="122" t="s">
        <v>350</v>
      </c>
      <c r="E88" s="123" t="s">
        <v>351</v>
      </c>
      <c r="F88" s="2"/>
      <c r="G88" s="2"/>
      <c r="H88" s="2"/>
      <c r="I88" s="2"/>
      <c r="J88" s="19"/>
      <c r="K88" s="19"/>
      <c r="L88" s="19"/>
      <c r="N88"/>
      <c r="O88" s="19"/>
      <c r="AG88" s="36"/>
      <c r="AJ88"/>
    </row>
    <row r="89" spans="1:36">
      <c r="A89" s="3"/>
      <c r="B89" s="116" t="s">
        <v>291</v>
      </c>
      <c r="C89" s="253"/>
      <c r="D89" s="255"/>
      <c r="E89" s="303">
        <f>C89-D89</f>
        <v>0</v>
      </c>
      <c r="F89" s="15"/>
      <c r="G89" s="2"/>
      <c r="H89" s="2"/>
      <c r="I89" s="2"/>
      <c r="J89" s="19"/>
      <c r="K89" s="19"/>
      <c r="L89" s="19"/>
      <c r="N89"/>
      <c r="O89" s="19"/>
      <c r="AG89" s="36"/>
      <c r="AJ89"/>
    </row>
    <row r="90" spans="1:36" ht="15.75" thickBot="1">
      <c r="A90" s="3"/>
      <c r="B90" s="118" t="s">
        <v>292</v>
      </c>
      <c r="C90" s="254"/>
      <c r="D90" s="304"/>
      <c r="E90" s="443">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352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7"/>
      <c r="C94" s="377" t="s">
        <v>469</v>
      </c>
      <c r="D94" s="377" t="s">
        <v>76</v>
      </c>
      <c r="E94" s="377" t="s">
        <v>77</v>
      </c>
      <c r="F94" s="377" t="s">
        <v>78</v>
      </c>
      <c r="G94" s="377" t="s">
        <v>85</v>
      </c>
      <c r="H94" s="377" t="s">
        <v>86</v>
      </c>
      <c r="I94" s="362" t="s">
        <v>87</v>
      </c>
      <c r="J94" s="362" t="s">
        <v>88</v>
      </c>
      <c r="K94" s="362" t="s">
        <v>89</v>
      </c>
      <c r="L94" s="362" t="s">
        <v>90</v>
      </c>
      <c r="M94" s="362" t="s">
        <v>91</v>
      </c>
      <c r="N94" s="363" t="s">
        <v>246</v>
      </c>
      <c r="O94" s="20"/>
      <c r="P94" s="20"/>
      <c r="S94" s="19"/>
    </row>
    <row r="95" spans="1:36" ht="15" customHeight="1">
      <c r="A95" s="3"/>
      <c r="B95" s="365" t="s">
        <v>353</v>
      </c>
      <c r="C95" s="348">
        <v>220962.79</v>
      </c>
      <c r="D95" s="348">
        <v>1237443.6200000001</v>
      </c>
      <c r="E95" s="348">
        <v>115507.98</v>
      </c>
      <c r="F95" s="348"/>
      <c r="G95" s="348"/>
      <c r="H95" s="348"/>
      <c r="I95" s="348"/>
      <c r="J95" s="348"/>
      <c r="K95" s="348"/>
      <c r="L95" s="348"/>
      <c r="M95" s="348"/>
      <c r="N95" s="444"/>
      <c r="O95" s="20"/>
      <c r="P95" s="20"/>
      <c r="S95" s="19"/>
    </row>
    <row r="96" spans="1:36" ht="15" customHeight="1">
      <c r="A96" s="3"/>
      <c r="B96" s="365" t="s">
        <v>354</v>
      </c>
      <c r="C96" s="348">
        <v>120322.08</v>
      </c>
      <c r="D96" s="348">
        <v>375035.85</v>
      </c>
      <c r="E96" s="348">
        <v>74741.37</v>
      </c>
      <c r="F96" s="348"/>
      <c r="G96" s="348"/>
      <c r="H96" s="348"/>
      <c r="I96" s="348"/>
      <c r="J96" s="348"/>
      <c r="K96" s="348"/>
      <c r="L96" s="348"/>
      <c r="M96" s="348"/>
      <c r="N96" s="444"/>
      <c r="O96" s="20"/>
      <c r="P96" s="20"/>
      <c r="S96" s="19"/>
    </row>
    <row r="97" spans="1:19" ht="15" customHeight="1">
      <c r="A97" s="3"/>
      <c r="B97" s="365" t="s">
        <v>355</v>
      </c>
      <c r="C97" s="348">
        <v>71447.17</v>
      </c>
      <c r="D97" s="348">
        <v>756687</v>
      </c>
      <c r="E97" s="348">
        <v>62217.66</v>
      </c>
      <c r="F97" s="348"/>
      <c r="G97" s="348"/>
      <c r="H97" s="348"/>
      <c r="I97" s="348"/>
      <c r="J97" s="348"/>
      <c r="K97" s="348"/>
      <c r="L97" s="348"/>
      <c r="M97" s="348"/>
      <c r="N97" s="444"/>
      <c r="O97" s="20"/>
      <c r="P97" s="20"/>
      <c r="S97" s="19"/>
    </row>
    <row r="98" spans="1:19" ht="15" customHeight="1">
      <c r="A98" s="3"/>
      <c r="B98" s="306" t="s">
        <v>356</v>
      </c>
      <c r="C98" s="349">
        <f>+C95</f>
        <v>220962.79</v>
      </c>
      <c r="D98" s="349">
        <f t="shared" ref="D98:N98" si="3">+C98+D95</f>
        <v>1458406.4100000001</v>
      </c>
      <c r="E98" s="349">
        <f>+D98+E95</f>
        <v>1573914.3900000001</v>
      </c>
      <c r="F98" s="349">
        <f t="shared" si="3"/>
        <v>1573914.3900000001</v>
      </c>
      <c r="G98" s="349">
        <f t="shared" si="3"/>
        <v>1573914.3900000001</v>
      </c>
      <c r="H98" s="349">
        <f t="shared" si="3"/>
        <v>1573914.3900000001</v>
      </c>
      <c r="I98" s="349">
        <f t="shared" si="3"/>
        <v>1573914.3900000001</v>
      </c>
      <c r="J98" s="349">
        <f t="shared" si="3"/>
        <v>1573914.3900000001</v>
      </c>
      <c r="K98" s="349">
        <f t="shared" si="3"/>
        <v>1573914.3900000001</v>
      </c>
      <c r="L98" s="349">
        <f t="shared" si="3"/>
        <v>1573914.3900000001</v>
      </c>
      <c r="M98" s="349">
        <f t="shared" si="3"/>
        <v>1573914.3900000001</v>
      </c>
      <c r="N98" s="445">
        <f t="shared" si="3"/>
        <v>1573914.3900000001</v>
      </c>
      <c r="O98" s="20"/>
      <c r="P98" s="20"/>
      <c r="S98" s="19"/>
    </row>
    <row r="99" spans="1:19" ht="15" customHeight="1">
      <c r="A99" s="3"/>
      <c r="B99" s="306" t="s">
        <v>357</v>
      </c>
      <c r="C99" s="349">
        <f>+C96</f>
        <v>120322.08</v>
      </c>
      <c r="D99" s="349">
        <f t="shared" ref="D99:N99" si="4">+C99+D96</f>
        <v>495357.93</v>
      </c>
      <c r="E99" s="349">
        <f>+D99+E96</f>
        <v>570099.30000000005</v>
      </c>
      <c r="F99" s="349">
        <f t="shared" si="4"/>
        <v>570099.30000000005</v>
      </c>
      <c r="G99" s="349">
        <f t="shared" si="4"/>
        <v>570099.30000000005</v>
      </c>
      <c r="H99" s="349">
        <f t="shared" si="4"/>
        <v>570099.30000000005</v>
      </c>
      <c r="I99" s="349">
        <f t="shared" si="4"/>
        <v>570099.30000000005</v>
      </c>
      <c r="J99" s="349">
        <f t="shared" si="4"/>
        <v>570099.30000000005</v>
      </c>
      <c r="K99" s="349">
        <f t="shared" si="4"/>
        <v>570099.30000000005</v>
      </c>
      <c r="L99" s="349">
        <f t="shared" si="4"/>
        <v>570099.30000000005</v>
      </c>
      <c r="M99" s="349">
        <f t="shared" si="4"/>
        <v>570099.30000000005</v>
      </c>
      <c r="N99" s="445">
        <f t="shared" si="4"/>
        <v>570099.30000000005</v>
      </c>
      <c r="O99" s="20"/>
      <c r="P99" s="20"/>
      <c r="S99" s="19"/>
    </row>
    <row r="100" spans="1:19" ht="15.75" thickBot="1">
      <c r="A100" s="3"/>
      <c r="B100" s="440" t="s">
        <v>358</v>
      </c>
      <c r="C100" s="441">
        <f>+C97</f>
        <v>71447.17</v>
      </c>
      <c r="D100" s="442">
        <f t="shared" ref="D100:N100" si="5">+C100+D97</f>
        <v>828134.17</v>
      </c>
      <c r="E100" s="442">
        <f>+D100+E97</f>
        <v>890351.83000000007</v>
      </c>
      <c r="F100" s="442">
        <f t="shared" si="5"/>
        <v>890351.83000000007</v>
      </c>
      <c r="G100" s="442">
        <f t="shared" si="5"/>
        <v>890351.83000000007</v>
      </c>
      <c r="H100" s="442">
        <f t="shared" si="5"/>
        <v>890351.83000000007</v>
      </c>
      <c r="I100" s="442">
        <f t="shared" si="5"/>
        <v>890351.83000000007</v>
      </c>
      <c r="J100" s="442">
        <f t="shared" si="5"/>
        <v>890351.83000000007</v>
      </c>
      <c r="K100" s="442">
        <f t="shared" si="5"/>
        <v>890351.83000000007</v>
      </c>
      <c r="L100" s="442">
        <f t="shared" si="5"/>
        <v>890351.83000000007</v>
      </c>
      <c r="M100" s="442">
        <f t="shared" si="5"/>
        <v>890351.83000000007</v>
      </c>
      <c r="N100" s="446">
        <f t="shared" si="5"/>
        <v>890351.83000000007</v>
      </c>
      <c r="O100" s="20"/>
      <c r="P100" s="20"/>
      <c r="S100" s="19"/>
    </row>
    <row r="101" spans="1:19">
      <c r="A101" s="3"/>
      <c r="B101" s="3"/>
      <c r="C101" s="2"/>
      <c r="D101" s="2"/>
      <c r="E101" s="2"/>
      <c r="F101" s="2"/>
      <c r="G101" s="2"/>
      <c r="H101" s="2"/>
      <c r="I101" s="15"/>
      <c r="J101" s="124"/>
      <c r="K101" s="125"/>
      <c r="L101" s="15"/>
      <c r="M101" s="126"/>
      <c r="N101" s="20"/>
      <c r="O101" s="20"/>
      <c r="P101" s="20"/>
      <c r="S101" s="19"/>
    </row>
    <row r="102" spans="1:19">
      <c r="A102" s="3"/>
      <c r="B102" s="2" t="s">
        <v>509</v>
      </c>
      <c r="C102" s="2"/>
      <c r="D102" s="2"/>
      <c r="E102" s="2"/>
      <c r="F102" s="2"/>
      <c r="G102" s="2"/>
      <c r="H102" s="2"/>
      <c r="I102" s="15"/>
      <c r="J102" s="124"/>
      <c r="K102" s="125"/>
      <c r="L102" s="15"/>
      <c r="M102" s="126"/>
      <c r="N102" s="20"/>
      <c r="O102" s="20"/>
      <c r="P102" s="20"/>
      <c r="S102" s="19"/>
    </row>
    <row r="103" spans="1:19">
      <c r="A103" s="3"/>
      <c r="C103" s="2"/>
      <c r="D103" s="2"/>
      <c r="E103" s="2"/>
      <c r="F103" s="2"/>
      <c r="G103" s="2"/>
      <c r="H103" s="2"/>
      <c r="I103" s="15"/>
      <c r="J103" s="124"/>
      <c r="K103" s="126"/>
      <c r="L103" s="15"/>
      <c r="M103" s="126"/>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hidden="1">
      <c r="A105" s="3"/>
      <c r="B105" s="110" t="s">
        <v>359</v>
      </c>
      <c r="C105" s="3"/>
      <c r="D105" s="3"/>
      <c r="E105" s="3"/>
      <c r="F105" s="3"/>
      <c r="G105" s="3"/>
      <c r="H105" s="3"/>
      <c r="I105" s="15"/>
      <c r="J105" s="15"/>
      <c r="K105" s="15"/>
      <c r="L105" s="15"/>
      <c r="M105" s="15"/>
      <c r="N105" s="20"/>
      <c r="O105" s="20"/>
      <c r="P105" s="20"/>
    </row>
    <row r="106" spans="1:19" ht="15.75" hidden="1" thickBot="1">
      <c r="A106" s="3"/>
      <c r="B106" s="3"/>
      <c r="C106" s="15"/>
      <c r="D106" s="15"/>
      <c r="E106" s="15"/>
      <c r="F106" s="15"/>
      <c r="G106" s="2"/>
      <c r="H106" s="2"/>
      <c r="I106" s="2"/>
      <c r="J106" s="15"/>
      <c r="K106" s="2"/>
      <c r="L106" s="15"/>
      <c r="M106" s="15"/>
      <c r="N106" s="20"/>
      <c r="O106" s="20"/>
      <c r="P106" s="20"/>
      <c r="Q106" s="19"/>
      <c r="S106" s="20"/>
    </row>
    <row r="107" spans="1:19" ht="90.75" hidden="1" customHeight="1">
      <c r="A107" s="3"/>
      <c r="B107" s="307" t="s">
        <v>360</v>
      </c>
      <c r="C107" s="308" t="s">
        <v>361</v>
      </c>
      <c r="D107" s="310" t="s">
        <v>362</v>
      </c>
      <c r="E107" s="310" t="s">
        <v>363</v>
      </c>
      <c r="F107" s="309" t="s">
        <v>364</v>
      </c>
      <c r="G107" s="309" t="s">
        <v>365</v>
      </c>
      <c r="H107" s="310" t="s">
        <v>366</v>
      </c>
      <c r="I107" s="310" t="s">
        <v>367</v>
      </c>
      <c r="J107" s="310" t="s">
        <v>368</v>
      </c>
      <c r="K107" s="311" t="s">
        <v>369</v>
      </c>
      <c r="L107" s="2"/>
      <c r="M107" s="20"/>
      <c r="N107" s="20"/>
      <c r="O107" s="20"/>
      <c r="P107" s="19"/>
      <c r="R107" s="20"/>
    </row>
    <row r="108" spans="1:19" hidden="1">
      <c r="A108" s="3"/>
      <c r="B108" s="707" t="s">
        <v>289</v>
      </c>
      <c r="C108" s="393" t="s">
        <v>289</v>
      </c>
      <c r="D108" s="394"/>
      <c r="E108" s="395" t="str">
        <f>IF(ISBLANK(D108),"",D108*30)</f>
        <v/>
      </c>
      <c r="F108" s="350"/>
      <c r="G108" s="351" t="str">
        <f>IF(AND(E108&gt;0,F108&gt;0),(F108*E108),"")</f>
        <v/>
      </c>
      <c r="H108" s="350"/>
      <c r="I108" s="408" t="str">
        <f>IF(AND(G108&gt;0,H108&gt;0),H108/G108,"")</f>
        <v/>
      </c>
      <c r="J108" s="396"/>
      <c r="K108" s="447" t="str">
        <f>IF(AND(I108&gt;0,J108&gt;0),I108-J108,"")</f>
        <v/>
      </c>
      <c r="L108" s="2"/>
      <c r="M108" s="20"/>
      <c r="N108" s="20"/>
      <c r="O108" s="20"/>
      <c r="P108" s="19"/>
      <c r="R108" s="20"/>
    </row>
    <row r="109" spans="1:19" hidden="1">
      <c r="A109" s="3"/>
      <c r="B109" s="708"/>
      <c r="C109" s="393" t="s">
        <v>289</v>
      </c>
      <c r="D109" s="394"/>
      <c r="E109" s="395" t="str">
        <f>IF(ISBLANK(D109),"",D109*30)</f>
        <v/>
      </c>
      <c r="F109" s="350"/>
      <c r="G109" s="351" t="str">
        <f>IF(AND(E109&gt;0,F109&gt;0),(F109*E109),"")</f>
        <v/>
      </c>
      <c r="H109" s="350"/>
      <c r="I109" s="408" t="str">
        <f>IF(AND(G109&gt;0,H109&gt;0),H109/G109,"")</f>
        <v/>
      </c>
      <c r="J109" s="396"/>
      <c r="K109" s="447" t="str">
        <f>IF(AND(I109&gt;0,J109&gt;0),I109-J109,"")</f>
        <v/>
      </c>
      <c r="L109" s="2"/>
      <c r="M109" s="20"/>
      <c r="N109" s="20"/>
      <c r="O109" s="20"/>
      <c r="P109" s="19"/>
    </row>
    <row r="110" spans="1:19" hidden="1">
      <c r="A110" s="3"/>
      <c r="B110" s="708"/>
      <c r="C110" s="393" t="s">
        <v>289</v>
      </c>
      <c r="D110" s="394"/>
      <c r="E110" s="395" t="str">
        <f>IF(ISBLANK(D110),"",D110*30)</f>
        <v/>
      </c>
      <c r="F110" s="350"/>
      <c r="G110" s="351" t="str">
        <f>IF(AND(E110&gt;0,F110&gt;0),(F110*E110),"")</f>
        <v/>
      </c>
      <c r="H110" s="350"/>
      <c r="I110" s="408" t="str">
        <f>IF(AND(G110&gt;0,H110&gt;0),H110/G110,"")</f>
        <v/>
      </c>
      <c r="J110" s="396"/>
      <c r="K110" s="447" t="str">
        <f>IF(AND(I110&gt;0,J110&gt;0),I110-J110,"")</f>
        <v/>
      </c>
      <c r="L110" s="2"/>
      <c r="M110" s="20"/>
      <c r="N110" s="20"/>
      <c r="O110" s="20"/>
      <c r="P110" s="19"/>
      <c r="R110" s="20"/>
    </row>
    <row r="111" spans="1:19" ht="15.75" hidden="1" thickBot="1">
      <c r="A111" s="3"/>
      <c r="B111" s="709"/>
      <c r="C111" s="397" t="s">
        <v>289</v>
      </c>
      <c r="D111" s="398"/>
      <c r="E111" s="437" t="str">
        <f>IF(ISBLANK(D111),"",D111*30)</f>
        <v/>
      </c>
      <c r="F111" s="352"/>
      <c r="G111" s="438" t="str">
        <f>IF(AND(E111&gt;0,F111&gt;0),(F111*E111),"")</f>
        <v/>
      </c>
      <c r="H111" s="352"/>
      <c r="I111" s="439" t="str">
        <f>IF(AND(G111&gt;0,H111&gt;0),H111/G111,"")</f>
        <v/>
      </c>
      <c r="J111" s="399"/>
      <c r="K111" s="448"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37" t="s">
        <v>370</v>
      </c>
      <c r="C114" s="127"/>
      <c r="D114" s="127"/>
      <c r="E114" s="128"/>
      <c r="F114" s="128"/>
      <c r="G114" s="128"/>
      <c r="H114" s="248"/>
      <c r="I114" s="238"/>
      <c r="J114" s="327"/>
      <c r="K114" s="328" t="s">
        <v>288</v>
      </c>
      <c r="L114" s="128"/>
      <c r="M114" s="329"/>
      <c r="N114" s="330"/>
      <c r="O114" s="330"/>
      <c r="P114" s="400"/>
      <c r="Q114" s="36"/>
    </row>
    <row r="115" spans="1:20" ht="15.75" thickBot="1">
      <c r="A115" s="3"/>
      <c r="B115" s="3"/>
      <c r="C115" s="3"/>
      <c r="D115" s="3"/>
      <c r="E115" s="3"/>
      <c r="F115" s="3"/>
      <c r="G115" s="3"/>
      <c r="H115" s="3"/>
      <c r="I115" s="3"/>
      <c r="J115" s="3"/>
      <c r="K115" s="3"/>
      <c r="L115" s="3"/>
      <c r="M115" s="3"/>
      <c r="N115"/>
      <c r="O115"/>
      <c r="P115" s="36"/>
      <c r="Q115" s="36"/>
    </row>
    <row r="116" spans="1:20" ht="25.5">
      <c r="A116" s="3"/>
      <c r="B116" s="755" t="s">
        <v>371</v>
      </c>
      <c r="C116" s="756"/>
      <c r="D116" s="757"/>
      <c r="E116" s="314" t="s">
        <v>310</v>
      </c>
      <c r="F116" s="469" t="s">
        <v>454</v>
      </c>
      <c r="G116" s="242"/>
      <c r="H116" s="515" t="s">
        <v>448</v>
      </c>
      <c r="I116" s="515" t="s">
        <v>449</v>
      </c>
      <c r="J116" s="515" t="s">
        <v>450</v>
      </c>
      <c r="K116" s="515" t="s">
        <v>451</v>
      </c>
      <c r="L116" s="515" t="s">
        <v>452</v>
      </c>
      <c r="M116" s="530" t="s">
        <v>453</v>
      </c>
      <c r="N116" s="518"/>
      <c r="O116" s="518"/>
      <c r="P116" s="518"/>
      <c r="Q116" s="518"/>
      <c r="R116" s="518"/>
      <c r="S116" s="518"/>
      <c r="T116" s="64"/>
    </row>
    <row r="117" spans="1:20" ht="1.5" customHeight="1">
      <c r="A117" s="3"/>
      <c r="B117" s="424"/>
      <c r="C117" s="425"/>
      <c r="D117" s="425"/>
      <c r="E117" s="426"/>
      <c r="F117" s="427"/>
      <c r="G117" s="428"/>
      <c r="H117" s="429"/>
      <c r="I117" s="429"/>
      <c r="J117" s="429"/>
      <c r="K117" s="429"/>
      <c r="L117" s="429"/>
      <c r="M117" s="531"/>
      <c r="N117" s="518"/>
      <c r="O117" s="518"/>
      <c r="P117" s="518"/>
      <c r="Q117" s="518"/>
      <c r="R117" s="518"/>
      <c r="S117" s="518"/>
      <c r="T117" s="64"/>
    </row>
    <row r="118" spans="1:20" ht="27.75" customHeight="1">
      <c r="A118" s="687" t="s">
        <v>290</v>
      </c>
      <c r="B118" s="691" t="s">
        <v>413</v>
      </c>
      <c r="C118" s="692"/>
      <c r="D118" s="693"/>
      <c r="E118" s="761" t="s">
        <v>441</v>
      </c>
      <c r="F118" s="705" t="s">
        <v>442</v>
      </c>
      <c r="G118" s="487" t="s">
        <v>308</v>
      </c>
      <c r="H118" s="450"/>
      <c r="I118" s="551">
        <v>0.83</v>
      </c>
      <c r="J118" s="551"/>
      <c r="K118" s="551">
        <v>0.84</v>
      </c>
      <c r="L118" s="450"/>
      <c r="M118" s="450" t="s">
        <v>456</v>
      </c>
      <c r="N118" s="519"/>
      <c r="O118" s="520"/>
      <c r="P118" s="521"/>
      <c r="Q118" s="520"/>
      <c r="R118" s="519"/>
      <c r="S118" s="519"/>
      <c r="T118" s="64"/>
    </row>
    <row r="119" spans="1:20" ht="27.75" customHeight="1">
      <c r="A119" s="687"/>
      <c r="B119" s="694"/>
      <c r="C119" s="695"/>
      <c r="D119" s="696"/>
      <c r="E119" s="762"/>
      <c r="F119" s="706"/>
      <c r="G119" s="487" t="s">
        <v>309</v>
      </c>
      <c r="H119" s="474"/>
      <c r="I119" s="513">
        <v>0.84</v>
      </c>
      <c r="J119" s="513"/>
      <c r="K119" s="476"/>
      <c r="L119" s="474"/>
      <c r="M119" s="474"/>
      <c r="N119" s="522"/>
      <c r="O119" s="520"/>
      <c r="P119" s="521"/>
      <c r="Q119" s="523"/>
      <c r="R119" s="519"/>
      <c r="S119" s="519"/>
      <c r="T119" s="64"/>
    </row>
    <row r="120" spans="1:20" ht="27" customHeight="1">
      <c r="A120" s="687"/>
      <c r="B120" s="702" t="s">
        <v>412</v>
      </c>
      <c r="C120" s="703"/>
      <c r="D120" s="704"/>
      <c r="E120" s="710" t="s">
        <v>440</v>
      </c>
      <c r="F120" s="700" t="s">
        <v>442</v>
      </c>
      <c r="G120" s="465" t="s">
        <v>308</v>
      </c>
      <c r="H120" s="552">
        <v>0.95</v>
      </c>
      <c r="I120" s="552">
        <v>0.95</v>
      </c>
      <c r="J120" s="552">
        <v>0.95</v>
      </c>
      <c r="K120" s="552">
        <v>0.95</v>
      </c>
      <c r="L120" s="552">
        <v>0.95</v>
      </c>
      <c r="M120" s="552">
        <v>0.95</v>
      </c>
      <c r="N120" s="519"/>
      <c r="O120" s="520"/>
      <c r="P120" s="519"/>
      <c r="Q120" s="520"/>
      <c r="R120" s="519"/>
      <c r="S120" s="519"/>
      <c r="T120" s="64"/>
    </row>
    <row r="121" spans="1:20" ht="27" customHeight="1">
      <c r="A121" s="687"/>
      <c r="B121" s="702"/>
      <c r="C121" s="703"/>
      <c r="D121" s="704"/>
      <c r="E121" s="710"/>
      <c r="F121" s="701"/>
      <c r="G121" s="465" t="s">
        <v>309</v>
      </c>
      <c r="H121" s="553">
        <v>0.91</v>
      </c>
      <c r="I121" s="553">
        <v>0.97</v>
      </c>
      <c r="J121" s="553">
        <v>0.96</v>
      </c>
      <c r="K121" s="553"/>
      <c r="L121" s="553"/>
      <c r="M121" s="553"/>
      <c r="N121" s="524"/>
      <c r="O121" s="523"/>
      <c r="P121" s="519"/>
      <c r="Q121" s="523"/>
      <c r="R121" s="519"/>
      <c r="S121" s="519"/>
      <c r="T121" s="64"/>
    </row>
    <row r="122" spans="1:20" ht="27" customHeight="1">
      <c r="A122" s="687"/>
      <c r="B122" s="711" t="s">
        <v>463</v>
      </c>
      <c r="C122" s="712"/>
      <c r="D122" s="713"/>
      <c r="E122" s="749" t="s">
        <v>464</v>
      </c>
      <c r="F122" s="750" t="s">
        <v>442</v>
      </c>
      <c r="G122" s="465" t="s">
        <v>308</v>
      </c>
      <c r="H122" s="535">
        <v>0.9</v>
      </c>
      <c r="I122" s="535">
        <v>0.9</v>
      </c>
      <c r="J122" s="535">
        <v>0.9</v>
      </c>
      <c r="K122" s="535">
        <v>0.9</v>
      </c>
      <c r="L122" s="535">
        <v>0.9</v>
      </c>
      <c r="M122" s="535">
        <v>0.9</v>
      </c>
      <c r="N122" s="524"/>
      <c r="O122" s="523"/>
      <c r="P122" s="519"/>
      <c r="Q122" s="523"/>
      <c r="R122" s="519"/>
      <c r="S122" s="519"/>
      <c r="T122" s="64"/>
    </row>
    <row r="123" spans="1:20" ht="27" customHeight="1">
      <c r="A123" s="687"/>
      <c r="B123" s="714"/>
      <c r="C123" s="712"/>
      <c r="D123" s="713"/>
      <c r="E123" s="749"/>
      <c r="F123" s="750"/>
      <c r="G123" s="465" t="s">
        <v>309</v>
      </c>
      <c r="H123" s="513">
        <v>0.99050000000000005</v>
      </c>
      <c r="I123" s="513">
        <v>1</v>
      </c>
      <c r="J123" s="551">
        <v>0.93200000000000005</v>
      </c>
      <c r="K123" s="476"/>
      <c r="L123" s="480"/>
      <c r="M123" s="474"/>
      <c r="N123" s="524"/>
      <c r="O123" s="523"/>
      <c r="P123" s="519"/>
      <c r="Q123" s="523"/>
      <c r="R123" s="519"/>
      <c r="S123" s="519"/>
      <c r="T123" s="64"/>
    </row>
    <row r="124" spans="1:20" s="489" customFormat="1" ht="27" customHeight="1">
      <c r="A124" s="687"/>
      <c r="B124" s="702" t="s">
        <v>443</v>
      </c>
      <c r="C124" s="703"/>
      <c r="D124" s="704"/>
      <c r="E124" s="710" t="s">
        <v>444</v>
      </c>
      <c r="F124" s="700" t="s">
        <v>442</v>
      </c>
      <c r="G124" s="487" t="s">
        <v>308</v>
      </c>
      <c r="H124" s="454"/>
      <c r="I124" s="511">
        <v>0.27</v>
      </c>
      <c r="J124" s="454"/>
      <c r="K124" s="511">
        <v>0.3</v>
      </c>
      <c r="L124" s="453"/>
      <c r="M124" s="511">
        <v>0.33</v>
      </c>
      <c r="N124" s="524"/>
      <c r="O124" s="524"/>
      <c r="P124" s="524"/>
      <c r="Q124" s="524"/>
      <c r="R124" s="524"/>
      <c r="S124" s="524"/>
      <c r="T124" s="488"/>
    </row>
    <row r="125" spans="1:20" s="489" customFormat="1" ht="27" customHeight="1">
      <c r="A125" s="687"/>
      <c r="B125" s="702"/>
      <c r="C125" s="703"/>
      <c r="D125" s="704"/>
      <c r="E125" s="710"/>
      <c r="F125" s="701"/>
      <c r="G125" s="487" t="s">
        <v>309</v>
      </c>
      <c r="H125" s="454"/>
      <c r="I125" s="512">
        <v>0.21</v>
      </c>
      <c r="J125" s="472"/>
      <c r="K125" s="512"/>
      <c r="L125" s="472"/>
      <c r="M125" s="512"/>
      <c r="N125" s="525"/>
      <c r="O125" s="525"/>
      <c r="P125" s="525"/>
      <c r="Q125" s="525"/>
      <c r="R125" s="524"/>
      <c r="S125" s="524"/>
      <c r="T125" s="488"/>
    </row>
    <row r="126" spans="1:20" ht="27" customHeight="1">
      <c r="A126" s="482"/>
      <c r="B126" s="711" t="s">
        <v>445</v>
      </c>
      <c r="C126" s="712"/>
      <c r="D126" s="713"/>
      <c r="E126" s="749" t="s">
        <v>446</v>
      </c>
      <c r="F126" s="750" t="s">
        <v>442</v>
      </c>
      <c r="G126" s="465" t="s">
        <v>308</v>
      </c>
      <c r="H126" s="450"/>
      <c r="I126" s="535" t="s">
        <v>457</v>
      </c>
      <c r="J126" s="450"/>
      <c r="K126" s="535" t="s">
        <v>458</v>
      </c>
      <c r="L126" s="450"/>
      <c r="M126" s="535" t="s">
        <v>459</v>
      </c>
      <c r="N126" s="519"/>
      <c r="O126" s="526"/>
      <c r="P126" s="519"/>
      <c r="Q126" s="519"/>
      <c r="R126" s="519"/>
      <c r="S126" s="519"/>
      <c r="T126" s="64"/>
    </row>
    <row r="127" spans="1:20" ht="27" customHeight="1">
      <c r="A127" s="482"/>
      <c r="B127" s="714"/>
      <c r="C127" s="712"/>
      <c r="D127" s="713"/>
      <c r="E127" s="749"/>
      <c r="F127" s="750"/>
      <c r="G127" s="465" t="s">
        <v>309</v>
      </c>
      <c r="H127" s="474"/>
      <c r="I127" s="513">
        <v>0.29399999999999998</v>
      </c>
      <c r="J127" s="474"/>
      <c r="K127" s="476"/>
      <c r="L127" s="480"/>
      <c r="M127" s="474"/>
      <c r="N127" s="524"/>
      <c r="O127" s="527"/>
      <c r="P127" s="519"/>
      <c r="Q127" s="522"/>
      <c r="R127" s="519"/>
      <c r="S127" s="519"/>
      <c r="T127" s="64"/>
    </row>
    <row r="128" spans="1:20" ht="27" customHeight="1">
      <c r="A128" s="3"/>
      <c r="B128" s="702" t="s">
        <v>455</v>
      </c>
      <c r="C128" s="703"/>
      <c r="D128" s="704"/>
      <c r="E128" s="710" t="s">
        <v>447</v>
      </c>
      <c r="F128" s="700" t="s">
        <v>442</v>
      </c>
      <c r="G128" s="487" t="s">
        <v>308</v>
      </c>
      <c r="H128" s="454"/>
      <c r="I128" s="511" t="s">
        <v>460</v>
      </c>
      <c r="J128" s="454"/>
      <c r="K128" s="511" t="s">
        <v>461</v>
      </c>
      <c r="L128" s="453"/>
      <c r="M128" s="511" t="s">
        <v>462</v>
      </c>
      <c r="N128" s="528"/>
      <c r="O128" s="528"/>
      <c r="P128" s="528"/>
      <c r="Q128" s="528"/>
      <c r="R128" s="519"/>
      <c r="S128" s="519"/>
      <c r="T128" s="64"/>
    </row>
    <row r="129" spans="1:21" ht="27" customHeight="1">
      <c r="A129" s="3"/>
      <c r="B129" s="702"/>
      <c r="C129" s="703"/>
      <c r="D129" s="704"/>
      <c r="E129" s="710"/>
      <c r="F129" s="701"/>
      <c r="G129" s="487" t="s">
        <v>309</v>
      </c>
      <c r="H129" s="454"/>
      <c r="I129" s="512">
        <v>0.79400000000000004</v>
      </c>
      <c r="J129" s="472"/>
      <c r="K129" s="512"/>
      <c r="L129" s="472"/>
      <c r="M129" s="512"/>
      <c r="N129" s="529"/>
      <c r="O129" s="529"/>
      <c r="P129" s="529"/>
      <c r="Q129" s="529"/>
      <c r="R129" s="519"/>
      <c r="S129" s="519"/>
      <c r="T129" s="64"/>
    </row>
    <row r="130" spans="1:21" ht="24" hidden="1" customHeight="1">
      <c r="A130" s="3"/>
      <c r="B130" s="702"/>
      <c r="C130" s="703"/>
      <c r="D130" s="704"/>
      <c r="E130" s="710"/>
      <c r="F130" s="700"/>
      <c r="G130" s="487"/>
      <c r="H130" s="454"/>
      <c r="I130" s="454"/>
      <c r="J130" s="454"/>
      <c r="K130" s="453"/>
      <c r="L130" s="454"/>
      <c r="M130" s="454"/>
      <c r="N130" s="516"/>
      <c r="O130" s="516"/>
      <c r="P130" s="516"/>
      <c r="Q130" s="516"/>
      <c r="R130" s="516"/>
      <c r="S130" s="517"/>
      <c r="T130" s="64"/>
    </row>
    <row r="131" spans="1:21" ht="24" hidden="1" customHeight="1">
      <c r="A131" s="3"/>
      <c r="B131" s="702"/>
      <c r="C131" s="703"/>
      <c r="D131" s="704"/>
      <c r="E131" s="710"/>
      <c r="F131" s="701"/>
      <c r="G131" s="487"/>
      <c r="H131" s="472"/>
      <c r="I131" s="472"/>
      <c r="J131" s="472"/>
      <c r="K131" s="475"/>
      <c r="L131" s="472"/>
      <c r="M131" s="472"/>
      <c r="N131" s="481"/>
      <c r="O131" s="481"/>
      <c r="P131" s="481"/>
      <c r="Q131" s="481"/>
      <c r="R131" s="239"/>
      <c r="S131" s="312"/>
      <c r="T131" s="64"/>
    </row>
    <row r="132" spans="1:21" ht="24" hidden="1" customHeight="1">
      <c r="A132" s="3"/>
      <c r="B132" s="714"/>
      <c r="C132" s="712"/>
      <c r="D132" s="713"/>
      <c r="E132" s="776"/>
      <c r="F132" s="705"/>
      <c r="G132" s="487"/>
      <c r="H132" s="450"/>
      <c r="I132" s="450"/>
      <c r="J132" s="450"/>
      <c r="K132" s="455"/>
      <c r="L132" s="450"/>
      <c r="M132" s="450"/>
      <c r="N132" s="505"/>
      <c r="O132" s="505"/>
      <c r="P132" s="505"/>
      <c r="Q132" s="505"/>
      <c r="R132" s="434"/>
      <c r="S132" s="435"/>
      <c r="T132" s="64"/>
    </row>
    <row r="133" spans="1:21" ht="24" hidden="1" customHeight="1">
      <c r="A133" s="3"/>
      <c r="B133" s="714"/>
      <c r="C133" s="712"/>
      <c r="D133" s="713"/>
      <c r="E133" s="776"/>
      <c r="F133" s="706"/>
      <c r="G133" s="487"/>
      <c r="H133" s="474"/>
      <c r="I133" s="474"/>
      <c r="J133" s="474"/>
      <c r="K133" s="476"/>
      <c r="L133" s="474"/>
      <c r="M133" s="474"/>
      <c r="N133" s="506"/>
      <c r="O133" s="506"/>
      <c r="P133" s="506"/>
      <c r="Q133" s="506"/>
      <c r="R133" s="434"/>
      <c r="S133" s="435"/>
      <c r="T133" s="64"/>
    </row>
    <row r="134" spans="1:21" ht="24" hidden="1" customHeight="1">
      <c r="A134" s="3"/>
      <c r="B134" s="702"/>
      <c r="C134" s="703"/>
      <c r="D134" s="704"/>
      <c r="E134" s="710"/>
      <c r="F134" s="700"/>
      <c r="G134" s="487"/>
      <c r="H134" s="454"/>
      <c r="I134" s="454"/>
      <c r="J134" s="454"/>
      <c r="K134" s="453"/>
      <c r="L134" s="454"/>
      <c r="M134" s="454"/>
      <c r="N134" s="507"/>
      <c r="O134" s="507"/>
      <c r="P134" s="507"/>
      <c r="Q134" s="507"/>
      <c r="R134" s="313"/>
      <c r="S134" s="436"/>
      <c r="T134" s="64"/>
    </row>
    <row r="135" spans="1:21" ht="24" hidden="1" customHeight="1">
      <c r="A135" s="3"/>
      <c r="B135" s="702"/>
      <c r="C135" s="703"/>
      <c r="D135" s="704"/>
      <c r="E135" s="710"/>
      <c r="F135" s="701"/>
      <c r="G135" s="487"/>
      <c r="H135" s="472"/>
      <c r="I135" s="472"/>
      <c r="J135" s="472"/>
      <c r="K135" s="475"/>
      <c r="L135" s="472"/>
      <c r="M135" s="472"/>
      <c r="N135" s="508"/>
      <c r="O135" s="508"/>
      <c r="P135" s="509"/>
      <c r="Q135" s="509"/>
      <c r="R135" s="313"/>
      <c r="S135" s="436"/>
      <c r="T135" s="64"/>
    </row>
    <row r="136" spans="1:21" ht="24" hidden="1" customHeight="1">
      <c r="A136" s="3"/>
      <c r="B136" s="714"/>
      <c r="C136" s="712"/>
      <c r="D136" s="713"/>
      <c r="E136" s="749"/>
      <c r="F136" s="686"/>
      <c r="G136" s="487"/>
      <c r="H136" s="450"/>
      <c r="I136" s="450"/>
      <c r="J136" s="450"/>
      <c r="K136" s="466"/>
      <c r="L136" s="455"/>
      <c r="M136" s="455"/>
      <c r="N136" s="434"/>
      <c r="O136" s="434"/>
      <c r="P136" s="434"/>
      <c r="Q136" s="434"/>
      <c r="R136" s="434"/>
      <c r="S136" s="435"/>
      <c r="T136" s="64"/>
    </row>
    <row r="137" spans="1:21" ht="24" hidden="1" customHeight="1">
      <c r="A137" s="3"/>
      <c r="B137" s="714"/>
      <c r="C137" s="712"/>
      <c r="D137" s="713"/>
      <c r="E137" s="749"/>
      <c r="F137" s="686"/>
      <c r="G137" s="487"/>
      <c r="H137" s="450"/>
      <c r="I137" s="473"/>
      <c r="J137" s="450"/>
      <c r="K137" s="477"/>
      <c r="L137" s="474"/>
      <c r="M137" s="474"/>
      <c r="N137" s="434"/>
      <c r="O137" s="434"/>
      <c r="P137" s="434"/>
      <c r="Q137" s="434"/>
      <c r="R137" s="434"/>
      <c r="S137" s="435"/>
      <c r="T137" s="64"/>
    </row>
    <row r="138" spans="1:21" ht="24" hidden="1" customHeight="1">
      <c r="A138" s="3"/>
      <c r="B138" s="702"/>
      <c r="C138" s="703"/>
      <c r="D138" s="704"/>
      <c r="E138" s="710"/>
      <c r="F138" s="700"/>
      <c r="G138" s="487"/>
      <c r="H138" s="454"/>
      <c r="I138" s="454"/>
      <c r="J138" s="454"/>
      <c r="K138" s="453"/>
      <c r="L138" s="454"/>
      <c r="M138" s="454"/>
      <c r="N138" s="313"/>
      <c r="O138" s="313"/>
      <c r="P138" s="313"/>
      <c r="Q138" s="313"/>
      <c r="R138" s="313"/>
      <c r="S138" s="436"/>
      <c r="T138" s="64"/>
    </row>
    <row r="139" spans="1:21" ht="24" hidden="1" customHeight="1">
      <c r="A139" s="3"/>
      <c r="B139" s="702"/>
      <c r="C139" s="703"/>
      <c r="D139" s="704"/>
      <c r="E139" s="710"/>
      <c r="F139" s="701"/>
      <c r="G139" s="465"/>
      <c r="H139" s="472"/>
      <c r="I139" s="472"/>
      <c r="J139" s="472"/>
      <c r="K139" s="475"/>
      <c r="L139" s="472"/>
      <c r="M139" s="472"/>
      <c r="N139" s="313"/>
      <c r="O139" s="313"/>
      <c r="P139" s="313"/>
      <c r="Q139" s="313"/>
      <c r="R139" s="313"/>
      <c r="S139" s="436"/>
      <c r="T139" s="64"/>
    </row>
    <row r="140" spans="1:21" ht="24" hidden="1" customHeight="1">
      <c r="A140" s="3"/>
      <c r="B140" s="743"/>
      <c r="C140" s="744"/>
      <c r="D140" s="745"/>
      <c r="E140" s="684"/>
      <c r="F140" s="686"/>
      <c r="G140" s="465"/>
      <c r="H140" s="450"/>
      <c r="I140" s="452"/>
      <c r="J140" s="450"/>
      <c r="K140" s="451"/>
      <c r="L140" s="450"/>
      <c r="M140" s="452"/>
      <c r="N140" s="129"/>
      <c r="O140" s="500"/>
      <c r="P140" s="129"/>
      <c r="Q140" s="129"/>
      <c r="R140" s="129"/>
      <c r="S140" s="129"/>
      <c r="T140" s="64"/>
    </row>
    <row r="141" spans="1:21" ht="24" hidden="1" customHeight="1">
      <c r="A141" s="3"/>
      <c r="B141" s="746"/>
      <c r="C141" s="747"/>
      <c r="D141" s="748"/>
      <c r="E141" s="685"/>
      <c r="F141" s="686"/>
      <c r="G141" s="465"/>
      <c r="H141" s="450"/>
      <c r="I141" s="501"/>
      <c r="J141" s="502"/>
      <c r="K141" s="501"/>
      <c r="L141" s="502"/>
      <c r="M141" s="501"/>
      <c r="N141" s="503"/>
      <c r="O141" s="501"/>
      <c r="P141" s="129"/>
      <c r="Q141" s="129"/>
      <c r="R141" s="129"/>
      <c r="S141" s="129"/>
      <c r="T141" s="64"/>
    </row>
    <row r="142" spans="1:21">
      <c r="A142" s="3"/>
      <c r="B142" s="3"/>
      <c r="C142" s="3"/>
      <c r="D142" s="3"/>
      <c r="E142" s="3"/>
      <c r="F142" s="3"/>
      <c r="G142" s="2"/>
      <c r="H142" s="3"/>
      <c r="I142" s="3"/>
      <c r="J142" s="3"/>
      <c r="K142" s="3"/>
      <c r="L142" s="3"/>
      <c r="M142" s="3"/>
      <c r="N142" s="3"/>
      <c r="O142" s="3"/>
      <c r="R142" s="36"/>
      <c r="S142" s="36"/>
    </row>
    <row r="143" spans="1:21" ht="15.75" thickBot="1">
      <c r="A143" s="3"/>
      <c r="B143" s="3"/>
      <c r="C143" s="3"/>
      <c r="D143" s="3"/>
      <c r="E143" s="3"/>
      <c r="F143" s="3"/>
      <c r="G143" s="2"/>
      <c r="H143" s="3"/>
      <c r="I143" s="3"/>
      <c r="J143" s="3"/>
      <c r="K143" s="3"/>
      <c r="L143" s="3"/>
      <c r="M143" s="3"/>
      <c r="N143" s="3"/>
      <c r="O143" s="3"/>
      <c r="R143" s="36"/>
      <c r="S143" s="36"/>
    </row>
    <row r="144" spans="1:21" ht="26.25" thickBot="1">
      <c r="A144" s="3"/>
      <c r="B144" s="3" t="s">
        <v>372</v>
      </c>
      <c r="C144" s="3"/>
      <c r="D144" s="3"/>
      <c r="E144" s="314" t="s">
        <v>465</v>
      </c>
      <c r="F144" s="469" t="s">
        <v>373</v>
      </c>
      <c r="G144" s="242"/>
      <c r="H144" s="515" t="s">
        <v>448</v>
      </c>
      <c r="I144" s="515" t="s">
        <v>449</v>
      </c>
      <c r="J144" s="515" t="s">
        <v>450</v>
      </c>
      <c r="K144" s="515" t="s">
        <v>451</v>
      </c>
      <c r="L144" s="515" t="s">
        <v>452</v>
      </c>
      <c r="M144" s="530" t="s">
        <v>453</v>
      </c>
      <c r="N144" s="518"/>
      <c r="O144" s="518"/>
      <c r="P144" s="518"/>
      <c r="Q144" s="518"/>
      <c r="R144" s="518"/>
      <c r="S144" s="518"/>
      <c r="T144" s="36"/>
      <c r="U144" s="36"/>
    </row>
    <row r="145" spans="1:21" ht="31.5" customHeight="1">
      <c r="A145" s="3"/>
      <c r="B145" s="777" t="str">
        <f>IF(ISBLANK(B118),"",(B118))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778"/>
      <c r="D145" s="779"/>
      <c r="E145" s="766" t="str">
        <f>IF(ISBLANK(E118),"",(E118))</f>
        <v>Indicator de rezultat durabil</v>
      </c>
      <c r="F145" s="730" t="str">
        <f>IF(ISBLANK(F118),"",(F118))</f>
        <v>partial</v>
      </c>
      <c r="G145" s="490" t="s">
        <v>62</v>
      </c>
      <c r="H145" s="536">
        <f t="shared" ref="H145:M148" si="6">H118</f>
        <v>0</v>
      </c>
      <c r="I145" s="537">
        <f t="shared" si="6"/>
        <v>0.83</v>
      </c>
      <c r="J145" s="537">
        <f t="shared" si="6"/>
        <v>0</v>
      </c>
      <c r="K145" s="536">
        <f t="shared" si="6"/>
        <v>0.84</v>
      </c>
      <c r="L145" s="536">
        <f t="shared" si="6"/>
        <v>0</v>
      </c>
      <c r="M145" s="536" t="str">
        <f t="shared" si="6"/>
        <v>≧85%</v>
      </c>
      <c r="N145" s="532"/>
      <c r="O145" s="533"/>
      <c r="P145" s="532"/>
      <c r="Q145" s="533"/>
      <c r="R145" s="532"/>
      <c r="S145" s="532"/>
      <c r="T145" s="36"/>
      <c r="U145" s="36"/>
    </row>
    <row r="146" spans="1:21" ht="31.5" customHeight="1">
      <c r="A146" s="3"/>
      <c r="B146" s="780"/>
      <c r="C146" s="781"/>
      <c r="D146" s="782"/>
      <c r="E146" s="766"/>
      <c r="F146" s="730"/>
      <c r="G146" s="491" t="s">
        <v>63</v>
      </c>
      <c r="H146" s="536">
        <f t="shared" si="6"/>
        <v>0</v>
      </c>
      <c r="I146" s="537">
        <f>I119</f>
        <v>0.84</v>
      </c>
      <c r="J146" s="537">
        <f t="shared" si="6"/>
        <v>0</v>
      </c>
      <c r="K146" s="536">
        <f t="shared" si="6"/>
        <v>0</v>
      </c>
      <c r="L146" s="536">
        <f t="shared" si="6"/>
        <v>0</v>
      </c>
      <c r="M146" s="536">
        <f t="shared" si="6"/>
        <v>0</v>
      </c>
      <c r="N146" s="532"/>
      <c r="O146" s="533"/>
      <c r="P146" s="532"/>
      <c r="Q146" s="533"/>
      <c r="R146" s="532"/>
      <c r="S146" s="532"/>
      <c r="T146" s="36"/>
      <c r="U146" s="36"/>
    </row>
    <row r="147" spans="1:21" ht="31.5" customHeight="1">
      <c r="A147" s="3"/>
      <c r="B147" s="740" t="str">
        <f>IF(ISBLANK(B120),"",(B120))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147" s="741"/>
      <c r="D147" s="742"/>
      <c r="E147" s="775" t="str">
        <f>IF(ISBLANK(E120),"",(E120))</f>
        <v>PMTCT-2</v>
      </c>
      <c r="F147" s="731" t="str">
        <f>IF(ISBLANK(F120),"",(F120))</f>
        <v>partial</v>
      </c>
      <c r="G147" s="492" t="s">
        <v>62</v>
      </c>
      <c r="H147" s="541">
        <f t="shared" si="6"/>
        <v>0.95</v>
      </c>
      <c r="I147" s="541">
        <f t="shared" si="6"/>
        <v>0.95</v>
      </c>
      <c r="J147" s="541">
        <f t="shared" si="6"/>
        <v>0.95</v>
      </c>
      <c r="K147" s="539">
        <f t="shared" si="6"/>
        <v>0.95</v>
      </c>
      <c r="L147" s="539">
        <f t="shared" si="6"/>
        <v>0.95</v>
      </c>
      <c r="M147" s="539">
        <f t="shared" si="6"/>
        <v>0.95</v>
      </c>
      <c r="N147" s="532"/>
      <c r="O147" s="534"/>
      <c r="P147" s="532"/>
      <c r="Q147" s="534"/>
      <c r="R147" s="532"/>
      <c r="S147" s="532"/>
      <c r="T147" s="36"/>
      <c r="U147" s="36"/>
    </row>
    <row r="148" spans="1:21" ht="31.5" customHeight="1">
      <c r="A148" s="3"/>
      <c r="B148" s="740"/>
      <c r="C148" s="741"/>
      <c r="D148" s="742"/>
      <c r="E148" s="775"/>
      <c r="F148" s="731"/>
      <c r="G148" s="492" t="s">
        <v>63</v>
      </c>
      <c r="H148" s="541">
        <f t="shared" si="6"/>
        <v>0.91</v>
      </c>
      <c r="I148" s="541">
        <f t="shared" si="6"/>
        <v>0.97</v>
      </c>
      <c r="J148" s="541">
        <f t="shared" si="6"/>
        <v>0.96</v>
      </c>
      <c r="K148" s="539">
        <f t="shared" si="6"/>
        <v>0</v>
      </c>
      <c r="L148" s="538">
        <f t="shared" si="6"/>
        <v>0</v>
      </c>
      <c r="M148" s="539">
        <f t="shared" si="6"/>
        <v>0</v>
      </c>
      <c r="N148" s="532"/>
      <c r="O148" s="534"/>
      <c r="P148" s="532"/>
      <c r="Q148" s="534"/>
      <c r="R148" s="532"/>
      <c r="S148" s="532"/>
      <c r="T148" s="36"/>
      <c r="U148" s="36"/>
    </row>
    <row r="149" spans="1:21" ht="31.5" customHeight="1">
      <c r="A149" s="3"/>
      <c r="B149" s="769" t="str">
        <f>IF(ISBLANK(B124),"",(B124))</f>
        <v>TCS-1: Percentage of adults and children currently receiving antiretroviral therapy among all adults and children living with HIV // Procentul adultilor si copiilor in TARV in totalul adultilor si copiilor care traiesc cu HIV</v>
      </c>
      <c r="C149" s="770"/>
      <c r="D149" s="771"/>
      <c r="E149" s="766" t="str">
        <f>IF(ISBLANK(E124),"",(E124))</f>
        <v>TCS-1</v>
      </c>
      <c r="F149" s="730" t="str">
        <f>IF(ISBLANK(F124),"",(F124))</f>
        <v>partial</v>
      </c>
      <c r="G149" s="491" t="s">
        <v>62</v>
      </c>
      <c r="H149" s="537"/>
      <c r="I149" s="537">
        <f t="shared" ref="I149:K150" si="7">I124</f>
        <v>0.27</v>
      </c>
      <c r="J149" s="536">
        <f t="shared" si="7"/>
        <v>0</v>
      </c>
      <c r="K149" s="536">
        <f t="shared" si="7"/>
        <v>0.3</v>
      </c>
      <c r="L149" s="536">
        <f t="shared" ref="L149:M149" si="8">L124</f>
        <v>0</v>
      </c>
      <c r="M149" s="536">
        <f t="shared" si="8"/>
        <v>0.33</v>
      </c>
      <c r="N149" s="532"/>
      <c r="O149" s="532"/>
      <c r="P149" s="532"/>
      <c r="Q149" s="532"/>
      <c r="R149" s="532"/>
      <c r="S149" s="532"/>
      <c r="T149" s="36"/>
      <c r="U149" s="36"/>
    </row>
    <row r="150" spans="1:21" ht="31.5" customHeight="1" thickBot="1">
      <c r="A150" s="3"/>
      <c r="B150" s="772"/>
      <c r="C150" s="773"/>
      <c r="D150" s="774"/>
      <c r="E150" s="767"/>
      <c r="F150" s="768"/>
      <c r="G150" s="493" t="s">
        <v>63</v>
      </c>
      <c r="H150" s="542"/>
      <c r="I150" s="542">
        <f t="shared" si="7"/>
        <v>0.21</v>
      </c>
      <c r="J150" s="540">
        <f t="shared" si="7"/>
        <v>0</v>
      </c>
      <c r="K150" s="540">
        <f t="shared" si="7"/>
        <v>0</v>
      </c>
      <c r="L150" s="540">
        <f t="shared" ref="L150:M150" si="9">L125</f>
        <v>0</v>
      </c>
      <c r="M150" s="540">
        <f t="shared" si="9"/>
        <v>0</v>
      </c>
      <c r="N150" s="532"/>
      <c r="O150" s="532"/>
      <c r="P150" s="532"/>
      <c r="Q150" s="532"/>
      <c r="R150" s="532"/>
      <c r="S150" s="532"/>
      <c r="T150" s="36"/>
      <c r="U150" s="36"/>
    </row>
    <row r="151" spans="1:21">
      <c r="A151" s="3"/>
      <c r="B151" s="3"/>
      <c r="C151" s="3"/>
      <c r="D151" s="3"/>
      <c r="E151" s="3"/>
      <c r="F151" s="3"/>
      <c r="G151" s="3"/>
      <c r="H151" s="3"/>
      <c r="I151" s="3"/>
      <c r="J151" s="3"/>
      <c r="K151" s="3"/>
      <c r="L151" s="3"/>
      <c r="M151" s="3"/>
      <c r="N151"/>
      <c r="O151"/>
      <c r="P151" s="36"/>
      <c r="Q151" s="36"/>
      <c r="S151" s="19"/>
    </row>
    <row r="152" spans="1:21">
      <c r="N152"/>
      <c r="O152"/>
      <c r="P152" s="36"/>
      <c r="Q152" s="36"/>
    </row>
    <row r="153" spans="1:21">
      <c r="N153"/>
      <c r="O153"/>
      <c r="P153" s="36"/>
      <c r="Q153" s="36"/>
    </row>
  </sheetData>
  <mergeCells count="79">
    <mergeCell ref="E149:E150"/>
    <mergeCell ref="B128:D129"/>
    <mergeCell ref="F149:F150"/>
    <mergeCell ref="E136:E137"/>
    <mergeCell ref="F136:F137"/>
    <mergeCell ref="E138:E139"/>
    <mergeCell ref="F138:F139"/>
    <mergeCell ref="E145:E146"/>
    <mergeCell ref="E128:E129"/>
    <mergeCell ref="E134:E135"/>
    <mergeCell ref="B149:D150"/>
    <mergeCell ref="B138:D139"/>
    <mergeCell ref="E147:E148"/>
    <mergeCell ref="E132:E133"/>
    <mergeCell ref="B132:D133"/>
    <mergeCell ref="B145:D146"/>
    <mergeCell ref="O31:O34"/>
    <mergeCell ref="E118:E119"/>
    <mergeCell ref="F118:F119"/>
    <mergeCell ref="F120:F121"/>
    <mergeCell ref="E120:E121"/>
    <mergeCell ref="F47:I47"/>
    <mergeCell ref="E126:E127"/>
    <mergeCell ref="F126:F127"/>
    <mergeCell ref="I24:J24"/>
    <mergeCell ref="B21:J21"/>
    <mergeCell ref="B73:C73"/>
    <mergeCell ref="E124:E125"/>
    <mergeCell ref="B116:D116"/>
    <mergeCell ref="D24:E24"/>
    <mergeCell ref="B122:D123"/>
    <mergeCell ref="E122:E123"/>
    <mergeCell ref="F122:F123"/>
    <mergeCell ref="B147:D148"/>
    <mergeCell ref="B134:D135"/>
    <mergeCell ref="B130:D131"/>
    <mergeCell ref="B136:D137"/>
    <mergeCell ref="B140:D141"/>
    <mergeCell ref="F145:F146"/>
    <mergeCell ref="F147:F148"/>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B18:C18"/>
    <mergeCell ref="D18:F18"/>
    <mergeCell ref="B71:C71"/>
    <mergeCell ref="B26:C26"/>
    <mergeCell ref="E140:E141"/>
    <mergeCell ref="F140:F141"/>
    <mergeCell ref="A118:A125"/>
    <mergeCell ref="B29:N29"/>
    <mergeCell ref="B118:D119"/>
    <mergeCell ref="B60:D60"/>
    <mergeCell ref="F124:F125"/>
    <mergeCell ref="B120:D121"/>
    <mergeCell ref="B124:D125"/>
    <mergeCell ref="F132:F133"/>
    <mergeCell ref="B108:B111"/>
    <mergeCell ref="F134:F135"/>
    <mergeCell ref="E130:E131"/>
    <mergeCell ref="F130:F131"/>
    <mergeCell ref="F128:F129"/>
    <mergeCell ref="B126:D127"/>
  </mergeCells>
  <phoneticPr fontId="30" type="noConversion"/>
  <conditionalFormatting sqref="B34 B32 C32:D33 E32:H32 E33:N33 C31">
    <cfRule type="expression" dxfId="56" priority="10" stopIfTrue="1">
      <formula>+AND(B30&gt;=#REF!,B30&lt;=#REF!)</formula>
    </cfRule>
  </conditionalFormatting>
  <conditionalFormatting sqref="C34:N34">
    <cfRule type="expression" dxfId="55" priority="11" stopIfTrue="1">
      <formula>+AND(C32&gt;=#REF!,C32&lt;=#REF!)</formula>
    </cfRule>
  </conditionalFormatting>
  <conditionalFormatting sqref="C30:N30 C94:N94">
    <cfRule type="cellIs" dxfId="54" priority="14" stopIfTrue="1" operator="equal">
      <formula>$C$16</formula>
    </cfRule>
  </conditionalFormatting>
  <conditionalFormatting sqref="C12:D12">
    <cfRule type="cellIs" dxfId="53" priority="16" stopIfTrue="1" operator="equal">
      <formula>"C"</formula>
    </cfRule>
    <cfRule type="cellIs" dxfId="52" priority="17" stopIfTrue="1" operator="equal">
      <formula>"B2"</formula>
    </cfRule>
    <cfRule type="cellIs" dxfId="51" priority="18" stopIfTrue="1" operator="equal">
      <formula>"B1"</formula>
    </cfRule>
  </conditionalFormatting>
  <conditionalFormatting sqref="C30:H30 H116:S117 H144:S144 C94:H94">
    <cfRule type="cellIs" dxfId="50" priority="25" stopIfTrue="1" operator="equal">
      <formula>$C$16</formula>
    </cfRule>
  </conditionalFormatting>
  <conditionalFormatting sqref="F47:I47">
    <cfRule type="expression" dxfId="49" priority="26" stopIfTrue="1">
      <formula>LEFT($F$47,2)="OK"</formula>
    </cfRule>
  </conditionalFormatting>
  <conditionalFormatting sqref="C32:E32 C31">
    <cfRule type="expression" dxfId="48" priority="8" stopIfTrue="1">
      <formula>+AND(C30&gt;=#REF!,C30&lt;=#REF!)</formula>
    </cfRule>
  </conditionalFormatting>
  <conditionalFormatting sqref="B34">
    <cfRule type="expression" dxfId="47" priority="5" stopIfTrue="1">
      <formula>+AND(B33&gt;=#REF!,B33&lt;=#REF!)</formula>
    </cfRule>
  </conditionalFormatting>
  <conditionalFormatting sqref="C32:H32 C31">
    <cfRule type="expression" dxfId="46" priority="2" stopIfTrue="1">
      <formula>+AND(C30&gt;=#REF!,C30&lt;=#REF!)</formula>
    </cfRule>
  </conditionalFormatting>
  <conditionalFormatting sqref="C32:E32 C31">
    <cfRule type="expression" dxfId="45" priority="1" stopIfTrue="1">
      <formula>+AND(C30&gt;=#REF!,C30&lt;=#REF!)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25" right="0.25" top="0.75" bottom="0.75" header="0.3" footer="0.3"/>
  <pageSetup paperSize="9" scale="41" orientation="landscape" r:id="rId1"/>
  <headerFooter>
    <oddFooter>&amp;L&amp;F&amp;C&amp;A&amp;RV1.0          &amp;D</oddFooter>
  </headerFooter>
  <rowBreaks count="2" manualBreakCount="2">
    <brk id="71" max="18" man="1"/>
    <brk id="150" max="18" man="1"/>
  </rowBreaks>
  <ignoredErrors>
    <ignoredError sqref="E145 J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view="pageBreakPreview" zoomScaleNormal="110" zoomScaleSheetLayoutView="100" workbookViewId="0">
      <selection activeCell="O6" sqref="O6"/>
    </sheetView>
  </sheetViews>
  <sheetFormatPr defaultColWidth="11.375" defaultRowHeight="15"/>
  <cols>
    <col min="1" max="1" width="26.125" style="3" customWidth="1"/>
    <col min="2" max="4" width="15.25" style="3" customWidth="1"/>
    <col min="5" max="6" width="17.75" style="3" customWidth="1"/>
    <col min="7" max="7" width="11.75" style="3" customWidth="1"/>
    <col min="8" max="8" width="15" style="3" customWidth="1"/>
    <col min="9" max="10" width="8.75" style="3" customWidth="1"/>
    <col min="11" max="11" width="11.375" style="3" customWidth="1"/>
    <col min="12" max="12" width="8.125" style="3" customWidth="1"/>
    <col min="13" max="13" width="9.75" style="3" customWidth="1"/>
    <col min="14" max="14" width="8.625" style="3" customWidth="1"/>
    <col min="15" max="15" width="7.125" style="3" customWidth="1"/>
    <col min="16" max="16384" width="11.375" style="3"/>
  </cols>
  <sheetData>
    <row r="1" spans="1:24" ht="21" customHeight="1">
      <c r="A1" s="2"/>
      <c r="B1" s="2"/>
      <c r="C1" s="2"/>
      <c r="D1" s="2"/>
      <c r="E1" s="2"/>
      <c r="F1" s="2"/>
      <c r="G1" s="264"/>
      <c r="H1" s="2"/>
      <c r="I1" s="2"/>
      <c r="J1" s="2"/>
    </row>
    <row r="2" spans="1:24" ht="25.5" customHeight="1"/>
    <row r="3" spans="1:24" ht="36">
      <c r="B3" s="783" t="str">
        <f>+"Dashboard: "&amp;" "&amp;+IF('Introducerea datelor'!C4="Please Select","",'Introducerea datelor'!C4&amp;" - ")&amp;+IF('Introducerea datelor'!G6="Please Select","",'Introducerea datelor'!G6)</f>
        <v>Dashboard:  Moldova - HIV / AIDS</v>
      </c>
      <c r="C3" s="783"/>
      <c r="D3" s="783"/>
      <c r="E3" s="783"/>
      <c r="F3" s="783"/>
      <c r="G3" s="783"/>
      <c r="H3" s="783"/>
      <c r="I3" s="783"/>
      <c r="J3" s="783"/>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77.25" customHeight="1">
      <c r="A6" s="260" t="s">
        <v>500</v>
      </c>
      <c r="B6" s="785" t="str">
        <f>+IF('Introducerea datelor'!C4="Please Select","",'Introducerea datelor'!C4)</f>
        <v>Moldova</v>
      </c>
      <c r="C6" s="785"/>
      <c r="D6" s="789" t="s">
        <v>4</v>
      </c>
      <c r="E6" s="789"/>
      <c r="F6" s="790" t="str">
        <f>+'Introducerea datelor'!G4</f>
        <v xml:space="preserve">Fortificarea controlului infecției HIV în RM (2015-2017)
</v>
      </c>
      <c r="G6" s="790"/>
      <c r="H6" s="790"/>
      <c r="I6" s="790"/>
      <c r="J6" s="790"/>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68" t="s">
        <v>385</v>
      </c>
      <c r="B9" s="332" t="str">
        <f>+IF('Introducerea datelor'!G6="Please Select","",'Introducerea datelor'!G6)</f>
        <v>HIV / AIDS</v>
      </c>
      <c r="C9" s="222" t="s">
        <v>263</v>
      </c>
      <c r="D9" s="333" t="str">
        <f>+'Introducerea datelor'!C6</f>
        <v>MDA-H-PCIMU</v>
      </c>
      <c r="E9" s="787" t="s">
        <v>504</v>
      </c>
      <c r="F9" s="787"/>
      <c r="G9" s="334">
        <f>+IF(ISBLANK('Introducerea datelor'!C10),"",'Introducerea datelor'!C10)</f>
        <v>42005</v>
      </c>
      <c r="H9" s="368" t="s">
        <v>506</v>
      </c>
      <c r="I9" s="786">
        <f>+IF(ISBLANK('Introducerea datelor'!I6),"",'Introducerea datelor'!I6)</f>
        <v>3212688</v>
      </c>
      <c r="J9" s="786"/>
      <c r="K9" s="50"/>
      <c r="L9" s="50"/>
      <c r="M9" s="50"/>
      <c r="N9" s="50"/>
      <c r="O9" s="52"/>
      <c r="P9" s="51"/>
      <c r="Q9" s="52"/>
      <c r="R9" s="53"/>
      <c r="S9" s="17"/>
      <c r="T9" s="11"/>
      <c r="U9" s="11"/>
      <c r="V9" s="10"/>
      <c r="W9" s="10"/>
      <c r="X9" s="10"/>
    </row>
    <row r="10" spans="1:24" ht="25.5" customHeight="1">
      <c r="A10" s="368" t="s">
        <v>386</v>
      </c>
      <c r="B10" s="335" t="str">
        <f>+IF('Introducerea datelor'!G8="Please Select","",'Introducerea datelor'!G8)</f>
        <v/>
      </c>
      <c r="C10" s="222" t="s">
        <v>262</v>
      </c>
      <c r="D10" s="336">
        <f>+IF('Introducerea datelor'!I8="Please Select","",'Introducerea datelor'!I8)</f>
        <v>0</v>
      </c>
      <c r="E10" s="788" t="s">
        <v>505</v>
      </c>
      <c r="F10" s="788"/>
      <c r="G10" s="784" t="str">
        <f>+'Introducerea datelor'!C8</f>
        <v>IP "UCIMP DS"</v>
      </c>
      <c r="H10" s="784"/>
      <c r="I10" s="784"/>
      <c r="J10" s="784"/>
      <c r="K10" s="54"/>
      <c r="L10" s="54"/>
      <c r="M10" s="50"/>
      <c r="N10" s="54"/>
      <c r="O10" s="52"/>
      <c r="P10" s="51"/>
      <c r="Q10" s="11"/>
      <c r="R10" s="53"/>
      <c r="S10" s="17"/>
      <c r="T10" s="11"/>
      <c r="U10" s="11"/>
    </row>
    <row r="11" spans="1:24" ht="25.5" customHeight="1">
      <c r="A11" s="368" t="s">
        <v>501</v>
      </c>
      <c r="B11" s="337" t="str">
        <f>+'Introducerea datelor'!C16</f>
        <v>P3</v>
      </c>
      <c r="C11" s="318" t="s">
        <v>229</v>
      </c>
      <c r="D11" s="338">
        <f>+IF(ISBLANK('Introducerea datelor'!E16),"",'Introducerea datelor'!E16)</f>
        <v>42370</v>
      </c>
      <c r="E11" s="787" t="s">
        <v>12</v>
      </c>
      <c r="F11" s="787"/>
      <c r="G11" s="338">
        <f>+IF(ISBLANK('Introducerea datelor'!G16),"",'Introducerea datelor'!G16)</f>
        <v>42551</v>
      </c>
      <c r="H11" s="368" t="s">
        <v>383</v>
      </c>
      <c r="I11" s="791" t="s">
        <v>29</v>
      </c>
      <c r="J11" s="791"/>
      <c r="K11" s="263"/>
      <c r="L11" s="54"/>
      <c r="M11" s="50"/>
      <c r="N11" s="54"/>
      <c r="O11" s="54"/>
      <c r="P11" s="51"/>
      <c r="Q11" s="11"/>
      <c r="R11" s="53"/>
      <c r="S11" s="17"/>
      <c r="T11" s="12"/>
      <c r="U11" s="11"/>
    </row>
    <row r="12" spans="1:24" ht="25.5" customHeight="1">
      <c r="A12" s="368" t="s">
        <v>502</v>
      </c>
      <c r="B12" s="784" t="str">
        <f>+IF('Introducerea datelor'!G10="Please Select","",'Introducerea datelor'!G10)</f>
        <v>PwC (PricewaterhouseCoopers)</v>
      </c>
      <c r="C12" s="784"/>
      <c r="D12" s="784"/>
      <c r="E12" s="788" t="s">
        <v>507</v>
      </c>
      <c r="F12" s="788"/>
      <c r="G12" s="784" t="str">
        <f>+'Introducerea datelor'!G12</f>
        <v>Tsovinar Tsakanyan</v>
      </c>
      <c r="H12" s="784"/>
      <c r="I12" s="784"/>
      <c r="J12" s="784"/>
      <c r="K12" s="54"/>
      <c r="L12" s="54"/>
      <c r="M12" s="50"/>
      <c r="N12" s="54"/>
      <c r="O12" s="17"/>
      <c r="P12" s="51"/>
      <c r="Q12" s="11"/>
      <c r="R12" s="53"/>
      <c r="S12" s="17"/>
      <c r="T12" s="11"/>
      <c r="U12" s="55"/>
      <c r="V12" s="11"/>
      <c r="W12" s="12"/>
      <c r="X12" s="11"/>
    </row>
    <row r="13" spans="1:24" ht="25.5" customHeight="1">
      <c r="A13" s="368" t="s">
        <v>503</v>
      </c>
      <c r="B13" s="784" t="str">
        <f>+'Introducerea datelor'!D18</f>
        <v>IP UCIMP DS</v>
      </c>
      <c r="C13" s="784"/>
      <c r="D13" s="784"/>
      <c r="E13" s="788" t="s">
        <v>508</v>
      </c>
      <c r="F13" s="788"/>
      <c r="G13" s="792">
        <f>+IF(ISBLANK('Introducerea datelor'!J16),"",'Introducerea datelor'!J16)</f>
        <v>42660</v>
      </c>
      <c r="H13" s="793"/>
      <c r="I13" s="793"/>
      <c r="J13" s="793"/>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1"/>
      <c r="D16" s="16"/>
      <c r="E16" s="369"/>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44" priority="1" stopIfTrue="1" operator="equal">
      <formula>"C"</formula>
    </cfRule>
    <cfRule type="cellIs" dxfId="43" priority="2" stopIfTrue="1" operator="equal">
      <formula>"B2"</formula>
    </cfRule>
    <cfRule type="cellIs" dxfId="42"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34" zoomScale="115" zoomScaleNormal="115" zoomScalePageLayoutView="115" workbookViewId="0">
      <selection activeCell="K5" sqref="K5"/>
    </sheetView>
  </sheetViews>
  <sheetFormatPr defaultColWidth="11" defaultRowHeight="15"/>
  <cols>
    <col min="1" max="1" width="3.625" customWidth="1"/>
    <col min="2" max="2" width="11.25" customWidth="1"/>
    <col min="3" max="3" width="5.125" customWidth="1"/>
    <col min="4" max="4" width="12.375" customWidth="1"/>
    <col min="5" max="5" width="11.375" customWidth="1"/>
    <col min="6" max="6" width="24.25" customWidth="1"/>
    <col min="7" max="7" width="3.875" customWidth="1"/>
    <col min="8" max="8" width="10.375" customWidth="1"/>
    <col min="9" max="9" width="14.75" customWidth="1"/>
    <col min="10" max="10" width="12" customWidth="1"/>
    <col min="11" max="11" width="11.75" customWidth="1"/>
  </cols>
  <sheetData>
    <row r="1" spans="2:15" ht="30.75" customHeight="1">
      <c r="B1" s="3"/>
      <c r="C1" s="3"/>
      <c r="D1" s="3"/>
      <c r="E1" s="3"/>
      <c r="F1" s="3"/>
      <c r="G1" s="3"/>
      <c r="H1" s="3"/>
      <c r="I1" s="3"/>
      <c r="J1" s="3"/>
      <c r="K1" s="3"/>
    </row>
    <row r="2" spans="2:15" ht="27.75" customHeight="1">
      <c r="B2" s="732" t="str">
        <f>+"Dashboard:  "&amp;"  "&amp;IF(+'Introducerea datelor'!C4="Please Select","",'Introducerea datelor'!C4&amp;" - ")&amp;IF('Introducerea datelor'!G6="Please Select","",'Introducerea datelor'!G6)</f>
        <v>Dashboard:    Moldova - HIV / AIDS</v>
      </c>
      <c r="C2" s="732"/>
      <c r="D2" s="732"/>
      <c r="E2" s="732"/>
      <c r="F2" s="732"/>
      <c r="G2" s="732"/>
      <c r="H2" s="732"/>
      <c r="I2" s="732"/>
      <c r="J2" s="732"/>
      <c r="K2" s="732"/>
      <c r="L2" s="1"/>
      <c r="M2" s="1"/>
      <c r="N2" s="1"/>
      <c r="O2" s="1"/>
    </row>
    <row r="3" spans="2:15">
      <c r="B3" s="130" t="str">
        <f>+IF('Introducerea datelor'!G8="Please Select","",'Introducerea datelor'!G8)</f>
        <v/>
      </c>
      <c r="C3" s="798">
        <f>+IF('Introducerea datelor'!I8="Please Select","",'Introducerea datelor'!I8)</f>
        <v>0</v>
      </c>
      <c r="D3" s="798"/>
      <c r="E3" s="797"/>
      <c r="F3" s="797"/>
      <c r="G3" s="797"/>
      <c r="H3" s="797"/>
      <c r="I3" s="795" t="str">
        <f>+'Introducerea datelor'!B16</f>
        <v>Perioada de Raportare:</v>
      </c>
      <c r="J3" s="795"/>
      <c r="K3" s="195" t="str">
        <f>+'Introducerea datelor'!C16</f>
        <v>P3</v>
      </c>
      <c r="L3" s="83"/>
    </row>
    <row r="4" spans="2:15">
      <c r="B4" s="130" t="str">
        <f>+'Introducerea datelor'!B12</f>
        <v>Ultimul Rating:</v>
      </c>
      <c r="C4" s="799" t="str">
        <f>+IF('Introducerea datelor'!C12="Please Select","",'Introducerea datelor'!C12)</f>
        <v>A1</v>
      </c>
      <c r="D4" s="799"/>
      <c r="E4" s="797" t="str">
        <f>+'Introducerea datelor'!C8</f>
        <v>IP "UCIMP DS"</v>
      </c>
      <c r="F4" s="797"/>
      <c r="G4" s="797"/>
      <c r="H4" s="797"/>
      <c r="I4" s="795" t="str">
        <f>+'Introducerea datelor'!D16</f>
        <v>De la:</v>
      </c>
      <c r="J4" s="796"/>
      <c r="K4" s="197">
        <f>+IF(ISBLANK('Introducerea datelor'!E16),"",'Introducerea datelor'!E16)</f>
        <v>42370</v>
      </c>
    </row>
    <row r="5" spans="2:15" ht="49.5" customHeight="1">
      <c r="B5" s="130"/>
      <c r="C5" s="130"/>
      <c r="D5" s="794" t="str">
        <f>+'Introducerea datelor'!G4</f>
        <v xml:space="preserve">Fortificarea controlului infecției HIV în RM (2015-2017)
</v>
      </c>
      <c r="E5" s="794"/>
      <c r="F5" s="794"/>
      <c r="G5" s="794"/>
      <c r="H5" s="794"/>
      <c r="I5" s="794"/>
      <c r="J5" s="130" t="str">
        <f>+'Introducerea datelor'!F16</f>
        <v>Pînă la:</v>
      </c>
      <c r="K5" s="197">
        <f>+IF(ISBLANK('Introducerea datelor'!G16),"",'Introducerea datelor'!G16)</f>
        <v>42551</v>
      </c>
    </row>
    <row r="6" spans="2:15" ht="18.75">
      <c r="B6" s="134"/>
      <c r="C6" s="130"/>
      <c r="D6" s="131"/>
      <c r="E6" s="806" t="s">
        <v>47</v>
      </c>
      <c r="F6" s="806"/>
      <c r="G6" s="806"/>
      <c r="H6" s="806"/>
      <c r="I6" s="3"/>
      <c r="J6" s="3"/>
      <c r="K6" s="3"/>
    </row>
    <row r="7" spans="2:15" ht="10.5" customHeight="1">
      <c r="B7" s="135"/>
      <c r="C7" s="136"/>
      <c r="D7" s="137"/>
      <c r="E7" s="138"/>
      <c r="F7" s="138"/>
      <c r="G7" s="139"/>
      <c r="H7" s="139"/>
      <c r="I7" s="133"/>
      <c r="J7" s="133"/>
      <c r="K7" s="132"/>
    </row>
    <row r="8" spans="2:15">
      <c r="B8" s="200" t="str">
        <f>+'Introducerea datelor'!B27&amp; " - in ("&amp;'Introducerea datelor'!D26&amp;")         "&amp;+I3&amp;" "&amp;+K3</f>
        <v>F1: Bugetul și debursările de către Fondul Global - in (€)         Perioada de Raportare: P3</v>
      </c>
      <c r="C8" s="140"/>
      <c r="D8" s="2"/>
      <c r="E8" s="2"/>
      <c r="F8" s="2"/>
      <c r="H8" s="200" t="str">
        <f>+'Introducerea datelor'!B49&amp; " - in ("&amp;'Introducerea datelor'!D26&amp;")         "&amp;+I3&amp;" "&amp;+K3</f>
        <v>F3: Debursări și cheltuieli - in (€)         Perioada de Raportare: P3</v>
      </c>
      <c r="I8" s="3"/>
      <c r="J8" s="3"/>
      <c r="K8" s="3"/>
    </row>
    <row r="9" spans="2:15">
      <c r="B9" s="341" t="s">
        <v>466</v>
      </c>
      <c r="C9" s="810" t="s">
        <v>405</v>
      </c>
      <c r="D9" s="811"/>
      <c r="E9" s="811"/>
      <c r="F9" s="812"/>
      <c r="H9" s="342" t="s">
        <v>3</v>
      </c>
      <c r="I9" s="820" t="s">
        <v>406</v>
      </c>
      <c r="J9" s="811"/>
      <c r="K9" s="812"/>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32.25" customHeight="1">
      <c r="B22" s="201" t="str">
        <f>+'Introducerea datelor'!B36&amp; " - in ("&amp;'Introducerea datelor'!D26&amp;")  "&amp;+I3&amp;" "&amp;+K3</f>
        <v>F2: Bugetul și cheltuielile actuale după Obiectivele Grantului - in (€)  Perioada de Raportare: P3</v>
      </c>
      <c r="C22" s="2"/>
      <c r="D22" s="2"/>
      <c r="E22" s="2"/>
      <c r="F22" s="2"/>
      <c r="H22" s="813" t="str">
        <f>+'Introducerea datelor'!B58&amp;"  
"&amp;+I3&amp;" "&amp;+K3</f>
        <v>F4: Ultima perioadă de raportare și debursare a RP   
Perioada de Raportare: P3</v>
      </c>
      <c r="I22" s="813"/>
      <c r="J22" s="813"/>
      <c r="K22" s="813"/>
    </row>
    <row r="23" spans="1:11" ht="204" customHeight="1">
      <c r="B23" s="496" t="s">
        <v>467</v>
      </c>
      <c r="C23" s="817" t="s">
        <v>510</v>
      </c>
      <c r="D23" s="818"/>
      <c r="E23" s="818"/>
      <c r="F23" s="819"/>
      <c r="G23" s="498"/>
      <c r="H23" s="496" t="s">
        <v>3</v>
      </c>
      <c r="I23" s="814" t="s">
        <v>511</v>
      </c>
      <c r="J23" s="815"/>
      <c r="K23" s="816"/>
    </row>
    <row r="24" spans="1:11" ht="15.75" thickBot="1">
      <c r="B24" s="210"/>
      <c r="C24" s="210"/>
      <c r="D24" s="210"/>
      <c r="E24" s="210"/>
      <c r="F24" s="210"/>
      <c r="G24" s="210"/>
      <c r="H24" s="211"/>
      <c r="I24" s="211"/>
      <c r="J24" s="210"/>
      <c r="K24" s="210"/>
    </row>
    <row r="25" spans="1:11" ht="29.25" customHeight="1" thickBot="1">
      <c r="B25" s="3"/>
      <c r="C25" s="3"/>
      <c r="D25" s="3"/>
      <c r="E25" s="3"/>
      <c r="F25" s="3"/>
      <c r="G25" s="316"/>
      <c r="H25" s="807" t="s">
        <v>254</v>
      </c>
      <c r="I25" s="808"/>
      <c r="J25" s="808"/>
      <c r="K25" s="809"/>
    </row>
    <row r="26" spans="1:11">
      <c r="B26" s="3"/>
      <c r="C26" s="3"/>
      <c r="D26" s="3"/>
      <c r="E26" s="3"/>
      <c r="F26" s="3"/>
      <c r="G26" s="279"/>
      <c r="H26" s="804"/>
      <c r="I26" s="805"/>
      <c r="J26" s="295" t="s">
        <v>45</v>
      </c>
      <c r="K26" s="296" t="s">
        <v>46</v>
      </c>
    </row>
    <row r="27" spans="1:11" ht="23.25" customHeight="1">
      <c r="B27" s="3"/>
      <c r="C27" s="3"/>
      <c r="D27" s="3"/>
      <c r="E27" s="3"/>
      <c r="F27" s="3"/>
      <c r="G27" s="317"/>
      <c r="H27" s="802" t="str">
        <f>'Introducerea datelor'!B62</f>
        <v>Zile necesare pentru remiterea PU/DR final către ALF</v>
      </c>
      <c r="I27" s="803"/>
      <c r="J27" s="297">
        <v>0</v>
      </c>
      <c r="K27" s="543">
        <v>0</v>
      </c>
    </row>
    <row r="28" spans="1:11" ht="21" customHeight="1">
      <c r="B28" s="3"/>
      <c r="C28" s="3"/>
      <c r="D28" s="3"/>
      <c r="E28" s="3"/>
      <c r="F28" s="3"/>
      <c r="G28" s="317"/>
      <c r="H28" s="802" t="str">
        <f>'Introducerea datelor'!B63</f>
        <v>Zile necesare pentru debursare către RP</v>
      </c>
      <c r="I28" s="803"/>
      <c r="J28" s="297">
        <f>+'Introducerea datelor'!C63</f>
        <v>0</v>
      </c>
      <c r="K28" s="543">
        <f>+'Introducerea datelor'!D63</f>
        <v>0</v>
      </c>
    </row>
    <row r="29" spans="1:11" ht="21" customHeight="1" thickBot="1">
      <c r="B29" s="3"/>
      <c r="C29" s="3"/>
      <c r="D29" s="3"/>
      <c r="E29" s="3"/>
      <c r="F29" s="3"/>
      <c r="G29" s="317"/>
      <c r="H29" s="800" t="str">
        <f>'Introducerea datelor'!B64</f>
        <v>Zile necesare pentru debursare către SR</v>
      </c>
      <c r="I29" s="801"/>
      <c r="J29" s="298">
        <f>+'Introducerea datelor'!C64</f>
        <v>0</v>
      </c>
      <c r="K29" s="544">
        <f>+'Introducerea datelor'!D64</f>
        <v>0</v>
      </c>
    </row>
    <row r="30" spans="1:11">
      <c r="B30" s="3"/>
      <c r="C30" s="3"/>
      <c r="D30" s="3"/>
      <c r="E30" s="3"/>
      <c r="F30" s="3"/>
      <c r="G30" s="3"/>
      <c r="H30" s="3"/>
      <c r="I30" s="3"/>
      <c r="J30" s="3"/>
      <c r="K30" s="3"/>
    </row>
    <row r="31" spans="1:11">
      <c r="B31" s="3"/>
      <c r="C31" s="15"/>
      <c r="D31" s="232"/>
      <c r="E31" s="3"/>
      <c r="F31" s="3"/>
      <c r="G31" s="3"/>
      <c r="H31" s="3"/>
      <c r="I31" s="3"/>
      <c r="J31" s="3"/>
      <c r="K31" s="3"/>
    </row>
    <row r="32" spans="1:11">
      <c r="B32" s="3"/>
      <c r="C32" s="15"/>
      <c r="D32" s="232"/>
      <c r="E32" s="3"/>
      <c r="F32" s="3"/>
      <c r="G32" s="3"/>
      <c r="H32" s="3"/>
      <c r="I32" s="3"/>
      <c r="J32" s="3"/>
      <c r="K32" s="3"/>
    </row>
    <row r="34" spans="5:5">
      <c r="E34" s="19"/>
    </row>
  </sheetData>
  <mergeCells count="19">
    <mergeCell ref="H29:I29"/>
    <mergeCell ref="H28:I28"/>
    <mergeCell ref="H27:I27"/>
    <mergeCell ref="H26:I26"/>
    <mergeCell ref="E6:H6"/>
    <mergeCell ref="H25:K25"/>
    <mergeCell ref="C9:F9"/>
    <mergeCell ref="H22:K22"/>
    <mergeCell ref="I23:K23"/>
    <mergeCell ref="C23:F23"/>
    <mergeCell ref="I9:K9"/>
    <mergeCell ref="B2:K2"/>
    <mergeCell ref="D5:I5"/>
    <mergeCell ref="I4:J4"/>
    <mergeCell ref="I3:J3"/>
    <mergeCell ref="E3:H3"/>
    <mergeCell ref="C3:D3"/>
    <mergeCell ref="C4:D4"/>
    <mergeCell ref="E4:H4"/>
  </mergeCells>
  <phoneticPr fontId="30" type="noConversion"/>
  <conditionalFormatting sqref="K27:K29">
    <cfRule type="cellIs" dxfId="41" priority="4" stopIfTrue="1" operator="greaterThan">
      <formula>J27</formula>
    </cfRule>
    <cfRule type="cellIs" dxfId="40" priority="5" stopIfTrue="1" operator="between">
      <formula>J27</formula>
      <formula>1</formula>
    </cfRule>
    <cfRule type="cellIs" dxfId="39" priority="6" stopIfTrue="1" operator="equal">
      <formula>0</formula>
    </cfRule>
  </conditionalFormatting>
  <conditionalFormatting sqref="C4:D4">
    <cfRule type="cellIs" dxfId="38" priority="1" stopIfTrue="1" operator="equal">
      <formula>"C"</formula>
    </cfRule>
    <cfRule type="cellIs" dxfId="37" priority="2" stopIfTrue="1" operator="equal">
      <formula>"B2"</formula>
    </cfRule>
    <cfRule type="cellIs" dxfId="36" priority="3" stopIfTrue="1" operator="equal">
      <formula>"B1"</formula>
    </cfRule>
  </conditionalFormatting>
  <pageMargins left="0.25" right="0.25" top="0.75" bottom="0.75" header="0.3" footer="0.3"/>
  <pageSetup paperSize="9" scale="81" orientation="portrait" r:id="rId1"/>
  <headerFooter>
    <oddFooter>&amp;L
&amp;C&amp;A&amp;RV1.0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6"/>
  <sheetViews>
    <sheetView showGridLines="0" topLeftCell="A19" zoomScaleNormal="100" zoomScalePageLayoutView="85" workbookViewId="0">
      <selection activeCell="O9" sqref="O9"/>
    </sheetView>
  </sheetViews>
  <sheetFormatPr defaultColWidth="11" defaultRowHeight="15"/>
  <cols>
    <col min="1" max="1" width="3.25" customWidth="1"/>
    <col min="2" max="2" width="10.375" customWidth="1"/>
    <col min="3" max="3" width="12.375" customWidth="1"/>
    <col min="4" max="4" width="13.125" customWidth="1"/>
    <col min="5" max="5" width="11.375" customWidth="1"/>
    <col min="6" max="6" width="17" customWidth="1"/>
    <col min="7" max="7" width="3.875" customWidth="1"/>
    <col min="8" max="8" width="9.875" customWidth="1"/>
    <col min="9" max="9" width="13" customWidth="1"/>
    <col min="10" max="10" width="13.75" customWidth="1"/>
    <col min="11" max="11" width="13.625" customWidth="1"/>
    <col min="12" max="12" width="14.125" customWidth="1"/>
  </cols>
  <sheetData>
    <row r="1" spans="1:16" ht="28.5" customHeight="1">
      <c r="C1" s="228"/>
      <c r="E1" s="229"/>
    </row>
    <row r="2" spans="1:16" ht="27.75" customHeight="1">
      <c r="B2" s="827" t="str">
        <f>+"Dashboard:  "&amp;"  "&amp;IF(+'Introducerea datelor'!C4="Please Select","",'Introducerea datelor'!C4&amp;" - ")&amp;IF('Introducerea datelor'!G6="Please Select","",'Introducerea datelor'!G6)</f>
        <v>Dashboard:    Moldova - HIV / AIDS</v>
      </c>
      <c r="C2" s="827"/>
      <c r="D2" s="827"/>
      <c r="E2" s="827"/>
      <c r="F2" s="827"/>
      <c r="G2" s="827"/>
      <c r="H2" s="827"/>
      <c r="I2" s="827"/>
      <c r="J2" s="827"/>
      <c r="K2" s="827"/>
      <c r="L2" s="827"/>
      <c r="M2" s="26"/>
      <c r="N2" s="26"/>
      <c r="O2" s="26"/>
      <c r="P2" s="26"/>
    </row>
    <row r="3" spans="1:16">
      <c r="B3" s="24" t="str">
        <f>+IF('Introducerea datelor'!G8="Please Select","",'Introducerea datelor'!G8)</f>
        <v/>
      </c>
      <c r="C3" s="825">
        <f>+IF('Introducerea datelor'!I8="Please Select","",'Introducerea datelor'!I8)</f>
        <v>0</v>
      </c>
      <c r="D3" s="825"/>
      <c r="E3" s="826"/>
      <c r="F3" s="826"/>
      <c r="G3" s="826"/>
      <c r="H3" s="826"/>
      <c r="I3" s="826"/>
      <c r="J3" s="829" t="str">
        <f>+'Introducerea datelor'!B16</f>
        <v>Perioada de Raportare:</v>
      </c>
      <c r="K3" s="829"/>
      <c r="L3" s="195" t="str">
        <f>+'Introducerea datelor'!C16</f>
        <v>P3</v>
      </c>
    </row>
    <row r="4" spans="1:16">
      <c r="B4" s="24" t="str">
        <f>+'Introducerea datelor'!B12</f>
        <v>Ultimul Rating:</v>
      </c>
      <c r="C4" s="799" t="str">
        <f>+IF('Introducerea datelor'!C12="Please Select","",'Introducerea datelor'!C12)</f>
        <v>A1</v>
      </c>
      <c r="D4" s="799"/>
      <c r="E4" s="826" t="str">
        <f>+'Introducerea datelor'!C8</f>
        <v>IP "UCIMP DS"</v>
      </c>
      <c r="F4" s="826"/>
      <c r="G4" s="826"/>
      <c r="H4" s="826"/>
      <c r="I4" s="826"/>
      <c r="J4" s="829" t="str">
        <f>+'Introducerea datelor'!D16</f>
        <v>De la:</v>
      </c>
      <c r="K4" s="833"/>
      <c r="L4" s="197">
        <f>+IF(ISBLANK('Introducerea datelor'!E16),"",'Introducerea datelor'!E16)</f>
        <v>42370</v>
      </c>
    </row>
    <row r="5" spans="1:16" ht="31.5" customHeight="1">
      <c r="B5" s="24"/>
      <c r="C5" s="24"/>
      <c r="D5" s="836" t="str">
        <f>+'Introducerea datelor'!G4</f>
        <v xml:space="preserve">Fortificarea controlului infecției HIV în RM (2015-2017)
</v>
      </c>
      <c r="E5" s="836"/>
      <c r="F5" s="836"/>
      <c r="G5" s="836"/>
      <c r="H5" s="836"/>
      <c r="I5" s="836"/>
      <c r="J5" s="836"/>
      <c r="K5" s="24" t="str">
        <f>+'Introducerea datelor'!F16</f>
        <v>Pînă la:</v>
      </c>
      <c r="L5" s="197">
        <f>+IF(ISBLANK('Introducerea datelor'!G16),"",'Introducerea datelor'!G16)</f>
        <v>42551</v>
      </c>
    </row>
    <row r="6" spans="1:16" ht="18.75">
      <c r="B6" s="23"/>
      <c r="C6" s="24"/>
      <c r="D6" s="25"/>
      <c r="E6" s="828" t="s">
        <v>48</v>
      </c>
      <c r="F6" s="828"/>
      <c r="G6" s="828"/>
      <c r="H6" s="828"/>
      <c r="I6" s="828"/>
    </row>
    <row r="7" spans="1:16" ht="22.5" customHeight="1">
      <c r="B7" s="366" t="str">
        <f>+'Introducerea datelor'!B69&amp;"   "&amp;+J3&amp;" "&amp;+L3</f>
        <v>M1: Statutul Condițiilor Precedente și a Acțiunilor Prestabilite în Timp    Perioada de Raportare: P3</v>
      </c>
      <c r="C7" s="21"/>
      <c r="H7" s="366" t="str">
        <f>+'Introducerea datelor'!B76&amp;"   "&amp;+J3&amp;"  "&amp;+L3</f>
        <v>M2: Statutul pozițiilor cheie ale RP    Perioada de Raportare:  P3</v>
      </c>
    </row>
    <row r="8" spans="1:16" ht="168" customHeight="1">
      <c r="B8" s="343" t="s">
        <v>3</v>
      </c>
      <c r="C8" s="837" t="s">
        <v>512</v>
      </c>
      <c r="D8" s="838"/>
      <c r="E8" s="838"/>
      <c r="F8" s="839"/>
      <c r="G8" s="367"/>
      <c r="H8" s="342" t="s">
        <v>3</v>
      </c>
      <c r="I8" s="820" t="s">
        <v>475</v>
      </c>
      <c r="J8" s="834"/>
      <c r="K8" s="834"/>
      <c r="L8" s="835"/>
    </row>
    <row r="9" spans="1:16" s="36" customFormat="1" ht="112.5" customHeight="1">
      <c r="B9" s="210"/>
      <c r="C9" s="545"/>
      <c r="D9" s="545"/>
      <c r="E9" s="545"/>
      <c r="F9" s="545"/>
      <c r="G9" s="546"/>
      <c r="H9" s="211"/>
      <c r="I9" s="547"/>
      <c r="J9" s="548"/>
      <c r="K9" s="548"/>
      <c r="L9" s="548"/>
    </row>
    <row r="10" spans="1:16" ht="48" customHeight="1">
      <c r="B10" s="19"/>
      <c r="C10" s="19"/>
      <c r="D10" s="19"/>
      <c r="E10" s="19"/>
      <c r="F10" s="19"/>
      <c r="G10" s="19"/>
      <c r="H10" s="19"/>
    </row>
    <row r="11" spans="1:16">
      <c r="A11" s="47"/>
      <c r="B11" s="19"/>
      <c r="C11" s="19"/>
      <c r="D11" s="840"/>
      <c r="E11" s="631"/>
      <c r="F11" s="631"/>
      <c r="G11" s="204"/>
      <c r="H11" s="19"/>
      <c r="N11" s="49"/>
      <c r="O11" s="49"/>
      <c r="P11" s="48"/>
    </row>
    <row r="12" spans="1:16">
      <c r="B12" s="19"/>
      <c r="C12" s="28"/>
      <c r="D12" s="840"/>
      <c r="E12" s="28"/>
      <c r="F12" s="28"/>
      <c r="G12" s="28"/>
      <c r="H12" s="28"/>
      <c r="N12" s="19"/>
      <c r="O12" s="19"/>
    </row>
    <row r="13" spans="1:16">
      <c r="B13" s="28"/>
      <c r="C13" s="79"/>
      <c r="D13" s="80"/>
      <c r="E13" s="80"/>
      <c r="F13" s="80"/>
      <c r="G13" s="80"/>
      <c r="H13" s="81"/>
    </row>
    <row r="14" spans="1:16" ht="27.75" customHeight="1">
      <c r="B14" s="366" t="str">
        <f>+'Introducerea datelor'!B81&amp;"     "&amp;+J3&amp;" "&amp;+L3</f>
        <v>M3: Aranjamente contractuale (SR)      Perioada de Raportare: P3</v>
      </c>
      <c r="H14" s="366" t="str">
        <f>+'Introducerea datelor'!B86&amp;"          "&amp;+J3&amp;" "&amp;+L3</f>
        <v>M4: Numărul rapoartelor complete recepționate la timp          Perioada de Raportare: P3</v>
      </c>
    </row>
    <row r="15" spans="1:16" ht="26.25" customHeight="1">
      <c r="B15" s="343" t="s">
        <v>3</v>
      </c>
      <c r="C15" s="837" t="s">
        <v>411</v>
      </c>
      <c r="D15" s="842"/>
      <c r="E15" s="842"/>
      <c r="F15" s="843"/>
      <c r="G15" s="367"/>
      <c r="H15" s="342" t="s">
        <v>3</v>
      </c>
      <c r="I15" s="837" t="s">
        <v>411</v>
      </c>
      <c r="J15" s="838"/>
      <c r="K15" s="838"/>
      <c r="L15" s="839"/>
    </row>
    <row r="16" spans="1:16">
      <c r="B16" s="29"/>
      <c r="H16" s="30"/>
    </row>
    <row r="17" spans="2:16">
      <c r="M17" s="83"/>
    </row>
    <row r="25" spans="2:16" ht="41.25" customHeight="1">
      <c r="B25" s="841" t="str">
        <f>+'Introducerea datelor'!B92</f>
        <v xml:space="preserve">M5: Bugetul și Procurarea produselor medicale, echipamentului medical, medicamentelor și produselor farmaceutice </v>
      </c>
      <c r="C25" s="841"/>
      <c r="D25" s="841"/>
      <c r="E25" s="841"/>
      <c r="F25" s="841"/>
      <c r="H25" s="366" t="str">
        <f>+'Introducerea datelor'!B105&amp;"      "&amp;+J3&amp;"  "&amp;+L3</f>
        <v>M6: Diferență între stocul curent și stocul de siguranță      Perioada de Raportare:  P3</v>
      </c>
    </row>
    <row r="26" spans="2:16" s="497" customFormat="1" ht="102.75" customHeight="1">
      <c r="B26" s="494" t="s">
        <v>3</v>
      </c>
      <c r="C26" s="822" t="s">
        <v>521</v>
      </c>
      <c r="D26" s="823"/>
      <c r="E26" s="823"/>
      <c r="F26" s="824"/>
      <c r="G26" s="495"/>
      <c r="H26" s="496" t="s">
        <v>3</v>
      </c>
      <c r="I26" s="814" t="s">
        <v>468</v>
      </c>
      <c r="J26" s="815"/>
      <c r="K26" s="815"/>
      <c r="L26" s="816"/>
      <c r="N26" s="499"/>
      <c r="O26" s="499"/>
      <c r="P26" s="499"/>
    </row>
    <row r="27" spans="2:16" ht="7.5" customHeight="1"/>
    <row r="28" spans="2:16" ht="44.25" hidden="1" customHeight="1">
      <c r="F28" s="323"/>
      <c r="G28" s="323"/>
      <c r="H28" s="216" t="s">
        <v>17</v>
      </c>
      <c r="I28" s="319" t="s">
        <v>58</v>
      </c>
      <c r="J28" s="340" t="s">
        <v>269</v>
      </c>
      <c r="K28" s="215" t="s">
        <v>265</v>
      </c>
      <c r="L28" s="320" t="s">
        <v>264</v>
      </c>
    </row>
    <row r="29" spans="2:16" ht="15" hidden="1" customHeight="1">
      <c r="F29" s="323"/>
      <c r="G29" s="323"/>
      <c r="H29" s="830" t="str">
        <f>+'Introducerea datelor'!B108</f>
        <v>Please Select</v>
      </c>
      <c r="I29" s="549" t="str">
        <f>+'Introducerea datelor'!C108</f>
        <v>Please Select</v>
      </c>
      <c r="J29" s="430" t="str">
        <f>+'Introducerea datelor'!I108</f>
        <v/>
      </c>
      <c r="K29" s="431">
        <f>+'Introducerea datelor'!J108</f>
        <v>0</v>
      </c>
      <c r="L29" s="409" t="str">
        <f>+'Introducerea datelor'!K108</f>
        <v/>
      </c>
    </row>
    <row r="30" spans="2:16" hidden="1">
      <c r="F30" s="323"/>
      <c r="G30" s="323"/>
      <c r="H30" s="831"/>
      <c r="I30" s="321" t="str">
        <f>+'Introducerea datelor'!C109</f>
        <v>Please Select</v>
      </c>
      <c r="J30" s="430" t="str">
        <f>+'Introducerea datelor'!I109</f>
        <v/>
      </c>
      <c r="K30" s="431">
        <f>+'Introducerea datelor'!J109</f>
        <v>0</v>
      </c>
      <c r="L30" s="410" t="str">
        <f>+'Introducerea datelor'!K109</f>
        <v/>
      </c>
    </row>
    <row r="31" spans="2:16" hidden="1">
      <c r="F31" s="323"/>
      <c r="G31" s="323"/>
      <c r="H31" s="831"/>
      <c r="I31" s="321" t="str">
        <f>+'Introducerea datelor'!C110</f>
        <v>Please Select</v>
      </c>
      <c r="J31" s="430" t="str">
        <f>+'Introducerea datelor'!I110</f>
        <v/>
      </c>
      <c r="K31" s="431">
        <f>+'Introducerea datelor'!J110</f>
        <v>0</v>
      </c>
      <c r="L31" s="409" t="str">
        <f>+'Introducerea datelor'!K110</f>
        <v/>
      </c>
    </row>
    <row r="32" spans="2:16" ht="15.75" hidden="1" thickBot="1">
      <c r="F32" s="323"/>
      <c r="G32" s="323"/>
      <c r="H32" s="832"/>
      <c r="I32" s="322" t="str">
        <f>+'Introducerea datelor'!C111</f>
        <v>Please Select</v>
      </c>
      <c r="J32" s="432" t="str">
        <f>+'Introducerea datelor'!I111</f>
        <v/>
      </c>
      <c r="K32" s="433">
        <f>+'Introducerea datelor'!J111</f>
        <v>0</v>
      </c>
      <c r="L32" s="409" t="str">
        <f>+'Introducerea datelor'!K111</f>
        <v/>
      </c>
    </row>
    <row r="33" spans="2:12" ht="11.25" customHeight="1"/>
    <row r="34" spans="2:12" ht="46.5" customHeight="1">
      <c r="F34" s="19"/>
      <c r="G34" s="19"/>
      <c r="H34" s="19"/>
      <c r="I34" s="19"/>
      <c r="J34" s="19"/>
      <c r="K34" s="19"/>
      <c r="L34" s="19"/>
    </row>
    <row r="35" spans="2:12" ht="73.5" customHeight="1"/>
    <row r="36" spans="2:12" ht="24.75" customHeight="1">
      <c r="B36" s="821" t="str">
        <f>+'Introducerea datelor'!B102</f>
        <v>* Include numai AFR categoriile 4, 5 și 6  (Produse medicale și Echipamente medicale &amp; Medicamente și Produse farmaceutice)</v>
      </c>
      <c r="C36" s="821"/>
      <c r="D36" s="821"/>
      <c r="E36" s="821"/>
      <c r="F36" s="19"/>
      <c r="G36" s="19"/>
      <c r="H36" s="212"/>
      <c r="I36" s="213"/>
      <c r="J36" s="214"/>
      <c r="K36" s="204"/>
      <c r="L36" s="20"/>
    </row>
  </sheetData>
  <mergeCells count="20">
    <mergeCell ref="B25:F25"/>
    <mergeCell ref="C15:F15"/>
    <mergeCell ref="E11:F11"/>
    <mergeCell ref="C8:F8"/>
    <mergeCell ref="B36:E36"/>
    <mergeCell ref="C26:F26"/>
    <mergeCell ref="C3:D3"/>
    <mergeCell ref="E4:I4"/>
    <mergeCell ref="B2:L2"/>
    <mergeCell ref="C4:D4"/>
    <mergeCell ref="E6:I6"/>
    <mergeCell ref="E3:I3"/>
    <mergeCell ref="J3:K3"/>
    <mergeCell ref="H29:H32"/>
    <mergeCell ref="J4:K4"/>
    <mergeCell ref="I8:L8"/>
    <mergeCell ref="D5:J5"/>
    <mergeCell ref="I15:L15"/>
    <mergeCell ref="I26:L26"/>
    <mergeCell ref="D11:D12"/>
  </mergeCells>
  <phoneticPr fontId="30" type="noConversion"/>
  <conditionalFormatting sqref="D13">
    <cfRule type="cellIs" dxfId="35" priority="1" stopIfTrue="1" operator="greaterThan">
      <formula>0</formula>
    </cfRule>
  </conditionalFormatting>
  <conditionalFormatting sqref="E13">
    <cfRule type="cellIs" dxfId="34" priority="2" stopIfTrue="1" operator="greaterThan">
      <formula>0</formula>
    </cfRule>
  </conditionalFormatting>
  <conditionalFormatting sqref="F13:G13">
    <cfRule type="cellIs" dxfId="33" priority="3" stopIfTrue="1" operator="greaterThan">
      <formula>0</formula>
    </cfRule>
  </conditionalFormatting>
  <conditionalFormatting sqref="C4:D4">
    <cfRule type="cellIs" dxfId="32" priority="4" stopIfTrue="1" operator="equal">
      <formula>"C"</formula>
    </cfRule>
    <cfRule type="cellIs" dxfId="31" priority="5" stopIfTrue="1" operator="equal">
      <formula>"B2"</formula>
    </cfRule>
    <cfRule type="cellIs" dxfId="30" priority="6" stopIfTrue="1" operator="equal">
      <formula>"B1"</formula>
    </cfRule>
  </conditionalFormatting>
  <conditionalFormatting sqref="L29 L31:L32">
    <cfRule type="cellIs" dxfId="29" priority="13" stopIfTrue="1" operator="lessThan">
      <formula>1</formula>
    </cfRule>
    <cfRule type="cellIs" dxfId="28" priority="14" stopIfTrue="1" operator="between">
      <formula>3</formula>
      <formula>17</formula>
    </cfRule>
    <cfRule type="cellIs" dxfId="27" priority="15" stopIfTrue="1" operator="between">
      <formula>1</formula>
      <formula>3</formula>
    </cfRule>
  </conditionalFormatting>
  <conditionalFormatting sqref="L30">
    <cfRule type="cellIs" dxfId="26" priority="16" stopIfTrue="1" operator="lessThan">
      <formula>1</formula>
    </cfRule>
    <cfRule type="cellIs" dxfId="25" priority="17" stopIfTrue="1" operator="between">
      <formula>3</formula>
      <formula>100</formula>
    </cfRule>
    <cfRule type="cellIs" dxfId="24" priority="18" stopIfTrue="1" operator="between">
      <formula>1</formula>
      <formula>3</formula>
    </cfRule>
  </conditionalFormatting>
  <pageMargins left="0.25" right="0.25" top="0.75" bottom="0.75" header="0.3" footer="0.3"/>
  <pageSetup paperSize="9" scale="67" orientation="portrait"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3"/>
  <sheetViews>
    <sheetView showGridLines="0" view="pageBreakPreview" zoomScale="60" zoomScaleNormal="100" zoomScalePageLayoutView="115" workbookViewId="0">
      <selection activeCell="L21" sqref="L21:Q21"/>
    </sheetView>
  </sheetViews>
  <sheetFormatPr defaultColWidth="11" defaultRowHeight="15"/>
  <cols>
    <col min="1" max="1" width="0.375" customWidth="1"/>
    <col min="2" max="2" width="13.875" customWidth="1"/>
    <col min="3" max="3" width="16.125" customWidth="1"/>
    <col min="4" max="4" width="17.375" customWidth="1"/>
    <col min="5" max="5" width="8" customWidth="1"/>
    <col min="6" max="6" width="8.75" customWidth="1"/>
    <col min="7" max="7" width="5.75" customWidth="1"/>
    <col min="8" max="8" width="6.25" customWidth="1"/>
    <col min="9" max="9" width="6" customWidth="1"/>
    <col min="10" max="10" width="4.125" customWidth="1"/>
    <col min="11" max="11" width="12.375" customWidth="1"/>
    <col min="12" max="12" width="9.375" customWidth="1"/>
    <col min="13" max="13" width="5" customWidth="1"/>
    <col min="14" max="14" width="6.625" customWidth="1"/>
    <col min="15" max="15" width="8.625" customWidth="1"/>
    <col min="16" max="17" width="10.75" customWidth="1"/>
    <col min="18" max="18" width="6.625" customWidth="1"/>
  </cols>
  <sheetData>
    <row r="1" spans="1:35" ht="26.25" customHeight="1">
      <c r="A1" s="3"/>
      <c r="B1" s="3"/>
      <c r="C1" s="3"/>
      <c r="D1" s="3"/>
      <c r="E1" s="3"/>
      <c r="F1" s="3"/>
      <c r="G1" s="3"/>
      <c r="H1" s="3"/>
      <c r="I1" s="3"/>
      <c r="J1" s="3"/>
      <c r="K1" s="3"/>
      <c r="L1" s="3"/>
      <c r="M1" s="3"/>
      <c r="N1" s="3"/>
      <c r="O1" s="3"/>
      <c r="P1" s="3"/>
    </row>
    <row r="2" spans="1:35" ht="21.75" customHeight="1">
      <c r="A2" s="3"/>
      <c r="B2" s="872" t="str">
        <f>+"Dashboard:  "&amp;"  "&amp;IF(+'Introducerea datelor'!C4="Please Select","",'Introducerea datelor'!C4&amp;" - ")&amp;IF('Introducerea datelor'!G6="Please Select","",'Introducerea datelor'!G6)</f>
        <v>Dashboard:    Moldova - HIV / AIDS</v>
      </c>
      <c r="C2" s="872"/>
      <c r="D2" s="872"/>
      <c r="E2" s="872"/>
      <c r="F2" s="872"/>
      <c r="G2" s="872"/>
      <c r="H2" s="872"/>
      <c r="I2" s="872"/>
      <c r="J2" s="872"/>
      <c r="K2" s="872"/>
      <c r="L2" s="872"/>
      <c r="M2" s="872"/>
      <c r="N2" s="872"/>
      <c r="O2" s="872"/>
      <c r="P2" s="872"/>
      <c r="Q2" s="872"/>
    </row>
    <row r="3" spans="1:35" ht="18.75">
      <c r="A3" s="3"/>
      <c r="B3" s="130" t="str">
        <f>+IF('Introducerea datelor'!G8="Please Select","",'Introducerea datelor'!G8)</f>
        <v/>
      </c>
      <c r="C3" s="798">
        <f>+IF('Introducerea datelor'!I8="Please Select","",'Introducerea datelor'!I8)</f>
        <v>0</v>
      </c>
      <c r="D3" s="798"/>
      <c r="E3" s="797"/>
      <c r="F3" s="797"/>
      <c r="G3" s="797"/>
      <c r="H3" s="797"/>
      <c r="I3" s="876"/>
      <c r="J3" s="876"/>
      <c r="K3" s="876"/>
      <c r="L3" s="3"/>
      <c r="M3" s="3"/>
      <c r="O3" s="795" t="str">
        <f>+'Introducerea datelor'!B16</f>
        <v>Perioada de Raportare:</v>
      </c>
      <c r="P3" s="795"/>
      <c r="Q3" s="483" t="str">
        <f>+'Introducerea datelor'!C16</f>
        <v>P3</v>
      </c>
      <c r="S3" s="36"/>
    </row>
    <row r="4" spans="1:35" ht="12" customHeight="1">
      <c r="A4" s="3"/>
      <c r="B4" s="130" t="str">
        <f>+'Introducerea datelor'!B12</f>
        <v>Ultimul Rating:</v>
      </c>
      <c r="C4" s="877" t="str">
        <f>+IF('Introducerea datelor'!C12="Please Select","",'Introducerea datelor'!C12)</f>
        <v>A1</v>
      </c>
      <c r="D4" s="877"/>
      <c r="E4" s="797" t="str">
        <f>+'Introducerea datelor'!C8</f>
        <v>IP "UCIMP DS"</v>
      </c>
      <c r="F4" s="797"/>
      <c r="G4" s="797"/>
      <c r="H4" s="797"/>
      <c r="I4" s="797"/>
      <c r="J4" s="797"/>
      <c r="K4" s="797"/>
      <c r="L4" s="797"/>
      <c r="M4" s="3"/>
      <c r="O4" s="325"/>
      <c r="P4" s="130" t="str">
        <f>+'Introducerea datelor'!D16</f>
        <v>De la:</v>
      </c>
      <c r="Q4" s="326">
        <f>+IF(ISBLANK('Introducerea datelor'!E16),"",'Introducerea datelor'!E16)</f>
        <v>42370</v>
      </c>
      <c r="S4" s="36"/>
      <c r="Y4" s="71"/>
      <c r="Z4" s="71"/>
      <c r="AA4" s="71"/>
      <c r="AB4" s="71"/>
      <c r="AC4" s="71"/>
    </row>
    <row r="5" spans="1:35" ht="54.75" customHeight="1">
      <c r="A5" s="3"/>
      <c r="B5" s="130"/>
      <c r="C5" s="130"/>
      <c r="D5" s="873" t="str">
        <f>+'Introducerea datelor'!G4</f>
        <v xml:space="preserve">Fortificarea controlului infecției HIV în RM (2015-2017)
</v>
      </c>
      <c r="E5" s="873"/>
      <c r="F5" s="873"/>
      <c r="G5" s="873"/>
      <c r="H5" s="873"/>
      <c r="I5" s="873"/>
      <c r="J5" s="873"/>
      <c r="K5" s="873"/>
      <c r="L5" s="873"/>
      <c r="M5" s="873"/>
      <c r="N5" s="873"/>
      <c r="P5" s="130" t="str">
        <f>+'Introducerea datelor'!F16</f>
        <v>Pînă la:</v>
      </c>
      <c r="Q5" s="326">
        <f>+IF(ISBLANK('Introducerea datelor'!G16),"",'Introducerea datelor'!G16)</f>
        <v>42551</v>
      </c>
      <c r="S5" s="486"/>
      <c r="T5" s="223"/>
      <c r="U5" s="223"/>
      <c r="V5" s="223"/>
      <c r="W5" s="223"/>
      <c r="X5" s="223"/>
      <c r="Y5" s="71"/>
      <c r="Z5" s="71"/>
      <c r="AA5" s="71" t="s">
        <v>27</v>
      </c>
      <c r="AB5" s="71"/>
      <c r="AC5" s="71" t="s">
        <v>227</v>
      </c>
      <c r="AD5" s="223"/>
      <c r="AE5" s="223"/>
      <c r="AF5" s="223"/>
      <c r="AG5" s="223"/>
      <c r="AH5" s="223"/>
      <c r="AI5" s="223"/>
    </row>
    <row r="6" spans="1:35" ht="19.5" customHeight="1">
      <c r="A6" s="3"/>
      <c r="B6" s="130"/>
      <c r="C6" s="130"/>
      <c r="D6" s="221"/>
      <c r="E6" s="221"/>
      <c r="F6" s="875" t="s">
        <v>485</v>
      </c>
      <c r="G6" s="875"/>
      <c r="H6" s="875"/>
      <c r="I6" s="875"/>
      <c r="J6" s="875"/>
      <c r="K6" s="875"/>
      <c r="L6" s="221"/>
      <c r="M6" s="3"/>
      <c r="N6" s="3"/>
      <c r="O6" s="198"/>
      <c r="P6" s="252"/>
      <c r="S6" s="486"/>
      <c r="T6" s="223"/>
      <c r="U6" s="223"/>
      <c r="V6" s="223"/>
      <c r="W6" s="223"/>
      <c r="X6" s="223"/>
      <c r="Y6" s="71"/>
      <c r="Z6" s="71"/>
      <c r="AA6" s="71"/>
      <c r="AB6" s="71"/>
      <c r="AC6" s="71"/>
      <c r="AD6" s="223"/>
      <c r="AE6" s="223"/>
      <c r="AF6" s="223"/>
      <c r="AG6" s="223"/>
      <c r="AH6" s="223"/>
      <c r="AI6" s="223"/>
    </row>
    <row r="7" spans="1:35" ht="3" customHeight="1">
      <c r="A7" s="3"/>
      <c r="B7" s="130"/>
      <c r="C7" s="130"/>
      <c r="D7" s="221"/>
      <c r="E7" s="221"/>
      <c r="F7" s="221"/>
      <c r="G7" s="221"/>
      <c r="H7" s="221"/>
      <c r="I7" s="221"/>
      <c r="J7" s="221"/>
      <c r="K7" s="221"/>
      <c r="L7" s="221"/>
      <c r="M7" s="3"/>
      <c r="N7" s="3"/>
      <c r="O7" s="198"/>
      <c r="P7" s="197"/>
      <c r="Q7" s="197"/>
      <c r="S7" s="223"/>
      <c r="T7" s="223"/>
      <c r="U7" s="223"/>
      <c r="V7" s="223"/>
      <c r="W7" s="223"/>
      <c r="X7" s="223"/>
      <c r="Y7" s="71"/>
      <c r="Z7" s="71"/>
      <c r="AA7" s="71"/>
      <c r="AB7" s="71"/>
      <c r="AC7" s="71"/>
      <c r="AD7" s="223"/>
      <c r="AE7" s="223"/>
      <c r="AF7" s="223"/>
      <c r="AG7" s="223"/>
      <c r="AH7" s="223"/>
      <c r="AI7" s="223"/>
    </row>
    <row r="8" spans="1:35" ht="60" customHeight="1">
      <c r="A8" s="3"/>
      <c r="B8" s="881"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8" s="881"/>
      <c r="D8" s="881"/>
      <c r="E8" s="881"/>
      <c r="F8" s="874"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G8" s="874"/>
      <c r="H8" s="874"/>
      <c r="I8" s="874"/>
      <c r="J8" s="874"/>
      <c r="K8" s="874"/>
      <c r="L8" s="874" t="str">
        <f>+'Introducerea datelor'!B124</f>
        <v>TCS-1: Percentage of adults and children currently receiving antiretroviral therapy among all adults and children living with HIV // Procentul adultilor si copiilor in TARV in totalul adultilor si copiilor care traiesc cu HIV</v>
      </c>
      <c r="M8" s="874"/>
      <c r="N8" s="874"/>
      <c r="O8" s="874"/>
      <c r="P8" s="874"/>
      <c r="Q8" s="874"/>
      <c r="S8" s="223"/>
      <c r="T8" s="223"/>
      <c r="U8" s="223"/>
      <c r="V8" s="223"/>
      <c r="W8" s="223"/>
      <c r="X8" s="223"/>
      <c r="Y8" s="71"/>
      <c r="Z8" s="71"/>
      <c r="AA8" s="71"/>
      <c r="AB8" s="71"/>
      <c r="AC8" s="71"/>
      <c r="AD8" s="223"/>
      <c r="AE8" s="223"/>
      <c r="AF8" s="223"/>
      <c r="AG8" s="223"/>
      <c r="AH8" s="223"/>
      <c r="AI8" s="223"/>
    </row>
    <row r="9" spans="1:35" ht="82.5" customHeight="1">
      <c r="A9" s="3"/>
      <c r="B9" s="449" t="s">
        <v>301</v>
      </c>
      <c r="C9" s="878" t="s">
        <v>513</v>
      </c>
      <c r="D9" s="882"/>
      <c r="E9" s="883"/>
      <c r="F9" s="449" t="s">
        <v>302</v>
      </c>
      <c r="G9" s="878" t="s">
        <v>519</v>
      </c>
      <c r="H9" s="882"/>
      <c r="I9" s="882"/>
      <c r="J9" s="882"/>
      <c r="K9" s="883"/>
      <c r="L9" s="449" t="s">
        <v>303</v>
      </c>
      <c r="M9" s="878" t="s">
        <v>522</v>
      </c>
      <c r="N9" s="879"/>
      <c r="O9" s="879"/>
      <c r="P9" s="879"/>
      <c r="Q9" s="880"/>
      <c r="S9" s="223"/>
      <c r="T9" s="223"/>
      <c r="U9" s="223"/>
      <c r="V9" s="223"/>
      <c r="W9" s="223"/>
      <c r="X9" s="223"/>
      <c r="Y9" s="223"/>
      <c r="Z9" s="223"/>
      <c r="AA9" s="223"/>
      <c r="AB9" s="223"/>
      <c r="AC9" s="223"/>
      <c r="AD9" s="223"/>
      <c r="AE9" s="223"/>
      <c r="AF9" s="223"/>
      <c r="AG9" s="223"/>
      <c r="AH9" s="223"/>
      <c r="AI9" s="223"/>
    </row>
    <row r="10" spans="1:35" ht="18.75" customHeight="1">
      <c r="A10" s="3"/>
      <c r="B10" s="130"/>
      <c r="C10" s="130"/>
      <c r="D10" s="221"/>
      <c r="E10" s="221"/>
      <c r="F10" s="221"/>
      <c r="G10" s="221"/>
      <c r="H10" s="221"/>
      <c r="I10" s="221"/>
      <c r="J10" s="221"/>
      <c r="K10" s="221"/>
      <c r="L10" s="221"/>
      <c r="M10" s="3"/>
      <c r="N10" s="3"/>
      <c r="O10" s="198"/>
      <c r="P10" s="197"/>
      <c r="S10" s="223"/>
      <c r="T10" s="223"/>
      <c r="U10" s="223"/>
      <c r="V10" s="223"/>
      <c r="W10" s="223"/>
      <c r="X10" s="223"/>
      <c r="Y10" s="223"/>
      <c r="Z10" s="223"/>
      <c r="AA10" s="223"/>
      <c r="AB10" s="223"/>
      <c r="AC10" s="223"/>
      <c r="AD10" s="223"/>
      <c r="AE10" s="223"/>
      <c r="AF10" s="223"/>
      <c r="AG10" s="223"/>
      <c r="AH10" s="223"/>
      <c r="AI10" s="223"/>
    </row>
    <row r="11" spans="1:35" ht="18.75" customHeight="1">
      <c r="A11" s="3"/>
      <c r="B11" s="130"/>
      <c r="C11" s="130"/>
      <c r="D11" s="221"/>
      <c r="E11" s="221"/>
      <c r="F11" s="221"/>
      <c r="G11" s="221"/>
      <c r="H11" s="221"/>
      <c r="I11" s="221"/>
      <c r="J11" s="221"/>
      <c r="K11" s="221"/>
      <c r="L11" s="221"/>
      <c r="M11" s="3"/>
      <c r="N11" s="3"/>
      <c r="O11" s="198"/>
      <c r="P11" s="197"/>
      <c r="S11" s="223"/>
      <c r="T11" s="223"/>
      <c r="U11" s="223"/>
      <c r="V11" s="223"/>
      <c r="W11" s="223"/>
      <c r="X11" s="223"/>
      <c r="Y11" s="223"/>
      <c r="Z11" s="223"/>
      <c r="AA11" s="223"/>
      <c r="AB11" s="223"/>
      <c r="AC11" s="223"/>
      <c r="AD11" s="223"/>
      <c r="AE11" s="223"/>
      <c r="AF11" s="223"/>
      <c r="AG11" s="223"/>
      <c r="AH11" s="223"/>
      <c r="AI11" s="223"/>
    </row>
    <row r="12" spans="1:35" ht="18.75" customHeight="1">
      <c r="A12" s="3"/>
      <c r="B12" s="130"/>
      <c r="C12" s="130"/>
      <c r="D12" s="221"/>
      <c r="E12" s="221"/>
      <c r="F12" s="221"/>
      <c r="G12" s="221"/>
      <c r="H12" s="221"/>
      <c r="I12" s="221"/>
      <c r="J12" s="221"/>
      <c r="K12" s="221"/>
      <c r="L12" s="221"/>
      <c r="M12" s="3"/>
      <c r="N12" s="3"/>
      <c r="O12" s="198"/>
      <c r="P12" s="197"/>
      <c r="S12" s="223"/>
      <c r="T12" s="223"/>
      <c r="U12" s="223"/>
      <c r="V12" s="223"/>
      <c r="W12" s="223"/>
      <c r="X12" s="223"/>
      <c r="Y12" s="223"/>
      <c r="Z12" s="223"/>
      <c r="AA12" s="223"/>
      <c r="AB12" s="223"/>
      <c r="AC12" s="223"/>
      <c r="AD12" s="223"/>
      <c r="AE12" s="223"/>
      <c r="AF12" s="223"/>
      <c r="AG12" s="223"/>
      <c r="AH12" s="223"/>
      <c r="AI12" s="223"/>
    </row>
    <row r="13" spans="1:35" ht="18.75" customHeight="1">
      <c r="A13" s="3"/>
      <c r="B13" s="130"/>
      <c r="C13" s="130"/>
      <c r="D13" s="221"/>
      <c r="E13" s="221"/>
      <c r="F13" s="221"/>
      <c r="G13" s="221"/>
      <c r="H13" s="221"/>
      <c r="I13" s="221"/>
      <c r="J13" s="221"/>
      <c r="K13" s="221"/>
      <c r="L13" s="221"/>
      <c r="M13" s="3"/>
      <c r="N13" s="3"/>
      <c r="O13" s="198"/>
      <c r="P13" s="197"/>
      <c r="S13" s="223"/>
      <c r="T13" s="223"/>
      <c r="U13" s="223"/>
      <c r="V13" s="223"/>
      <c r="W13" s="223"/>
      <c r="X13" s="223"/>
      <c r="Y13" s="223"/>
      <c r="Z13" s="223"/>
      <c r="AA13" s="223"/>
      <c r="AB13" s="223"/>
      <c r="AC13" s="223"/>
      <c r="AD13" s="223"/>
      <c r="AE13" s="223"/>
      <c r="AF13" s="223"/>
      <c r="AG13" s="223"/>
      <c r="AH13" s="223"/>
      <c r="AI13" s="223"/>
    </row>
    <row r="14" spans="1:35" ht="18.75" customHeight="1">
      <c r="A14" s="3"/>
      <c r="B14" s="130"/>
      <c r="C14" s="130"/>
      <c r="D14" s="221"/>
      <c r="E14" s="221"/>
      <c r="F14" s="221"/>
      <c r="G14" s="221"/>
      <c r="H14" s="221"/>
      <c r="I14" s="221"/>
      <c r="J14" s="221"/>
      <c r="K14" s="221"/>
      <c r="L14" s="221"/>
      <c r="M14" s="3"/>
      <c r="N14" s="3"/>
      <c r="O14" s="198"/>
      <c r="P14" s="197"/>
      <c r="S14" s="223"/>
      <c r="T14" s="223"/>
      <c r="U14" s="223"/>
      <c r="V14" s="223"/>
      <c r="W14" s="223"/>
      <c r="X14" s="223"/>
      <c r="Y14" s="223"/>
      <c r="Z14" s="223"/>
      <c r="AA14" s="223"/>
      <c r="AB14" s="223"/>
      <c r="AC14" s="223"/>
      <c r="AD14" s="223"/>
      <c r="AE14" s="223"/>
      <c r="AF14" s="223"/>
      <c r="AG14" s="223"/>
      <c r="AH14" s="223"/>
      <c r="AI14" s="223"/>
    </row>
    <row r="15" spans="1:35" ht="18.75" customHeight="1">
      <c r="A15" s="3"/>
      <c r="B15" s="130"/>
      <c r="C15" s="130"/>
      <c r="D15" s="221"/>
      <c r="E15" s="221"/>
      <c r="F15" s="221"/>
      <c r="G15" s="221"/>
      <c r="H15" s="221"/>
      <c r="I15" s="221"/>
      <c r="J15" s="221"/>
      <c r="K15" s="221"/>
      <c r="L15" s="221"/>
      <c r="M15" s="3"/>
      <c r="N15" s="3"/>
      <c r="O15" s="198"/>
      <c r="P15" s="197"/>
      <c r="S15" s="223"/>
      <c r="T15" s="223"/>
      <c r="U15" s="223"/>
      <c r="V15" s="223"/>
      <c r="W15" s="223"/>
      <c r="X15" s="223"/>
      <c r="Y15" s="223"/>
      <c r="Z15" s="223"/>
      <c r="AA15" s="223"/>
      <c r="AB15" s="223"/>
      <c r="AC15" s="223"/>
      <c r="AD15" s="223"/>
      <c r="AE15" s="223"/>
      <c r="AF15" s="223"/>
      <c r="AG15" s="223"/>
      <c r="AH15" s="223"/>
      <c r="AI15" s="223"/>
    </row>
    <row r="16" spans="1:35" ht="18.75" customHeight="1">
      <c r="A16" s="3"/>
      <c r="B16" s="130"/>
      <c r="C16" s="130"/>
      <c r="D16" s="221"/>
      <c r="E16" s="221"/>
      <c r="F16" s="221"/>
      <c r="G16" s="221"/>
      <c r="H16" s="221"/>
      <c r="I16" s="221"/>
      <c r="J16" s="221"/>
      <c r="K16" s="221"/>
      <c r="L16" s="221"/>
      <c r="M16" s="3"/>
      <c r="N16" s="3"/>
      <c r="O16" s="198"/>
      <c r="P16" s="197"/>
      <c r="S16" s="223"/>
      <c r="T16" s="223"/>
      <c r="U16" s="223"/>
      <c r="V16" s="223"/>
      <c r="W16" s="223"/>
      <c r="X16" s="223"/>
      <c r="Y16" s="223"/>
      <c r="Z16" s="223"/>
      <c r="AA16" s="223"/>
      <c r="AB16" s="223"/>
      <c r="AC16" s="223"/>
      <c r="AD16" s="223"/>
      <c r="AE16" s="223"/>
      <c r="AF16" s="223"/>
      <c r="AG16" s="223"/>
      <c r="AH16" s="223"/>
      <c r="AI16" s="223"/>
    </row>
    <row r="17" spans="1:35" ht="26.25" customHeight="1">
      <c r="A17" s="3"/>
      <c r="B17" s="130"/>
      <c r="C17" s="130"/>
      <c r="D17" s="221"/>
      <c r="E17" s="221"/>
      <c r="F17" s="221"/>
      <c r="G17" s="221"/>
      <c r="H17" s="221"/>
      <c r="I17" s="221"/>
      <c r="J17" s="221"/>
      <c r="K17" s="221"/>
      <c r="L17" s="221"/>
      <c r="M17" s="3"/>
      <c r="N17" s="3"/>
      <c r="O17" s="198"/>
      <c r="P17" s="197"/>
      <c r="S17" s="223"/>
      <c r="T17" s="223"/>
      <c r="U17" s="223"/>
      <c r="V17" s="223"/>
      <c r="W17" s="223"/>
      <c r="X17" s="223"/>
      <c r="Y17" s="223"/>
      <c r="Z17" s="223"/>
      <c r="AA17" s="223"/>
      <c r="AB17" s="223"/>
      <c r="AC17" s="223"/>
      <c r="AD17" s="223"/>
      <c r="AE17" s="223"/>
      <c r="AF17" s="223"/>
      <c r="AG17" s="223"/>
      <c r="AH17" s="223"/>
      <c r="AI17" s="223"/>
    </row>
    <row r="18" spans="1:35" ht="22.5" customHeight="1">
      <c r="A18" s="3"/>
      <c r="B18" s="134"/>
      <c r="C18" s="130"/>
      <c r="D18" s="131"/>
      <c r="E18" s="857"/>
      <c r="F18" s="857"/>
      <c r="G18" s="857"/>
      <c r="H18" s="857"/>
      <c r="I18" s="857"/>
      <c r="J18" s="857"/>
      <c r="K18" s="857"/>
      <c r="L18" s="3"/>
      <c r="M18" s="3"/>
      <c r="N18" s="3"/>
      <c r="O18" s="3"/>
      <c r="P18" s="3"/>
      <c r="S18" s="223"/>
      <c r="T18" s="223"/>
      <c r="U18" s="223"/>
      <c r="V18" s="223"/>
      <c r="W18" s="223"/>
      <c r="X18" s="223"/>
      <c r="Y18" s="223"/>
      <c r="Z18" s="223"/>
      <c r="AA18" s="223"/>
      <c r="AB18" s="223"/>
      <c r="AC18" s="223"/>
      <c r="AD18" s="223"/>
      <c r="AE18" s="223"/>
      <c r="AF18" s="223"/>
      <c r="AG18" s="223"/>
      <c r="AH18" s="223"/>
      <c r="AI18" s="223"/>
    </row>
    <row r="19" spans="1:35" ht="24" customHeight="1">
      <c r="A19" s="3"/>
      <c r="B19" s="858" t="s">
        <v>65</v>
      </c>
      <c r="C19" s="858"/>
      <c r="D19" s="858"/>
      <c r="E19" s="141" t="s">
        <v>62</v>
      </c>
      <c r="F19" s="141" t="s">
        <v>66</v>
      </c>
      <c r="G19" s="850" t="s">
        <v>266</v>
      </c>
      <c r="H19" s="851"/>
      <c r="I19" s="852" t="s">
        <v>267</v>
      </c>
      <c r="J19" s="853"/>
      <c r="K19" s="324" t="s">
        <v>268</v>
      </c>
      <c r="L19" s="854" t="s">
        <v>69</v>
      </c>
      <c r="M19" s="855"/>
      <c r="N19" s="855"/>
      <c r="O19" s="855"/>
      <c r="P19" s="855"/>
      <c r="Q19" s="856"/>
      <c r="S19" s="65" t="s">
        <v>67</v>
      </c>
      <c r="T19" s="66">
        <v>0</v>
      </c>
      <c r="U19" s="67">
        <v>0.3</v>
      </c>
      <c r="V19" s="67">
        <v>0.6</v>
      </c>
      <c r="W19" s="67">
        <v>0.9</v>
      </c>
      <c r="X19" s="67">
        <v>1</v>
      </c>
      <c r="Y19" s="71"/>
      <c r="Z19" s="71"/>
      <c r="AA19" s="65" t="s">
        <v>67</v>
      </c>
      <c r="AB19" s="66">
        <v>0</v>
      </c>
      <c r="AC19" s="67">
        <v>0.2</v>
      </c>
      <c r="AD19" s="67">
        <v>0.4</v>
      </c>
      <c r="AE19" s="67">
        <v>0.6</v>
      </c>
      <c r="AF19" s="67">
        <v>0.8</v>
      </c>
      <c r="AG19" s="71"/>
      <c r="AH19" s="71"/>
      <c r="AI19" s="71"/>
    </row>
    <row r="20" spans="1:35" ht="55.5" customHeight="1">
      <c r="A20" s="3"/>
      <c r="B20" s="844"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0" s="845"/>
      <c r="D20" s="845"/>
      <c r="E20" s="510">
        <v>0.83</v>
      </c>
      <c r="F20" s="510">
        <v>0.84</v>
      </c>
      <c r="G20" s="846">
        <f>F20/E20</f>
        <v>1.0120481927710843</v>
      </c>
      <c r="H20" s="847"/>
      <c r="I20" s="847"/>
      <c r="J20" s="847"/>
      <c r="K20" s="848"/>
      <c r="L20" s="861" t="s">
        <v>523</v>
      </c>
      <c r="M20" s="862"/>
      <c r="N20" s="862"/>
      <c r="O20" s="862"/>
      <c r="P20" s="862"/>
      <c r="Q20" s="862"/>
      <c r="S20" s="65" t="s">
        <v>68</v>
      </c>
      <c r="T20" s="68">
        <v>0.3</v>
      </c>
      <c r="U20" s="67">
        <v>0.6</v>
      </c>
      <c r="V20" s="67">
        <v>0.9</v>
      </c>
      <c r="W20" s="67">
        <v>1</v>
      </c>
      <c r="X20" s="67">
        <v>2</v>
      </c>
      <c r="Y20" s="71"/>
      <c r="Z20" s="71"/>
      <c r="AA20" s="65" t="s">
        <v>68</v>
      </c>
      <c r="AB20" s="68">
        <v>0.2</v>
      </c>
      <c r="AC20" s="67">
        <v>0.4</v>
      </c>
      <c r="AD20" s="67">
        <v>0.6</v>
      </c>
      <c r="AE20" s="67">
        <v>0.8</v>
      </c>
      <c r="AF20" s="67">
        <v>1</v>
      </c>
      <c r="AG20" s="71"/>
      <c r="AH20" s="71"/>
      <c r="AI20" s="71"/>
    </row>
    <row r="21" spans="1:35" ht="178.5" customHeight="1">
      <c r="A21" s="3"/>
      <c r="B21" s="845"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21" s="845"/>
      <c r="D21" s="845"/>
      <c r="E21" s="510">
        <v>0.95</v>
      </c>
      <c r="F21" s="510">
        <v>0.96</v>
      </c>
      <c r="G21" s="846">
        <f>F21/E21</f>
        <v>1.0105263157894737</v>
      </c>
      <c r="H21" s="847"/>
      <c r="I21" s="847"/>
      <c r="J21" s="847"/>
      <c r="K21" s="848"/>
      <c r="L21" s="863" t="s">
        <v>514</v>
      </c>
      <c r="M21" s="864"/>
      <c r="N21" s="864"/>
      <c r="O21" s="864"/>
      <c r="P21" s="864"/>
      <c r="Q21" s="864"/>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228</v>
      </c>
      <c r="AA21" s="69" t="s">
        <v>227</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56.25" customHeight="1">
      <c r="A22" s="3"/>
      <c r="B22" s="844" t="str">
        <f>+'Introducerea datelor'!B122</f>
        <v>PMTCT-3: Percentage of infants born to HIV-positive women receiving a virological test for HIV within 2 months of birth // Procentul copiilor nascuti de femei  infectate cu HIV care au fost testati la HIV in primele 2 luni de la nastere</v>
      </c>
      <c r="C22" s="845"/>
      <c r="D22" s="845"/>
      <c r="E22" s="510">
        <v>0.9</v>
      </c>
      <c r="F22" s="510">
        <v>0.93200000000000005</v>
      </c>
      <c r="G22" s="846">
        <f>F22/E22</f>
        <v>1.0355555555555556</v>
      </c>
      <c r="H22" s="847"/>
      <c r="I22" s="847"/>
      <c r="J22" s="847"/>
      <c r="K22" s="848"/>
      <c r="L22" s="863" t="s">
        <v>520</v>
      </c>
      <c r="M22" s="864"/>
      <c r="N22" s="864"/>
      <c r="O22" s="864"/>
      <c r="P22" s="864"/>
      <c r="Q22" s="864"/>
      <c r="S22" s="69"/>
      <c r="T22" s="67" t="e">
        <f t="shared" ref="T22:W23" si="0">IF($K19&gt;T$19,IF($K19&lt;=T$20,$K19,NA()),NA())</f>
        <v>#N/A</v>
      </c>
      <c r="U22" s="67" t="e">
        <f t="shared" si="0"/>
        <v>#N/A</v>
      </c>
      <c r="V22" s="67" t="e">
        <f t="shared" si="0"/>
        <v>#N/A</v>
      </c>
      <c r="W22" s="67" t="e">
        <f t="shared" si="0"/>
        <v>#N/A</v>
      </c>
      <c r="X22" s="67" t="e">
        <f>IF($K19&gt;X$19,IF($K19&lt;=X$20,1,NA()),NA())</f>
        <v>#N/A</v>
      </c>
      <c r="Y22" s="71"/>
      <c r="Z22" s="194" t="e">
        <f>+'Detalii despre Grant'!#REF!</f>
        <v>#REF!</v>
      </c>
      <c r="AA22" s="67" t="e">
        <f>+IF(Z22="A1",1,IF(Z22="A2",0.8,IF(Z22="B1",0.6,IF(Z22="B2",0.4,0.2))))</f>
        <v>#REF!</v>
      </c>
      <c r="AB22" s="67" t="e">
        <f t="shared" ref="AB22:AF25" si="1">IF($AA22&gt;AB$19,IF($AA22&lt;=AB$20,$AA22,NA()),NA())</f>
        <v>#REF!</v>
      </c>
      <c r="AC22" s="67" t="e">
        <f t="shared" si="1"/>
        <v>#REF!</v>
      </c>
      <c r="AD22" s="67" t="e">
        <f t="shared" si="1"/>
        <v>#REF!</v>
      </c>
      <c r="AE22" s="67" t="e">
        <f t="shared" si="1"/>
        <v>#REF!</v>
      </c>
      <c r="AF22" s="67" t="e">
        <f t="shared" si="1"/>
        <v>#REF!</v>
      </c>
      <c r="AG22" s="71"/>
      <c r="AH22" s="71"/>
      <c r="AI22" s="71"/>
    </row>
    <row r="23" spans="1:35" ht="124.5" customHeight="1">
      <c r="A23" s="3"/>
      <c r="B23" s="845" t="str">
        <f>+'Introducerea datelor'!B124</f>
        <v>TCS-1: Percentage of adults and children currently receiving antiretroviral therapy among all adults and children living with HIV // Procentul adultilor si copiilor in TARV in totalul adultilor si copiilor care traiesc cu HIV</v>
      </c>
      <c r="C23" s="845"/>
      <c r="D23" s="845"/>
      <c r="E23" s="510" t="s">
        <v>515</v>
      </c>
      <c r="F23" s="510" t="s">
        <v>515</v>
      </c>
      <c r="G23" s="846" t="s">
        <v>515</v>
      </c>
      <c r="H23" s="847"/>
      <c r="I23" s="847"/>
      <c r="J23" s="847"/>
      <c r="K23" s="848"/>
      <c r="L23" s="861" t="s">
        <v>516</v>
      </c>
      <c r="M23" s="862"/>
      <c r="N23" s="862"/>
      <c r="O23" s="862"/>
      <c r="P23" s="862"/>
      <c r="Q23" s="862"/>
      <c r="S23" s="69"/>
      <c r="T23" s="67" t="e">
        <f t="shared" si="0"/>
        <v>#N/A</v>
      </c>
      <c r="U23" s="67" t="e">
        <f t="shared" si="0"/>
        <v>#N/A</v>
      </c>
      <c r="V23" s="67" t="e">
        <f t="shared" si="0"/>
        <v>#N/A</v>
      </c>
      <c r="W23" s="67" t="e">
        <f t="shared" si="0"/>
        <v>#N/A</v>
      </c>
      <c r="X23" s="67" t="e">
        <f>IF($K20&gt;X$19,IF($K20&lt;=X$20,1,NA()),NA())</f>
        <v>#N/A</v>
      </c>
      <c r="Y23" s="71"/>
      <c r="Z23" s="194" t="e">
        <f>+'Detalii despre Grant'!#REF!</f>
        <v>#REF!</v>
      </c>
      <c r="AA23" s="67" t="e">
        <f>+IF(Z23="A1",1,IF(Z23="A2",0.8,IF(Z23="B1",0.6,IF(Z23="B2",0.4,0.2))))</f>
        <v>#REF!</v>
      </c>
      <c r="AB23" s="67" t="e">
        <f t="shared" si="1"/>
        <v>#REF!</v>
      </c>
      <c r="AC23" s="67" t="e">
        <f t="shared" si="1"/>
        <v>#REF!</v>
      </c>
      <c r="AD23" s="67" t="e">
        <f t="shared" si="1"/>
        <v>#REF!</v>
      </c>
      <c r="AE23" s="67" t="e">
        <f t="shared" si="1"/>
        <v>#REF!</v>
      </c>
      <c r="AF23" s="67" t="e">
        <f t="shared" si="1"/>
        <v>#REF!</v>
      </c>
      <c r="AG23" s="71"/>
      <c r="AH23" s="71"/>
      <c r="AI23" s="71"/>
    </row>
    <row r="24" spans="1:35" ht="90.75" customHeight="1">
      <c r="A24" s="3"/>
      <c r="B24" s="844" t="str">
        <f>+'Introducerea datelor'!B126</f>
        <v>TCS-2: Percentage of people living with HIV that initiated ART with CD4 count of &lt;200 cells/mm³ // Procentul persoanelor infectate cu HIV care au initiat TARV cu nivelul CD4 &lt;200 celule/mm³</v>
      </c>
      <c r="C24" s="845"/>
      <c r="D24" s="845"/>
      <c r="E24" s="550" t="s">
        <v>515</v>
      </c>
      <c r="F24" s="510" t="s">
        <v>515</v>
      </c>
      <c r="G24" s="846" t="s">
        <v>515</v>
      </c>
      <c r="H24" s="847"/>
      <c r="I24" s="847"/>
      <c r="J24" s="847"/>
      <c r="K24" s="848"/>
      <c r="L24" s="849" t="s">
        <v>517</v>
      </c>
      <c r="M24" s="849"/>
      <c r="N24" s="849"/>
      <c r="O24" s="849"/>
      <c r="P24" s="849"/>
      <c r="Q24" s="849"/>
      <c r="S24" s="69"/>
      <c r="T24" s="67" t="e">
        <f t="shared" ref="T24:W25" si="2">IF($K20&gt;T$19,IF($K20&lt;=T$20,$K20,NA()),NA())</f>
        <v>#N/A</v>
      </c>
      <c r="U24" s="67" t="e">
        <f t="shared" si="2"/>
        <v>#N/A</v>
      </c>
      <c r="V24" s="67" t="e">
        <f t="shared" si="2"/>
        <v>#N/A</v>
      </c>
      <c r="W24" s="67" t="e">
        <f t="shared" si="2"/>
        <v>#N/A</v>
      </c>
      <c r="X24" s="67" t="e">
        <f>IF($K20&gt;X$19,IF($K20&lt;=X$20,1,1),NA())</f>
        <v>#N/A</v>
      </c>
      <c r="Y24" s="71"/>
      <c r="Z24" s="194" t="e">
        <f>+'Detalii despre Grant'!#REF!</f>
        <v>#REF!</v>
      </c>
      <c r="AA24" s="67" t="e">
        <f>+IF(Z24="A1",1,IF(Z24="A2",0.8,IF(Z24="B1",0.6,IF(Z24="B2",0.4,0.2))))</f>
        <v>#REF!</v>
      </c>
      <c r="AB24" s="67" t="e">
        <f t="shared" si="1"/>
        <v>#REF!</v>
      </c>
      <c r="AC24" s="67" t="e">
        <f t="shared" si="1"/>
        <v>#REF!</v>
      </c>
      <c r="AD24" s="67" t="e">
        <f t="shared" si="1"/>
        <v>#REF!</v>
      </c>
      <c r="AE24" s="67" t="e">
        <f t="shared" si="1"/>
        <v>#REF!</v>
      </c>
      <c r="AF24" s="67" t="e">
        <f t="shared" si="1"/>
        <v>#REF!</v>
      </c>
      <c r="AG24" s="71"/>
      <c r="AH24" s="71"/>
      <c r="AI24" s="71"/>
    </row>
    <row r="25" spans="1:35" ht="57" customHeight="1">
      <c r="A25" s="3"/>
      <c r="B25" s="866" t="str">
        <f>+'Introducerea datelor'!B128</f>
        <v>TCS-3: Percentage of adults and children that initiated ART, with an undetectable viral load at 12 months (&lt;1000 copies/ml) // Procentul adultilor si copiilor care au initiat TARV, care au incarcatura virala nedetectabila la 12 luni (&lt;1000 copii/ml)</v>
      </c>
      <c r="C25" s="867"/>
      <c r="D25" s="868"/>
      <c r="E25" s="550" t="s">
        <v>515</v>
      </c>
      <c r="F25" s="510" t="s">
        <v>515</v>
      </c>
      <c r="G25" s="846" t="s">
        <v>515</v>
      </c>
      <c r="H25" s="847"/>
      <c r="I25" s="847"/>
      <c r="J25" s="847"/>
      <c r="K25" s="848"/>
      <c r="L25" s="849" t="s">
        <v>518</v>
      </c>
      <c r="M25" s="849"/>
      <c r="N25" s="849"/>
      <c r="O25" s="849"/>
      <c r="P25" s="849"/>
      <c r="Q25" s="849"/>
      <c r="S25" s="69"/>
      <c r="T25" s="67" t="e">
        <f t="shared" si="2"/>
        <v>#N/A</v>
      </c>
      <c r="U25" s="67" t="e">
        <f t="shared" si="2"/>
        <v>#N/A</v>
      </c>
      <c r="V25" s="67" t="e">
        <f t="shared" si="2"/>
        <v>#N/A</v>
      </c>
      <c r="W25" s="67" t="e">
        <f t="shared" si="2"/>
        <v>#N/A</v>
      </c>
      <c r="X25" s="67" t="e">
        <f>IF($K21&gt;X$19,IF($K21&lt;=X$20,1,1),NA())</f>
        <v>#N/A</v>
      </c>
      <c r="Y25" s="71"/>
      <c r="Z25" s="194" t="e">
        <f>+'Detalii despre Grant'!#REF!</f>
        <v>#REF!</v>
      </c>
      <c r="AA25" s="67" t="e">
        <f>+IF(Z25="A1",1,IF(Z25="A2",0.8,IF(Z25="B1",0.6,IF(Z25="B2",0.4,0.2))))</f>
        <v>#REF!</v>
      </c>
      <c r="AB25" s="67" t="e">
        <f t="shared" si="1"/>
        <v>#REF!</v>
      </c>
      <c r="AC25" s="67" t="e">
        <f t="shared" si="1"/>
        <v>#REF!</v>
      </c>
      <c r="AD25" s="67" t="e">
        <f t="shared" si="1"/>
        <v>#REF!</v>
      </c>
      <c r="AE25" s="67" t="e">
        <f t="shared" si="1"/>
        <v>#REF!</v>
      </c>
      <c r="AF25" s="67" t="e">
        <f t="shared" si="1"/>
        <v>#REF!</v>
      </c>
      <c r="AG25" s="71"/>
      <c r="AH25" s="71"/>
      <c r="AI25" s="71"/>
    </row>
    <row r="26" spans="1:35" ht="124.5" hidden="1" customHeight="1">
      <c r="A26" s="3"/>
      <c r="B26" s="845">
        <f>+'Introducerea datelor'!B136</f>
        <v>0</v>
      </c>
      <c r="C26" s="845"/>
      <c r="D26" s="845"/>
      <c r="E26" s="470" t="s">
        <v>407</v>
      </c>
      <c r="F26" s="471">
        <v>50.2</v>
      </c>
      <c r="G26" s="846">
        <v>0.63</v>
      </c>
      <c r="H26" s="847"/>
      <c r="I26" s="847"/>
      <c r="J26" s="847"/>
      <c r="K26" s="848"/>
      <c r="L26" s="861" t="s">
        <v>408</v>
      </c>
      <c r="M26" s="862"/>
      <c r="N26" s="862"/>
      <c r="O26" s="862"/>
      <c r="P26" s="862"/>
      <c r="Q26" s="862"/>
      <c r="S26" s="69"/>
      <c r="T26" s="67" t="e">
        <f>IF(#REF!&gt;T$19,IF(#REF!&lt;=T$20,#REF!,NA()),NA())</f>
        <v>#REF!</v>
      </c>
      <c r="U26" s="67" t="e">
        <f>IF(#REF!&gt;U$19,IF(#REF!&lt;=U$20,#REF!,NA()),NA())</f>
        <v>#REF!</v>
      </c>
      <c r="V26" s="67" t="e">
        <f>IF(#REF!&gt;V$19,IF(#REF!&lt;=V$20,#REF!,NA()),NA())</f>
        <v>#REF!</v>
      </c>
      <c r="W26" s="67" t="e">
        <f>IF(#REF!&gt;W$19,IF(#REF!&lt;=W$20,#REF!,NA()),NA())</f>
        <v>#REF!</v>
      </c>
      <c r="X26" s="67" t="e">
        <f>IF(#REF!&gt;X$19,IF(#REF!&lt;=X$20,1,NA()),NA())</f>
        <v>#REF!</v>
      </c>
      <c r="Y26" s="71"/>
      <c r="Z26" s="71"/>
      <c r="AA26" s="71"/>
      <c r="AB26" s="71"/>
      <c r="AC26" s="71"/>
      <c r="AD26" s="71"/>
      <c r="AE26" s="71"/>
      <c r="AF26" s="71"/>
      <c r="AG26" s="71"/>
      <c r="AH26" s="71"/>
      <c r="AI26" s="71"/>
    </row>
    <row r="27" spans="1:35" ht="375.75" hidden="1" customHeight="1">
      <c r="A27" s="3"/>
      <c r="B27" s="871">
        <f>+'Introducerea datelor'!B138</f>
        <v>0</v>
      </c>
      <c r="C27" s="867"/>
      <c r="D27" s="868"/>
      <c r="E27" s="470">
        <v>2323</v>
      </c>
      <c r="F27" s="471">
        <v>2307</v>
      </c>
      <c r="G27" s="846">
        <f t="shared" ref="G27" si="3">+IF(ISERROR(F27/E27),0,F27/E27)</f>
        <v>0.99311235471373227</v>
      </c>
      <c r="H27" s="847"/>
      <c r="I27" s="847"/>
      <c r="J27" s="847"/>
      <c r="K27" s="848"/>
      <c r="L27" s="862" t="s">
        <v>409</v>
      </c>
      <c r="M27" s="862"/>
      <c r="N27" s="862"/>
      <c r="O27" s="862"/>
      <c r="P27" s="862"/>
      <c r="Q27" s="862"/>
      <c r="S27" s="69"/>
      <c r="T27" s="67" t="e">
        <f>IF(#REF!&gt;T$19,IF(#REF!&lt;=T$20,#REF!,NA()),NA())</f>
        <v>#REF!</v>
      </c>
      <c r="U27" s="67" t="e">
        <f>IF(#REF!&gt;U$19,IF(#REF!&lt;=U$20,#REF!,NA()),NA())</f>
        <v>#REF!</v>
      </c>
      <c r="V27" s="67" t="e">
        <f>IF(#REF!&gt;V$19,IF(#REF!&lt;=V$20,#REF!,NA()),NA())</f>
        <v>#REF!</v>
      </c>
      <c r="W27" s="67" t="e">
        <f>IF(#REF!&gt;W$19,IF(#REF!&lt;=W$20,#REF!,NA()),NA())</f>
        <v>#REF!</v>
      </c>
      <c r="X27" s="67" t="e">
        <f>IF(#REF!&gt;X$19,IF(#REF!&lt;=X$20,1,NA()),NA())</f>
        <v>#REF!</v>
      </c>
      <c r="Y27" s="71"/>
      <c r="Z27" s="71"/>
      <c r="AA27" s="71"/>
      <c r="AB27" s="71"/>
      <c r="AC27" s="71"/>
      <c r="AD27" s="71"/>
      <c r="AE27" s="71"/>
      <c r="AF27" s="71"/>
      <c r="AG27" s="71"/>
      <c r="AH27" s="71"/>
      <c r="AI27" s="71"/>
    </row>
    <row r="28" spans="1:35" ht="22.5" customHeight="1">
      <c r="A28" s="3"/>
      <c r="B28" s="869"/>
      <c r="C28" s="869"/>
      <c r="D28" s="869"/>
      <c r="E28" s="870"/>
      <c r="F28" s="859"/>
      <c r="G28" s="860"/>
      <c r="H28" s="860"/>
      <c r="I28" s="860"/>
      <c r="J28" s="860"/>
      <c r="K28" s="870"/>
      <c r="L28" s="859"/>
      <c r="M28" s="860"/>
      <c r="N28" s="860"/>
      <c r="O28" s="860"/>
      <c r="P28" s="860"/>
      <c r="S28" s="69"/>
      <c r="T28" s="67" t="e">
        <f>IF($K27&gt;T$19,IF($K27&lt;=T$20,$K27,NA()),NA())</f>
        <v>#N/A</v>
      </c>
      <c r="U28" s="67" t="e">
        <f>IF($K27&gt;U$19,IF($K27&lt;=U$20,$K27,NA()),NA())</f>
        <v>#N/A</v>
      </c>
      <c r="V28" s="67" t="e">
        <f>IF($K27&gt;V$19,IF($K27&lt;=V$20,$K27,NA()),NA())</f>
        <v>#N/A</v>
      </c>
      <c r="W28" s="67" t="e">
        <f>IF($K27&gt;W$19,IF($K27&lt;=W$20,$K27,NA()),NA())</f>
        <v>#N/A</v>
      </c>
      <c r="X28" s="67" t="e">
        <f>IF($K27&gt;X$19,IF($K27&lt;=X$20,1,NA()),NA())</f>
        <v>#N/A</v>
      </c>
      <c r="Y28" s="71"/>
      <c r="Z28" s="71"/>
      <c r="AA28" s="71"/>
      <c r="AB28" s="71"/>
      <c r="AC28" s="71"/>
      <c r="AD28" s="71"/>
      <c r="AE28" s="71"/>
      <c r="AF28" s="71"/>
      <c r="AG28" s="71"/>
      <c r="AH28" s="71"/>
      <c r="AI28" s="71"/>
    </row>
    <row r="29" spans="1:35">
      <c r="A29" s="3"/>
      <c r="B29" s="224"/>
      <c r="C29" s="224"/>
      <c r="D29" s="224"/>
      <c r="E29" s="224"/>
      <c r="F29" s="224"/>
      <c r="G29" s="224"/>
      <c r="H29" s="225"/>
      <c r="I29" s="224"/>
      <c r="J29" s="224"/>
      <c r="K29" s="224"/>
      <c r="L29" s="224"/>
      <c r="M29" s="224"/>
      <c r="N29" s="224"/>
      <c r="O29" s="224"/>
      <c r="P29" s="224"/>
      <c r="S29" s="69"/>
      <c r="T29" s="67" t="e">
        <f>IF(#REF!&gt;T$19,IF(#REF!&lt;=T$20,#REF!,NA()),NA())</f>
        <v>#REF!</v>
      </c>
      <c r="U29" s="67" t="e">
        <f>IF(#REF!&gt;U$19,IF(#REF!&lt;=U$20,#REF!,NA()),NA())</f>
        <v>#REF!</v>
      </c>
      <c r="V29" s="67" t="e">
        <f>IF(#REF!&gt;V$19,IF(#REF!&lt;=V$20,#REF!,NA()),NA())</f>
        <v>#REF!</v>
      </c>
      <c r="W29" s="67" t="e">
        <f>IF(#REF!&gt;W$19,IF(#REF!&lt;=W$20,#REF!,NA()),NA())</f>
        <v>#REF!</v>
      </c>
      <c r="X29" s="67" t="e">
        <f>IF(#REF!&gt;X$19,IF(#REF!&lt;=X$20,1,NA()),NA())</f>
        <v>#REF!</v>
      </c>
      <c r="Y29" s="71"/>
      <c r="Z29" s="71"/>
      <c r="AA29" s="71"/>
      <c r="AB29" s="71"/>
      <c r="AC29" s="71"/>
      <c r="AD29" s="71"/>
      <c r="AE29" s="71"/>
      <c r="AF29" s="71"/>
      <c r="AG29" s="71"/>
      <c r="AH29" s="71"/>
      <c r="AI29" s="71"/>
    </row>
    <row r="30" spans="1:35">
      <c r="A30" s="3"/>
      <c r="B30" s="865"/>
      <c r="C30" s="865"/>
      <c r="D30" s="865"/>
      <c r="E30" s="865"/>
      <c r="F30" s="865"/>
      <c r="G30" s="865"/>
      <c r="H30" s="865"/>
      <c r="I30" s="865"/>
      <c r="J30" s="865"/>
      <c r="K30" s="865"/>
      <c r="L30" s="224"/>
      <c r="M30" s="224"/>
      <c r="N30" s="224"/>
      <c r="O30" s="224"/>
      <c r="P30" s="224"/>
      <c r="S30" s="69"/>
      <c r="T30" s="67" t="e">
        <f>IF($K28&gt;T$19,IF($K28&lt;=T$20,$K28,NA()),NA())</f>
        <v>#N/A</v>
      </c>
      <c r="U30" s="67" t="e">
        <f>IF($K28&gt;U$19,IF($K28&lt;=U$20,$K28,NA()),NA())</f>
        <v>#N/A</v>
      </c>
      <c r="V30" s="67" t="e">
        <f>IF($K28&gt;V$19,IF($K28&lt;=V$20,$K28,NA()),NA())</f>
        <v>#N/A</v>
      </c>
      <c r="W30" s="67" t="e">
        <f>IF($K28&gt;W$19,IF($K28&lt;=W$20,$K28,NA()),NA())</f>
        <v>#N/A</v>
      </c>
      <c r="X30" s="67" t="e">
        <f>IF($K28&gt;X$19,IF($K28&lt;=X$20,1,NA()),NA())</f>
        <v>#N/A</v>
      </c>
      <c r="Y30" s="71"/>
      <c r="Z30" s="71"/>
      <c r="AA30" s="71"/>
      <c r="AB30" s="71"/>
      <c r="AC30" s="71"/>
      <c r="AD30" s="71"/>
      <c r="AE30" s="71"/>
      <c r="AF30" s="71"/>
      <c r="AG30" s="71"/>
      <c r="AH30" s="71"/>
      <c r="AI30" s="71"/>
    </row>
    <row r="31" spans="1:35">
      <c r="A31" s="3"/>
      <c r="B31" s="865"/>
      <c r="C31" s="865"/>
      <c r="D31" s="865"/>
      <c r="E31" s="865"/>
      <c r="F31" s="865"/>
      <c r="G31" s="865"/>
      <c r="H31" s="865"/>
      <c r="I31" s="865"/>
      <c r="J31" s="865"/>
      <c r="K31" s="865"/>
      <c r="L31" s="224"/>
      <c r="M31" s="224"/>
      <c r="N31" s="224"/>
      <c r="O31" s="224"/>
      <c r="P31" s="224"/>
      <c r="S31" s="71"/>
      <c r="T31" s="71"/>
      <c r="U31" s="71"/>
      <c r="V31" s="71"/>
      <c r="W31" s="71"/>
      <c r="X31" s="71"/>
      <c r="Y31" s="71"/>
      <c r="Z31" s="71"/>
      <c r="AA31" s="71"/>
      <c r="AB31" s="71"/>
      <c r="AC31" s="71"/>
      <c r="AD31" s="71"/>
      <c r="AE31" s="71"/>
      <c r="AF31" s="71"/>
      <c r="AG31" s="71"/>
      <c r="AH31" s="71"/>
      <c r="AI31" s="71"/>
    </row>
    <row r="32" spans="1:35">
      <c r="A32" s="3"/>
      <c r="B32" s="3"/>
      <c r="C32" s="3"/>
      <c r="D32" s="3"/>
      <c r="E32" s="3"/>
      <c r="F32" s="3"/>
      <c r="G32" s="3"/>
      <c r="H32" s="3"/>
      <c r="I32" s="100"/>
      <c r="J32" s="100"/>
      <c r="K32" s="100"/>
      <c r="L32" s="3"/>
      <c r="M32" s="3"/>
      <c r="N32" s="3"/>
      <c r="O32" s="3"/>
      <c r="P32" s="3"/>
      <c r="S32" s="71"/>
      <c r="T32" s="71"/>
      <c r="U32" s="71"/>
      <c r="V32" s="71"/>
      <c r="W32" s="71"/>
      <c r="X32" s="71"/>
      <c r="Y32" s="71"/>
      <c r="Z32" s="71"/>
      <c r="AA32" s="71"/>
      <c r="AB32" s="71"/>
      <c r="AC32" s="71"/>
      <c r="AD32" s="71"/>
      <c r="AE32" s="71"/>
      <c r="AF32" s="71"/>
      <c r="AG32" s="71"/>
      <c r="AH32" s="71"/>
      <c r="AI32" s="71"/>
    </row>
    <row r="33" spans="1:35">
      <c r="A33" s="3"/>
      <c r="B33" s="3"/>
      <c r="C33" s="3"/>
      <c r="D33" s="3"/>
      <c r="E33" s="3"/>
      <c r="F33" s="3"/>
      <c r="G33" s="3"/>
      <c r="H33" s="3"/>
      <c r="I33" s="142"/>
      <c r="J33" s="143"/>
      <c r="K33" s="143"/>
      <c r="L33" s="3"/>
      <c r="M33" s="3"/>
      <c r="N33" s="3"/>
      <c r="O33" s="3"/>
      <c r="P33" s="3"/>
      <c r="S33" s="71"/>
      <c r="T33" s="71"/>
      <c r="U33" s="71"/>
      <c r="V33" s="71"/>
      <c r="W33" s="71"/>
      <c r="X33" s="71"/>
      <c r="Y33" s="71"/>
      <c r="Z33" s="71"/>
      <c r="AA33" s="71"/>
      <c r="AB33" s="71"/>
      <c r="AC33" s="71"/>
      <c r="AD33" s="71"/>
      <c r="AE33" s="71"/>
      <c r="AF33" s="71"/>
      <c r="AG33" s="71"/>
      <c r="AH33" s="71"/>
      <c r="AI33" s="71"/>
    </row>
    <row r="34" spans="1:35">
      <c r="A34" s="3"/>
      <c r="B34" s="3"/>
      <c r="C34" s="3"/>
      <c r="D34" s="3"/>
      <c r="E34" s="3"/>
      <c r="F34" s="3"/>
      <c r="G34" s="3"/>
      <c r="H34" s="3"/>
      <c r="I34" s="144"/>
      <c r="J34" s="145"/>
      <c r="K34" s="102"/>
      <c r="L34" s="3"/>
      <c r="M34" s="3"/>
      <c r="N34" s="3"/>
      <c r="O34" s="3"/>
      <c r="P34" s="3"/>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46"/>
      <c r="J35" s="145"/>
      <c r="K35" s="102"/>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02"/>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3"/>
      <c r="J37" s="3"/>
      <c r="K37" s="3"/>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3"/>
      <c r="J38" s="3"/>
      <c r="K38" s="3"/>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3"/>
      <c r="J39" s="3"/>
      <c r="K39" s="3"/>
      <c r="L39" s="3"/>
      <c r="M39" s="3"/>
      <c r="N39" s="3"/>
      <c r="O39" s="3"/>
      <c r="P39" s="3"/>
      <c r="S39" s="64"/>
      <c r="T39" s="64"/>
      <c r="U39" s="64"/>
      <c r="V39" s="64"/>
      <c r="W39" s="64"/>
      <c r="X39" s="64"/>
      <c r="Y39" s="64"/>
      <c r="Z39" s="64"/>
      <c r="AA39" s="64"/>
      <c r="AB39" s="64"/>
    </row>
    <row r="40" spans="1:35">
      <c r="S40" s="64"/>
      <c r="T40" s="64"/>
      <c r="U40" s="64"/>
      <c r="V40" s="64"/>
      <c r="W40" s="64"/>
      <c r="X40" s="64"/>
      <c r="Y40" s="64"/>
      <c r="Z40" s="64"/>
      <c r="AA40" s="64"/>
      <c r="AB40" s="64"/>
    </row>
    <row r="41" spans="1:35">
      <c r="S41" s="64"/>
      <c r="T41" s="64"/>
      <c r="U41" s="64"/>
      <c r="V41" s="64"/>
      <c r="W41" s="64"/>
      <c r="X41" s="64"/>
      <c r="Y41" s="64"/>
      <c r="Z41" s="64"/>
      <c r="AA41" s="64"/>
      <c r="AB41" s="64"/>
    </row>
    <row r="42" spans="1:35">
      <c r="S42" s="64"/>
      <c r="T42" s="64"/>
      <c r="U42" s="64"/>
      <c r="V42" s="64"/>
      <c r="W42" s="64"/>
      <c r="X42" s="64"/>
      <c r="Y42" s="64"/>
      <c r="Z42" s="64"/>
      <c r="AA42" s="64"/>
      <c r="AB42" s="64"/>
    </row>
    <row r="43" spans="1:35">
      <c r="S43" s="64"/>
      <c r="T43" s="64"/>
      <c r="U43" s="64"/>
      <c r="V43" s="64"/>
      <c r="W43" s="64"/>
      <c r="X43" s="64"/>
      <c r="Y43" s="64"/>
      <c r="Z43" s="64"/>
      <c r="AA43" s="64"/>
      <c r="AB43" s="64"/>
    </row>
  </sheetData>
  <mergeCells count="49">
    <mergeCell ref="M9:Q9"/>
    <mergeCell ref="C3:D3"/>
    <mergeCell ref="E4:L4"/>
    <mergeCell ref="B8:E8"/>
    <mergeCell ref="F8:K8"/>
    <mergeCell ref="C9:E9"/>
    <mergeCell ref="G9:K9"/>
    <mergeCell ref="B2:Q2"/>
    <mergeCell ref="O3:P3"/>
    <mergeCell ref="D5:N5"/>
    <mergeCell ref="L8:Q8"/>
    <mergeCell ref="F6:K6"/>
    <mergeCell ref="E3:K3"/>
    <mergeCell ref="C4:D4"/>
    <mergeCell ref="B30:D31"/>
    <mergeCell ref="E30:G31"/>
    <mergeCell ref="H30:K31"/>
    <mergeCell ref="B25:D25"/>
    <mergeCell ref="G25:K25"/>
    <mergeCell ref="B28:E28"/>
    <mergeCell ref="F28:K28"/>
    <mergeCell ref="G26:K26"/>
    <mergeCell ref="G27:K27"/>
    <mergeCell ref="B26:D26"/>
    <mergeCell ref="B27:D27"/>
    <mergeCell ref="L28:P28"/>
    <mergeCell ref="L20:Q20"/>
    <mergeCell ref="L21:Q21"/>
    <mergeCell ref="L23:Q23"/>
    <mergeCell ref="L26:Q26"/>
    <mergeCell ref="L25:Q25"/>
    <mergeCell ref="L27:Q27"/>
    <mergeCell ref="L22:Q22"/>
    <mergeCell ref="E18:K18"/>
    <mergeCell ref="B19:D19"/>
    <mergeCell ref="B20:D20"/>
    <mergeCell ref="B21:D21"/>
    <mergeCell ref="G20:K20"/>
    <mergeCell ref="G21:K21"/>
    <mergeCell ref="B24:D24"/>
    <mergeCell ref="G24:K24"/>
    <mergeCell ref="L24:Q24"/>
    <mergeCell ref="B23:D23"/>
    <mergeCell ref="G19:H19"/>
    <mergeCell ref="I19:J19"/>
    <mergeCell ref="G23:K23"/>
    <mergeCell ref="G22:K22"/>
    <mergeCell ref="L19:Q19"/>
    <mergeCell ref="B22:D22"/>
  </mergeCells>
  <phoneticPr fontId="30" type="noConversion"/>
  <conditionalFormatting sqref="C4:D4">
    <cfRule type="cellIs" dxfId="23" priority="77" stopIfTrue="1" operator="equal">
      <formula>"C"</formula>
    </cfRule>
    <cfRule type="cellIs" dxfId="22" priority="78" stopIfTrue="1" operator="equal">
      <formula>"B2"</formula>
    </cfRule>
    <cfRule type="cellIs" dxfId="21" priority="79" stopIfTrue="1" operator="equal">
      <formula>"B1"</formula>
    </cfRule>
  </conditionalFormatting>
  <conditionalFormatting sqref="G20:G21 G26:G27">
    <cfRule type="cellIs" dxfId="20" priority="83" stopIfTrue="1" operator="between">
      <formula>0</formula>
      <formula>0.599</formula>
    </cfRule>
    <cfRule type="cellIs" dxfId="19" priority="84" stopIfTrue="1" operator="between">
      <formula>0.6</formula>
      <formula>0.899</formula>
    </cfRule>
    <cfRule type="cellIs" dxfId="18" priority="85" stopIfTrue="1" operator="greaterThanOrEqual">
      <formula>0.9</formula>
    </cfRule>
  </conditionalFormatting>
  <conditionalFormatting sqref="G22">
    <cfRule type="cellIs" dxfId="17" priority="19" stopIfTrue="1" operator="between">
      <formula>0</formula>
      <formula>0.599</formula>
    </cfRule>
    <cfRule type="cellIs" dxfId="16" priority="20" stopIfTrue="1" operator="between">
      <formula>0.6</formula>
      <formula>0.899</formula>
    </cfRule>
    <cfRule type="cellIs" dxfId="15" priority="21" stopIfTrue="1" operator="greaterThanOrEqual">
      <formula>0.9</formula>
    </cfRule>
  </conditionalFormatting>
  <conditionalFormatting sqref="G24">
    <cfRule type="cellIs" dxfId="14" priority="13" stopIfTrue="1" operator="between">
      <formula>0</formula>
      <formula>0.599</formula>
    </cfRule>
    <cfRule type="cellIs" dxfId="13" priority="14" stopIfTrue="1" operator="between">
      <formula>0.6</formula>
      <formula>0.899</formula>
    </cfRule>
    <cfRule type="cellIs" dxfId="12" priority="15" stopIfTrue="1" operator="greaterThanOrEqual">
      <formula>0.9</formula>
    </cfRule>
  </conditionalFormatting>
  <conditionalFormatting sqref="G23">
    <cfRule type="cellIs" dxfId="11" priority="7" stopIfTrue="1" operator="between">
      <formula>0</formula>
      <formula>0.599</formula>
    </cfRule>
    <cfRule type="cellIs" dxfId="10" priority="8" stopIfTrue="1" operator="between">
      <formula>0.6</formula>
      <formula>0.899</formula>
    </cfRule>
    <cfRule type="cellIs" dxfId="9" priority="9" stopIfTrue="1" operator="greaterThanOrEqual">
      <formula>0.9</formula>
    </cfRule>
  </conditionalFormatting>
  <conditionalFormatting sqref="G25">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25" right="0.28645833333333331" top="0.75" bottom="0.75" header="0.3" footer="0.3"/>
  <pageSetup paperSize="9" scale="65" orientation="portrait" r:id="rId1"/>
  <headerFooter alignWithMargins="0">
    <oddFooter>&amp;L&amp;F&amp;C&amp;A&amp;RV1.0          &amp;D</oddFooter>
  </headerFooter>
  <ignoredErrors>
    <ignoredError sqref="X25:Y25" formula="1"/>
    <ignoredError sqref="Z25:AC25" evalError="1" formula="1"/>
    <ignoredError sqref="AD25:AF25 T29:X29"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0"/>
  <sheetViews>
    <sheetView showGridLines="0" view="pageBreakPreview" topLeftCell="A22" zoomScale="60" zoomScaleNormal="130" zoomScalePageLayoutView="40" workbookViewId="0">
      <selection activeCell="A20" sqref="A20:XFD22"/>
    </sheetView>
  </sheetViews>
  <sheetFormatPr defaultColWidth="9.125" defaultRowHeight="11.25"/>
  <cols>
    <col min="1" max="1" width="1.125" style="31" customWidth="1"/>
    <col min="2" max="2" width="19.25" style="31" customWidth="1"/>
    <col min="3" max="3" width="1.125" style="31" customWidth="1"/>
    <col min="4" max="4" width="17.125" style="31" customWidth="1"/>
    <col min="5" max="5" width="17.625" style="31" customWidth="1"/>
    <col min="6" max="6" width="9.75" style="31" customWidth="1"/>
    <col min="7" max="7" width="31.375" style="31" customWidth="1"/>
    <col min="8" max="8" width="4.25" style="31" customWidth="1"/>
    <col min="9" max="9" width="10.375" style="31" customWidth="1"/>
    <col min="10" max="10" width="3.625" style="31" customWidth="1"/>
    <col min="11" max="11" width="4.125" style="32" customWidth="1"/>
    <col min="12" max="12" width="19.875" style="31" customWidth="1"/>
    <col min="13" max="13" width="12" style="31" customWidth="1"/>
    <col min="14" max="14" width="14.25" style="31" customWidth="1"/>
    <col min="15" max="15" width="2.625" style="31" customWidth="1"/>
    <col min="16" max="16384" width="9.125" style="31"/>
  </cols>
  <sheetData>
    <row r="1" spans="1:15" ht="27" customHeight="1">
      <c r="A1" s="148"/>
      <c r="B1" s="148"/>
      <c r="C1" s="148"/>
      <c r="D1" s="148"/>
      <c r="E1" s="148"/>
      <c r="F1" s="148"/>
      <c r="G1" s="148"/>
      <c r="H1" s="148"/>
      <c r="I1" s="148"/>
      <c r="J1" s="148"/>
      <c r="K1" s="149"/>
      <c r="L1" s="148"/>
      <c r="M1" s="148"/>
      <c r="N1" s="148"/>
    </row>
    <row r="2" spans="1:15" customFormat="1" ht="27.75" customHeight="1">
      <c r="A2" s="3"/>
      <c r="B2" s="872" t="str">
        <f>+"Dashboard:  "&amp;"  "&amp;IF(+'Introducerea datelor'!C4="Please Select","",'Introducerea datelor'!C4&amp;" - ")&amp;IF('Introducerea datelor'!G6="Please Select","",'Introducerea datelor'!G6)</f>
        <v>Dashboard:    Moldova - HIV / AIDS</v>
      </c>
      <c r="C2" s="872"/>
      <c r="D2" s="872"/>
      <c r="E2" s="872"/>
      <c r="F2" s="872"/>
      <c r="G2" s="872"/>
      <c r="H2" s="872"/>
      <c r="I2" s="872"/>
      <c r="J2" s="872"/>
      <c r="K2" s="872"/>
      <c r="L2" s="872"/>
      <c r="M2" s="872"/>
      <c r="N2" s="872"/>
      <c r="O2" s="73"/>
    </row>
    <row r="3" spans="1:15" customFormat="1" ht="18.75">
      <c r="A3" s="3"/>
      <c r="B3" s="130" t="str">
        <f>+IF('Introducerea datelor'!G8="Please Select","",'Introducerea datelor'!G8)</f>
        <v/>
      </c>
      <c r="C3" s="798">
        <f>+IF('Introducerea datelor'!I8="Please Select","",'Introducerea datelor'!I8)</f>
        <v>0</v>
      </c>
      <c r="D3" s="798"/>
      <c r="E3" s="876"/>
      <c r="F3" s="876"/>
      <c r="G3" s="876"/>
      <c r="H3" s="876"/>
      <c r="I3" s="876"/>
      <c r="J3" s="876"/>
      <c r="K3" s="876"/>
      <c r="L3" s="130" t="str">
        <f>+'Introducerea datelor'!B16</f>
        <v>Perioada de Raportare:</v>
      </c>
      <c r="M3" s="196" t="str">
        <f>+'Introducerea datelor'!C16</f>
        <v>P3</v>
      </c>
      <c r="N3" s="196"/>
      <c r="O3" s="31"/>
    </row>
    <row r="4" spans="1:15" customFormat="1" ht="15">
      <c r="A4" s="3"/>
      <c r="B4" s="130" t="str">
        <f>+'Introducerea datelor'!B12</f>
        <v>Ultimul Rating:</v>
      </c>
      <c r="C4" s="939" t="str">
        <f>+IF('Introducerea datelor'!C12="Please Select","",'Introducerea datelor'!C12)</f>
        <v>A1</v>
      </c>
      <c r="D4" s="939"/>
      <c r="E4" s="797" t="str">
        <f>+'Introducerea datelor'!C8</f>
        <v>IP "UCIMP DS"</v>
      </c>
      <c r="F4" s="797"/>
      <c r="G4" s="797"/>
      <c r="H4" s="797"/>
      <c r="I4" s="797"/>
      <c r="J4" s="797"/>
      <c r="K4" s="797"/>
      <c r="L4" s="130" t="str">
        <f>+'Introducerea datelor'!D16</f>
        <v>De la:</v>
      </c>
      <c r="M4" s="197">
        <f>+IF(ISBLANK('Introducerea datelor'!E16),"",'Introducerea datelor'!E16)</f>
        <v>42370</v>
      </c>
      <c r="N4" s="197"/>
      <c r="O4" s="31"/>
    </row>
    <row r="5" spans="1:15" customFormat="1" ht="18.75" customHeight="1">
      <c r="A5" s="3"/>
      <c r="B5" s="130"/>
      <c r="C5" s="130"/>
      <c r="D5" s="131"/>
      <c r="E5" s="797" t="str">
        <f>+'Introducerea datelor'!G4</f>
        <v xml:space="preserve">Fortificarea controlului infecției HIV în RM (2015-2017)
</v>
      </c>
      <c r="F5" s="797"/>
      <c r="G5" s="797"/>
      <c r="H5" s="797"/>
      <c r="I5" s="797"/>
      <c r="J5" s="797"/>
      <c r="K5" s="797"/>
      <c r="L5" s="130" t="str">
        <f>+'Introducerea datelor'!F16</f>
        <v>Pînă la:</v>
      </c>
      <c r="M5" s="197">
        <f>+IF(ISBLANK('Introducerea datelor'!G16),"",'Introducerea datelor'!G16)</f>
        <v>42551</v>
      </c>
      <c r="N5" s="197"/>
    </row>
    <row r="6" spans="1:15" customFormat="1" ht="22.5" customHeight="1">
      <c r="A6" s="3"/>
      <c r="B6" s="135"/>
      <c r="C6" s="136"/>
      <c r="D6" s="137"/>
      <c r="E6" s="938" t="s">
        <v>476</v>
      </c>
      <c r="F6" s="938"/>
      <c r="G6" s="938"/>
      <c r="H6" s="938"/>
      <c r="I6" s="938"/>
      <c r="J6" s="938"/>
      <c r="K6" s="938"/>
      <c r="L6" s="2"/>
      <c r="M6" s="2"/>
      <c r="N6" s="2"/>
    </row>
    <row r="7" spans="1:15" s="33" customFormat="1" ht="4.5" customHeight="1">
      <c r="A7" s="150"/>
      <c r="B7" s="151"/>
      <c r="C7" s="151"/>
      <c r="D7" s="151"/>
      <c r="E7" s="151"/>
      <c r="F7" s="151"/>
      <c r="G7" s="151"/>
      <c r="H7" s="151"/>
      <c r="I7" s="151"/>
      <c r="J7" s="151"/>
      <c r="K7" s="151"/>
      <c r="L7" s="152"/>
      <c r="M7" s="152"/>
      <c r="N7" s="153"/>
    </row>
    <row r="8" spans="1:15" s="33" customFormat="1" ht="21" customHeight="1" thickBot="1">
      <c r="A8" s="150"/>
      <c r="B8" s="904" t="s">
        <v>477</v>
      </c>
      <c r="C8" s="904"/>
      <c r="D8" s="904"/>
      <c r="E8" s="904"/>
      <c r="F8" s="904"/>
      <c r="G8" s="904"/>
      <c r="H8" s="904"/>
      <c r="I8" s="904"/>
      <c r="J8" s="904"/>
      <c r="K8" s="904"/>
      <c r="L8" s="904"/>
      <c r="M8" s="904"/>
      <c r="N8" s="904"/>
    </row>
    <row r="9" spans="1:15" s="33" customFormat="1" ht="3.75" customHeight="1" thickBot="1">
      <c r="A9" s="150"/>
      <c r="B9" s="151"/>
      <c r="C9" s="151"/>
      <c r="D9" s="151"/>
      <c r="E9" s="151"/>
      <c r="F9" s="151"/>
      <c r="G9" s="151"/>
      <c r="H9" s="151"/>
      <c r="I9" s="151"/>
      <c r="J9" s="151"/>
      <c r="K9" s="151"/>
      <c r="L9" s="152"/>
      <c r="M9" s="152"/>
      <c r="N9" s="153"/>
    </row>
    <row r="10" spans="1:15" s="34" customFormat="1" ht="25.5" customHeight="1" thickBot="1">
      <c r="A10" s="154"/>
      <c r="B10" s="887" t="s">
        <v>479</v>
      </c>
      <c r="C10" s="925"/>
      <c r="D10" s="919" t="s">
        <v>478</v>
      </c>
      <c r="E10" s="920"/>
      <c r="F10" s="920"/>
      <c r="G10" s="921"/>
      <c r="H10" s="157"/>
      <c r="I10" s="919" t="s">
        <v>476</v>
      </c>
      <c r="J10" s="920"/>
      <c r="K10" s="920"/>
      <c r="L10" s="920"/>
      <c r="M10" s="920"/>
      <c r="N10" s="921"/>
    </row>
    <row r="11" spans="1:15" s="34" customFormat="1" ht="19.5" customHeight="1">
      <c r="A11" s="154"/>
      <c r="B11" s="414" t="s">
        <v>71</v>
      </c>
      <c r="C11" s="174"/>
      <c r="D11" s="905" t="str">
        <f>IF(ISBLANK(Financiar!C9),"",(Financiar!C9))</f>
        <v xml:space="preserve">conform planului si cererii de debursare </v>
      </c>
      <c r="E11" s="905"/>
      <c r="F11" s="905"/>
      <c r="G11" s="906"/>
      <c r="H11" s="180"/>
      <c r="I11" s="929"/>
      <c r="J11" s="930"/>
      <c r="K11" s="930"/>
      <c r="L11" s="930"/>
      <c r="M11" s="930"/>
      <c r="N11" s="931"/>
    </row>
    <row r="12" spans="1:15" s="34" customFormat="1" ht="143.25" customHeight="1">
      <c r="A12" s="154"/>
      <c r="B12" s="415" t="s">
        <v>72</v>
      </c>
      <c r="C12" s="175"/>
      <c r="D12" s="905" t="str">
        <f>IF(ISBLANK(Financiar!C23),"",(Financiar!C23))</f>
        <v xml:space="preserve">Către 30 iunie 2016, din Grantul „Fortificarea Controlului HIV în Republica Moldova al Fondului Global (nr.: MDA-H-PCIMU) au fost valorificați cumulativ 1,328,562 EUR, ceea ce constituie 41% din totalul de 3.212.688,00 EUR planificați pentru perioada ianuarie 2015 – decembrie 2017 (perioada grantului implementat prin Noul Mecanism de Finanțare al Fondului Global) și 76% din totalul de 1,751,264 EUR planificați a fi valorificați din sursele grantului până la finele perioadei de raportare. Rata de absorbtie a resurselor grantului in perioada de raportare a fost de 62.4%, variatia absoluta in valoare de 96425 EUR fiind in special conditionata de intirzierile inregistrate la componenta de monitorizare a pacientilor infectati cu HIV (procurarea de reagenti si consumabile pentru determinarea incarcaturii virale si testarea la celulele CD4) si implementarea sistemului informational integrat SIME HIV.
   </v>
      </c>
      <c r="E12" s="905"/>
      <c r="F12" s="905"/>
      <c r="G12" s="906"/>
      <c r="H12" s="180"/>
      <c r="I12" s="926"/>
      <c r="J12" s="927"/>
      <c r="K12" s="927"/>
      <c r="L12" s="927"/>
      <c r="M12" s="927"/>
      <c r="N12" s="928"/>
    </row>
    <row r="13" spans="1:15" s="34" customFormat="1" ht="26.25" customHeight="1">
      <c r="A13" s="154"/>
      <c r="B13" s="415" t="s">
        <v>73</v>
      </c>
      <c r="C13" s="175"/>
      <c r="D13" s="905" t="str">
        <f>IF(ISBLANK(Financiar!I9),"",(Financiar!I9))</f>
        <v xml:space="preserve">conform cererii de debursare din partea RP </v>
      </c>
      <c r="E13" s="905"/>
      <c r="F13" s="905"/>
      <c r="G13" s="906"/>
      <c r="H13" s="180"/>
      <c r="I13" s="926"/>
      <c r="J13" s="927"/>
      <c r="K13" s="927"/>
      <c r="L13" s="927"/>
      <c r="M13" s="927"/>
      <c r="N13" s="928"/>
    </row>
    <row r="14" spans="1:15" s="34" customFormat="1" ht="31.5" customHeight="1" thickBot="1">
      <c r="A14" s="154"/>
      <c r="B14" s="416" t="s">
        <v>74</v>
      </c>
      <c r="C14" s="176"/>
      <c r="D14" s="946" t="str">
        <f>IF(ISBLANK(Financiar!I23),"",(Financiar!I23))</f>
        <v xml:space="preserve">Raportul de Progres privind implementarea grantului NFM in Semestrul I 2016 a fost remis Fondului Global  spre examinare si aprobare la data de 15 august 2016. </v>
      </c>
      <c r="E14" s="946"/>
      <c r="F14" s="946"/>
      <c r="G14" s="947"/>
      <c r="H14" s="180"/>
      <c r="I14" s="943"/>
      <c r="J14" s="944"/>
      <c r="K14" s="944"/>
      <c r="L14" s="944"/>
      <c r="M14" s="944"/>
      <c r="N14" s="945"/>
    </row>
    <row r="15" spans="1:15" s="34" customFormat="1" ht="4.5" customHeight="1">
      <c r="A15" s="154"/>
      <c r="B15" s="177"/>
      <c r="C15" s="178"/>
      <c r="D15" s="179"/>
      <c r="E15" s="179"/>
      <c r="F15" s="179"/>
      <c r="G15" s="179"/>
      <c r="H15" s="180"/>
      <c r="I15" s="181"/>
      <c r="J15" s="181"/>
      <c r="K15" s="181"/>
      <c r="L15" s="181"/>
      <c r="M15" s="181"/>
      <c r="N15" s="181"/>
      <c r="O15" s="75"/>
    </row>
    <row r="16" spans="1:15" s="33" customFormat="1" ht="21" customHeight="1" thickBot="1">
      <c r="A16" s="150"/>
      <c r="B16" s="904" t="s">
        <v>480</v>
      </c>
      <c r="C16" s="904"/>
      <c r="D16" s="904"/>
      <c r="E16" s="904"/>
      <c r="F16" s="904"/>
      <c r="G16" s="904"/>
      <c r="H16" s="904"/>
      <c r="I16" s="904"/>
      <c r="J16" s="904"/>
      <c r="K16" s="904"/>
      <c r="L16" s="904"/>
      <c r="M16" s="904"/>
      <c r="N16" s="904"/>
    </row>
    <row r="17" spans="1:15" s="34" customFormat="1" ht="3.75" customHeight="1" thickBot="1">
      <c r="A17" s="154"/>
      <c r="B17" s="163"/>
      <c r="C17" s="164"/>
      <c r="D17" s="165"/>
      <c r="E17" s="166"/>
      <c r="F17" s="167"/>
      <c r="G17" s="167"/>
      <c r="H17" s="168"/>
      <c r="I17" s="169"/>
      <c r="J17" s="170"/>
      <c r="K17" s="159"/>
      <c r="L17" s="160"/>
      <c r="M17" s="161"/>
      <c r="N17" s="162"/>
    </row>
    <row r="18" spans="1:15" s="34" customFormat="1" ht="22.5" customHeight="1" thickBot="1">
      <c r="A18" s="154"/>
      <c r="B18" s="925" t="s">
        <v>70</v>
      </c>
      <c r="C18" s="888"/>
      <c r="D18" s="935" t="s">
        <v>478</v>
      </c>
      <c r="E18" s="936"/>
      <c r="F18" s="936"/>
      <c r="G18" s="937"/>
      <c r="H18" s="157"/>
      <c r="I18" s="932" t="s">
        <v>476</v>
      </c>
      <c r="J18" s="933"/>
      <c r="K18" s="933"/>
      <c r="L18" s="933"/>
      <c r="M18" s="934"/>
      <c r="N18" s="934"/>
    </row>
    <row r="19" spans="1:15" s="34" customFormat="1" ht="167.25" customHeight="1">
      <c r="A19" s="154"/>
      <c r="B19" s="417" t="s">
        <v>79</v>
      </c>
      <c r="C19" s="182"/>
      <c r="D19" s="910" t="str">
        <f>IF(ISBLANK(Management!C8),"",(Management!C8))</f>
        <v>Descriere: În cazul IP UCIMPDS a fost stabilită acțiunea de management care condiționează deblocarea si posibilitatea valorificarii fondurilor alocate operaționalizării sistemului informațional SIME HIV de înregistrarea SIME HIV în Registrul sistemelor informationale utilizate la prelucrarea datelor cu caracter personal, in conformitate cu legislația Republicii Moldova, precum și de desemnarea oficială a instituției responsabile pentru SIME HIV.
Statut: A fost aprobat de către Ministerul Sănătății a Regulamentul privind organizarea și funcționarea subsistemului informațional integrat ”SIME HIV/SIDA/ITS”, precum si desemnata instituția responsabila pentru administrarea registrului și soluționarea problemelor ce țin de operaționalizarea acestuia. Problema a fost abordata si la nivelul Cancelariei de Stat, la moment setul de documente relevante fiind in curs de examinare de catre specialistii Cancelariei.</v>
      </c>
      <c r="E19" s="910"/>
      <c r="F19" s="910"/>
      <c r="G19" s="911"/>
      <c r="H19" s="183"/>
      <c r="I19" s="922"/>
      <c r="J19" s="923"/>
      <c r="K19" s="923"/>
      <c r="L19" s="923"/>
      <c r="M19" s="923"/>
      <c r="N19" s="924"/>
    </row>
    <row r="20" spans="1:15" ht="20.25" customHeight="1">
      <c r="A20" s="148"/>
      <c r="B20" s="418" t="s">
        <v>80</v>
      </c>
      <c r="C20" s="184"/>
      <c r="D20" s="905" t="str">
        <f>IF(ISBLANK(Management!I8),"",(Management!I8))</f>
        <v>Sunt suplinite toate functiile de personal.</v>
      </c>
      <c r="E20" s="905">
        <f>+'Introducerea datelor'!D73/'Introducerea datelor'!G73</f>
        <v>0</v>
      </c>
      <c r="F20" s="905">
        <f>+('Introducerea datelor'!E73+'Introducerea datelor'!F73)/'Introducerea datelor'!G73</f>
        <v>1</v>
      </c>
      <c r="G20" s="912"/>
      <c r="H20" s="183"/>
      <c r="I20" s="889"/>
      <c r="J20" s="890"/>
      <c r="K20" s="890"/>
      <c r="L20" s="890"/>
      <c r="M20" s="890"/>
      <c r="N20" s="891"/>
      <c r="O20" s="35"/>
    </row>
    <row r="21" spans="1:15" ht="20.25" customHeight="1">
      <c r="A21" s="148"/>
      <c r="B21" s="419" t="s">
        <v>81</v>
      </c>
      <c r="C21" s="184"/>
      <c r="D21" s="905" t="str">
        <f>IF(ISBLANK(Management!C15),"",(Management!C15))</f>
        <v>n/a</v>
      </c>
      <c r="E21" s="905"/>
      <c r="F21" s="905"/>
      <c r="G21" s="912"/>
      <c r="H21" s="183"/>
      <c r="I21" s="889"/>
      <c r="J21" s="890"/>
      <c r="K21" s="890"/>
      <c r="L21" s="890"/>
      <c r="M21" s="890"/>
      <c r="N21" s="891"/>
      <c r="O21" s="35"/>
    </row>
    <row r="22" spans="1:15" ht="20.25" customHeight="1">
      <c r="A22" s="148"/>
      <c r="B22" s="419" t="s">
        <v>82</v>
      </c>
      <c r="C22" s="184"/>
      <c r="D22" s="905" t="str">
        <f>IF(ISBLANK(Management!I15),"",(Management!I15))</f>
        <v>n/a</v>
      </c>
      <c r="E22" s="905"/>
      <c r="F22" s="905"/>
      <c r="G22" s="912"/>
      <c r="H22" s="183"/>
      <c r="I22" s="889"/>
      <c r="J22" s="890"/>
      <c r="K22" s="890"/>
      <c r="L22" s="890"/>
      <c r="M22" s="890"/>
      <c r="N22" s="891"/>
      <c r="O22" s="35"/>
    </row>
    <row r="23" spans="1:15" ht="92.25" customHeight="1">
      <c r="A23" s="148"/>
      <c r="B23" s="419" t="s">
        <v>83</v>
      </c>
      <c r="C23" s="184"/>
      <c r="D23" s="905" t="str">
        <f>IF(ISBLANK(Management!C26),"",(Management!C26))</f>
        <v xml:space="preserve">Preparatele ARV pentru a. 2016 au fost livrate in termenii prestabiliti. Este in proces achizitia preparatelor pentru acoperirea necesitatilor a. 2017 si a 6 luni 2018. A fost lansat procesul de achizitia a uni lot de echipamente medicale destinate dotarii laboratoarelor de la IMSP SDMC si Centrul SIDA Tiraspol, cu livrarea planificata pentru jumatatea a 2-a a anului curent. Reagentii necesari acoperirii necesitatilor a. 2016 privind monitorizarea pacientilor infectati cu HIHV de pe ambele maluri au fost achizitionati, livrarile urmind a fi efectuate in jumatatea a 2-a a anului curent, in conformitate cu solicitarile institutiilor beneficiare. </v>
      </c>
      <c r="E23" s="905"/>
      <c r="F23" s="905"/>
      <c r="G23" s="912"/>
      <c r="H23" s="183"/>
      <c r="I23" s="889"/>
      <c r="J23" s="890"/>
      <c r="K23" s="890"/>
      <c r="L23" s="890"/>
      <c r="M23" s="890"/>
      <c r="N23" s="891"/>
      <c r="O23" s="35"/>
    </row>
    <row r="24" spans="1:15" ht="19.5" customHeight="1" thickBot="1">
      <c r="A24" s="148"/>
      <c r="B24" s="420" t="s">
        <v>84</v>
      </c>
      <c r="C24" s="185"/>
      <c r="D24" s="914" t="str">
        <f>IF(ISBLANK(Management!I26),"",(Management!I26))</f>
        <v>Nu au fost inregistrate lipsuri de medicamente ARV sau intreruperi de tratament.</v>
      </c>
      <c r="E24" s="914"/>
      <c r="F24" s="914"/>
      <c r="G24" s="915"/>
      <c r="H24" s="183"/>
      <c r="I24" s="940"/>
      <c r="J24" s="941"/>
      <c r="K24" s="941"/>
      <c r="L24" s="941"/>
      <c r="M24" s="941"/>
      <c r="N24" s="942"/>
      <c r="O24" s="35"/>
    </row>
    <row r="25" spans="1:15" ht="4.5" customHeight="1">
      <c r="A25" s="150"/>
      <c r="B25" s="155"/>
      <c r="C25" s="156"/>
      <c r="D25" s="171"/>
      <c r="E25" s="172"/>
      <c r="F25" s="173"/>
      <c r="G25" s="173"/>
      <c r="H25" s="157"/>
      <c r="I25" s="172"/>
      <c r="J25" s="158"/>
      <c r="K25" s="159"/>
      <c r="L25" s="160"/>
      <c r="M25" s="161"/>
      <c r="N25" s="162"/>
      <c r="O25" s="35"/>
    </row>
    <row r="26" spans="1:15" s="33" customFormat="1" ht="21" customHeight="1" thickBot="1">
      <c r="A26" s="150"/>
      <c r="B26" s="904" t="s">
        <v>481</v>
      </c>
      <c r="C26" s="904"/>
      <c r="D26" s="904"/>
      <c r="E26" s="904"/>
      <c r="F26" s="904"/>
      <c r="G26" s="904"/>
      <c r="H26" s="904"/>
      <c r="I26" s="904"/>
      <c r="J26" s="904"/>
      <c r="K26" s="904"/>
      <c r="L26" s="904"/>
      <c r="M26" s="904"/>
      <c r="N26" s="904"/>
    </row>
    <row r="27" spans="1:15" ht="10.5" customHeight="1" thickBot="1">
      <c r="A27" s="150"/>
      <c r="B27" s="155"/>
      <c r="C27" s="156"/>
      <c r="D27" s="171"/>
      <c r="E27" s="172"/>
      <c r="F27" s="173"/>
      <c r="G27" s="173"/>
      <c r="H27" s="157"/>
      <c r="I27" s="172"/>
      <c r="J27" s="158"/>
      <c r="K27" s="159"/>
      <c r="L27" s="160"/>
      <c r="M27" s="161"/>
      <c r="N27" s="162"/>
      <c r="O27" s="35"/>
    </row>
    <row r="28" spans="1:15" ht="21.75" customHeight="1" thickBot="1">
      <c r="A28" s="148"/>
      <c r="B28" s="887" t="s">
        <v>2</v>
      </c>
      <c r="C28" s="888"/>
      <c r="D28" s="895" t="s">
        <v>482</v>
      </c>
      <c r="E28" s="896"/>
      <c r="F28" s="896"/>
      <c r="G28" s="897"/>
      <c r="H28" s="157"/>
      <c r="I28" s="895" t="s">
        <v>476</v>
      </c>
      <c r="J28" s="896"/>
      <c r="K28" s="896"/>
      <c r="L28" s="896"/>
      <c r="M28" s="896"/>
      <c r="N28" s="897"/>
      <c r="O28" s="35"/>
    </row>
    <row r="29" spans="1:15" ht="30.75" customHeight="1">
      <c r="A29" s="148"/>
      <c r="B29" s="421" t="s">
        <v>258</v>
      </c>
      <c r="C29" s="186"/>
      <c r="D29" s="898" t="str">
        <f>IF(ISBLANK(Programatic!C9),"",(Programatic!C9))</f>
        <v xml:space="preserve">83,98% (755/899)
</v>
      </c>
      <c r="E29" s="899"/>
      <c r="F29" s="899"/>
      <c r="G29" s="900"/>
      <c r="H29" s="183"/>
      <c r="I29" s="916"/>
      <c r="J29" s="917"/>
      <c r="K29" s="917"/>
      <c r="L29" s="917"/>
      <c r="M29" s="917"/>
      <c r="N29" s="918"/>
      <c r="O29" s="35"/>
    </row>
    <row r="30" spans="1:15" ht="47.25" customHeight="1">
      <c r="A30" s="148"/>
      <c r="B30" s="422" t="s">
        <v>259</v>
      </c>
      <c r="C30" s="187"/>
      <c r="D30" s="913" t="str">
        <f>IF(ISBLANK(Programatic!G9),"",(Programatic!G9))</f>
        <v>98 din cele 102 femei infectate cu HIV care au nascut in semestrul I 2016 au beneficiat de TARV in vederea reducerii riscului de transmitere materno-fetala a infectiei (96%). Nivelul de realizare a tintei - 101%.</v>
      </c>
      <c r="E30" s="893"/>
      <c r="F30" s="893"/>
      <c r="G30" s="894"/>
      <c r="H30" s="183"/>
      <c r="I30" s="884"/>
      <c r="J30" s="885"/>
      <c r="K30" s="885"/>
      <c r="L30" s="885"/>
      <c r="M30" s="885"/>
      <c r="N30" s="886"/>
      <c r="O30" s="35"/>
    </row>
    <row r="31" spans="1:15" ht="41.25" customHeight="1">
      <c r="A31" s="148"/>
      <c r="B31" s="422" t="s">
        <v>260</v>
      </c>
      <c r="C31" s="187"/>
      <c r="D31" s="913" t="str">
        <f>IF(ISBLANK(Programatic!M9),"",(Programatic!M9))</f>
        <v>Tinta pentru acest indicator este anuală, pentru semestrul I fiind raportat doar rezultatul absolut: 4.234.</v>
      </c>
      <c r="E31" s="893"/>
      <c r="F31" s="893"/>
      <c r="G31" s="894"/>
      <c r="H31" s="183"/>
      <c r="I31" s="884"/>
      <c r="J31" s="885"/>
      <c r="K31" s="885"/>
      <c r="L31" s="885"/>
      <c r="M31" s="885"/>
      <c r="N31" s="886"/>
      <c r="O31" s="35"/>
    </row>
    <row r="32" spans="1:15" ht="45" customHeight="1">
      <c r="A32" s="148"/>
      <c r="B32" s="423" t="s">
        <v>75</v>
      </c>
      <c r="C32" s="187"/>
      <c r="D32" s="892" t="str">
        <f>IF(ISBLANK(Programatic!L20),"",(Programatic!L20))</f>
        <v>Rezultatul raportat este pentru anul 2015, i.e. cohorta de pacienti HIV+ care au initiat TARV pe parcursul a. 2014  si care erau in viata si in tratament ARV 12 luni dupa initiere). 83,98% (755/899)</v>
      </c>
      <c r="E32" s="893"/>
      <c r="F32" s="893"/>
      <c r="G32" s="894"/>
      <c r="H32" s="183"/>
      <c r="I32" s="884"/>
      <c r="J32" s="885"/>
      <c r="K32" s="885"/>
      <c r="L32" s="885"/>
      <c r="M32" s="885"/>
      <c r="N32" s="886"/>
      <c r="O32" s="35"/>
    </row>
    <row r="33" spans="1:15" ht="178.5" customHeight="1">
      <c r="A33" s="148"/>
      <c r="B33" s="423" t="s">
        <v>76</v>
      </c>
      <c r="C33" s="187"/>
      <c r="D33" s="892" t="str">
        <f>IF(ISBLANK(Programatic!L21),"",(Programatic!L21))</f>
        <v xml:space="preserve">98 din cele 102 femei infectate cu HIV care au nascut in semestrul I 2016 au beneficiat de TARV in vederea reducerii riscului de transmitere materno-fetala a infectiei. 
Dezagregarea indicatorului pe tip de regim este urmatoarea: 
 Pe tot parcursul vieții ART, inclusiv opțiunea B + (recent inițiat în timpul sarcinii curente): 64,2% (63/98)
 Pe tot parcursul vieții ART, inclusiv opțiunea B + (deja tratament inițiat până la începutul sarcinii curente): 31,6% (31/98)
 Doză unică NVP  NUMAI - până în ultima fază: 4% (4/98)
Copii nascuti de femei HIV+ primesc TARV profilactic si formula de lapte praf timp de 12 luni. 
Activitatile ce tin de acest indicator sunt partial sustinute din Grantul curent. </v>
      </c>
      <c r="E33" s="893"/>
      <c r="F33" s="893"/>
      <c r="G33" s="894"/>
      <c r="H33" s="183"/>
      <c r="I33" s="884"/>
      <c r="J33" s="885"/>
      <c r="K33" s="885"/>
      <c r="L33" s="885"/>
      <c r="M33" s="885"/>
      <c r="N33" s="886"/>
      <c r="O33" s="35"/>
    </row>
    <row r="34" spans="1:15" ht="22.5" customHeight="1">
      <c r="A34" s="148"/>
      <c r="B34" s="423" t="s">
        <v>77</v>
      </c>
      <c r="C34" s="187"/>
      <c r="D34" s="892" t="str">
        <f>IF(ISBLANK(Programatic!L22),"",(Programatic!L22))</f>
        <v xml:space="preserve">Din cei 103 copii nascuti de femei HIV+ pe parcursul semestrului I 2016 95 au fost testati la HIV in primele 2 luni de la nastere.
</v>
      </c>
      <c r="E34" s="893"/>
      <c r="F34" s="893"/>
      <c r="G34" s="894"/>
      <c r="H34" s="183"/>
      <c r="I34" s="884"/>
      <c r="J34" s="885"/>
      <c r="K34" s="885"/>
      <c r="L34" s="885"/>
      <c r="M34" s="885"/>
      <c r="N34" s="886"/>
      <c r="O34" s="35"/>
    </row>
    <row r="35" spans="1:15" ht="138.75" customHeight="1">
      <c r="A35" s="148"/>
      <c r="B35" s="423" t="s">
        <v>78</v>
      </c>
      <c r="C35" s="230"/>
      <c r="D35" s="892" t="str">
        <f>IF(ISBLANK(Programatic!L23),"",(Programatic!L23))</f>
        <v>Tinta pentru acest indicator este anuală, pentru semestrul I fiind raportat doar rezultatul absolut: 4.234.
Dezagregare:
 Bărbați: 2,105
 Femei:  2,129
 Adulți (15+): 4,120
 Copii (&lt;15): 114
Activitatile in cadrul acestui indicator sunt partial acoperite de Grantul FG.</v>
      </c>
      <c r="E35" s="893"/>
      <c r="F35" s="893"/>
      <c r="G35" s="894"/>
      <c r="H35" s="183"/>
      <c r="I35" s="884"/>
      <c r="J35" s="885"/>
      <c r="K35" s="885"/>
      <c r="L35" s="885"/>
      <c r="M35" s="885"/>
      <c r="N35" s="886"/>
      <c r="O35" s="35"/>
    </row>
    <row r="36" spans="1:15" ht="38.25" customHeight="1">
      <c r="A36" s="148"/>
      <c r="B36" s="423" t="s">
        <v>85</v>
      </c>
      <c r="C36" s="230"/>
      <c r="D36" s="892" t="str">
        <f>IF(ISBLANK(Programatic!L24),"",(Programatic!L24))</f>
        <v>Tinta este anuala. Rezultatul pentru semestrul de raportare este de 37% (174/469)*
Dezagregare:
 Bărbați: 42% (99/235)
 Femei:  32% (75/234)
*N.B. ținta stabilită pentru perioada anterioară de raportare: &lt;40%</v>
      </c>
      <c r="E36" s="893"/>
      <c r="F36" s="893"/>
      <c r="G36" s="894"/>
      <c r="H36" s="183"/>
      <c r="I36" s="884"/>
      <c r="J36" s="885"/>
      <c r="K36" s="885"/>
      <c r="L36" s="885"/>
      <c r="M36" s="885"/>
      <c r="N36" s="886"/>
      <c r="O36" s="35"/>
    </row>
    <row r="37" spans="1:15" ht="24" customHeight="1">
      <c r="A37" s="148"/>
      <c r="B37" s="423" t="s">
        <v>86</v>
      </c>
      <c r="C37" s="230"/>
      <c r="D37" s="892" t="str">
        <f>IF(ISBLANK(Programatic!L25),"",(Programatic!L25))</f>
        <v>Indicatorul nu este raportabil, dat fiind faptul că datele sunt colectate și validate annual</v>
      </c>
      <c r="E37" s="893"/>
      <c r="F37" s="893"/>
      <c r="G37" s="894"/>
      <c r="H37" s="183"/>
      <c r="I37" s="907"/>
      <c r="J37" s="908"/>
      <c r="K37" s="908"/>
      <c r="L37" s="908"/>
      <c r="M37" s="908"/>
      <c r="N37" s="909"/>
      <c r="O37" s="35"/>
    </row>
    <row r="38" spans="1:15" ht="150.75" hidden="1" customHeight="1">
      <c r="A38" s="148"/>
      <c r="B38" s="423" t="s">
        <v>89</v>
      </c>
      <c r="C38" s="230"/>
      <c r="D38" s="892" t="str">
        <f>IF(ISBLANK(Programatic!L26),"",(Programatic!L26))</f>
        <v>50.2% of PLWHA have been screened for tuberculosis during year 2012. In absolute figures this represents 2,409 PLWHA (1,725 from the right bank and 684 from the left bank) from the total of 4,800 PLWHA (3,278 on the right bank and 1,522 on the left bank) on evidence at the end of year 2012.
//50.2% din PTHS au fost testați la TB pe parcursul anului 2012. În cifre absolute aceasta constituie 2,409 PTHS (1,725 pe malul drept și 684 pe malul stîng) din totalul de 4,800 PTHS (3,278 de pe malul drept și 1,522 de pe malul stîng) aflați la evidență la finele anului 2012.</v>
      </c>
      <c r="E38" s="893"/>
      <c r="F38" s="893"/>
      <c r="G38" s="894"/>
      <c r="H38" s="183"/>
      <c r="I38" s="884"/>
      <c r="J38" s="885"/>
      <c r="K38" s="885"/>
      <c r="L38" s="885"/>
      <c r="M38" s="885"/>
      <c r="N38" s="886"/>
      <c r="O38" s="35"/>
    </row>
    <row r="39" spans="1:15" ht="409.5" hidden="1" customHeight="1" thickBot="1">
      <c r="A39" s="148"/>
      <c r="B39" s="423" t="s">
        <v>90</v>
      </c>
      <c r="C39" s="188"/>
      <c r="D39" s="892" t="str">
        <f>IF(ISBLANK(Programatic!L27),"",(Programatic!L27))</f>
        <v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v>
      </c>
      <c r="E39" s="893"/>
      <c r="F39" s="893"/>
      <c r="G39" s="894"/>
      <c r="H39" s="183"/>
      <c r="I39" s="901"/>
      <c r="J39" s="902"/>
      <c r="K39" s="902"/>
      <c r="L39" s="902"/>
      <c r="M39" s="902"/>
      <c r="N39" s="903"/>
      <c r="O39" s="35"/>
    </row>
    <row r="40" spans="1:15" ht="14.25">
      <c r="A40" s="148"/>
      <c r="B40" s="189"/>
      <c r="C40" s="189"/>
      <c r="D40" s="190"/>
      <c r="E40" s="148"/>
      <c r="F40" s="189"/>
      <c r="G40" s="189"/>
      <c r="H40" s="148"/>
      <c r="I40" s="191"/>
      <c r="J40" s="148"/>
      <c r="K40" s="192"/>
      <c r="L40" s="192"/>
      <c r="M40" s="192"/>
      <c r="N40" s="192"/>
      <c r="O40" s="35"/>
    </row>
  </sheetData>
  <mergeCells count="61">
    <mergeCell ref="I24:N24"/>
    <mergeCell ref="I20:N20"/>
    <mergeCell ref="B18:C18"/>
    <mergeCell ref="I13:N13"/>
    <mergeCell ref="I14:N14"/>
    <mergeCell ref="B16:N16"/>
    <mergeCell ref="D14:G14"/>
    <mergeCell ref="D22:G22"/>
    <mergeCell ref="I22:N22"/>
    <mergeCell ref="D23:G23"/>
    <mergeCell ref="D20:G20"/>
    <mergeCell ref="I21:N21"/>
    <mergeCell ref="B2:N2"/>
    <mergeCell ref="E5:K5"/>
    <mergeCell ref="E6:K6"/>
    <mergeCell ref="E3:K3"/>
    <mergeCell ref="C4:D4"/>
    <mergeCell ref="E4:K4"/>
    <mergeCell ref="C3:D3"/>
    <mergeCell ref="I10:N10"/>
    <mergeCell ref="I19:N19"/>
    <mergeCell ref="B10:C10"/>
    <mergeCell ref="D10:G10"/>
    <mergeCell ref="D11:G11"/>
    <mergeCell ref="D12:G12"/>
    <mergeCell ref="I12:N12"/>
    <mergeCell ref="I11:N11"/>
    <mergeCell ref="I18:N18"/>
    <mergeCell ref="D18:G18"/>
    <mergeCell ref="B8:N8"/>
    <mergeCell ref="D13:G13"/>
    <mergeCell ref="I37:N37"/>
    <mergeCell ref="D37:G37"/>
    <mergeCell ref="D19:G19"/>
    <mergeCell ref="D21:G21"/>
    <mergeCell ref="D36:G36"/>
    <mergeCell ref="D30:G30"/>
    <mergeCell ref="D31:G31"/>
    <mergeCell ref="D24:G24"/>
    <mergeCell ref="D33:G33"/>
    <mergeCell ref="I29:N29"/>
    <mergeCell ref="I33:N33"/>
    <mergeCell ref="I30:N30"/>
    <mergeCell ref="I31:N31"/>
    <mergeCell ref="B26:N26"/>
    <mergeCell ref="I36:N36"/>
    <mergeCell ref="B28:C28"/>
    <mergeCell ref="I23:N23"/>
    <mergeCell ref="D39:G39"/>
    <mergeCell ref="I28:N28"/>
    <mergeCell ref="D38:G38"/>
    <mergeCell ref="D34:G34"/>
    <mergeCell ref="D29:G29"/>
    <mergeCell ref="D28:G28"/>
    <mergeCell ref="I34:N34"/>
    <mergeCell ref="D35:G35"/>
    <mergeCell ref="D32:G32"/>
    <mergeCell ref="I38:N38"/>
    <mergeCell ref="I39:N39"/>
    <mergeCell ref="I35:N35"/>
    <mergeCell ref="I32:N3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25" right="0.25" top="0.75" bottom="0.75" header="0.3" footer="0.3"/>
  <pageSetup paperSize="9" scale="53"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view="pageBreakPreview" zoomScale="110" zoomScaleNormal="110" zoomScaleSheetLayoutView="110" workbookViewId="0">
      <selection activeCell="F15" sqref="F15"/>
    </sheetView>
  </sheetViews>
  <sheetFormatPr defaultColWidth="11" defaultRowHeight="15"/>
  <cols>
    <col min="1" max="1" width="4.125" customWidth="1"/>
    <col min="2" max="2" width="14.625" customWidth="1"/>
    <col min="3" max="3" width="12.375" customWidth="1"/>
    <col min="4" max="4" width="11.625" customWidth="1"/>
    <col min="5" max="5" width="19" customWidth="1"/>
    <col min="6" max="6" width="1.375" customWidth="1"/>
    <col min="7" max="7" width="11.375" customWidth="1"/>
    <col min="8" max="8" width="9.625" customWidth="1"/>
    <col min="9" max="9" width="11.625" customWidth="1"/>
    <col min="10" max="10" width="12.625" customWidth="1"/>
    <col min="11" max="11" width="10.625" customWidth="1"/>
    <col min="12" max="12" width="9.75" customWidth="1"/>
  </cols>
  <sheetData>
    <row r="1" spans="1:13" ht="30.75" customHeight="1"/>
    <row r="2" spans="1:13" ht="27.75" customHeight="1">
      <c r="B2" s="827" t="str">
        <f>+"Dashboard:  "&amp;"  "&amp;IF(+'Introducerea datelor'!C4="Please Select","",'Introducerea datelor'!C4&amp;" - ")&amp;IF('Introducerea datelor'!G6="Please Select","",'Introducerea datelor'!G6)</f>
        <v>Dashboard:    Moldova - HIV / AIDS</v>
      </c>
      <c r="C2" s="827"/>
      <c r="D2" s="827"/>
      <c r="E2" s="827"/>
      <c r="F2" s="827"/>
      <c r="G2" s="827"/>
      <c r="H2" s="827"/>
      <c r="I2" s="827"/>
      <c r="J2" s="827"/>
      <c r="K2" s="827"/>
      <c r="L2" s="827"/>
    </row>
    <row r="3" spans="1:13">
      <c r="B3" s="24" t="str">
        <f>+IF('Introducerea datelor'!G8="Please Select","",'Introducerea datelor'!G8)</f>
        <v/>
      </c>
      <c r="C3" s="825">
        <f>+IF('Introducerea datelor'!I8="Please Select","",'Introducerea datelor'!I8)</f>
        <v>0</v>
      </c>
      <c r="D3" s="825"/>
      <c r="E3" s="826"/>
      <c r="F3" s="826"/>
      <c r="G3" s="826"/>
      <c r="H3" s="826"/>
      <c r="I3" s="826"/>
      <c r="J3" s="829" t="str">
        <f>+'Introducerea datelor'!B16</f>
        <v>Perioada de Raportare:</v>
      </c>
      <c r="K3" s="829"/>
      <c r="L3" s="196" t="str">
        <f>+'Introducerea datelor'!C16</f>
        <v>P3</v>
      </c>
      <c r="M3" s="85"/>
    </row>
    <row r="4" spans="1:13">
      <c r="B4" s="24" t="str">
        <f>+'Introducerea datelor'!B12</f>
        <v>Ultimul Rating:</v>
      </c>
      <c r="C4" s="960" t="s">
        <v>525</v>
      </c>
      <c r="D4" s="960"/>
      <c r="E4" s="826" t="str">
        <f>+'Introducerea datelor'!C8</f>
        <v>IP "UCIMP DS"</v>
      </c>
      <c r="F4" s="826"/>
      <c r="G4" s="826"/>
      <c r="H4" s="826"/>
      <c r="I4" s="826"/>
      <c r="J4" s="829" t="str">
        <f>+'Introducerea datelor'!D16</f>
        <v>De la:</v>
      </c>
      <c r="K4" s="833"/>
      <c r="L4" s="197">
        <f>+IF(ISBLANK('Introducerea datelor'!E16),"",'Introducerea datelor'!E16)</f>
        <v>42370</v>
      </c>
    </row>
    <row r="5" spans="1:13" ht="18.75" customHeight="1">
      <c r="B5" s="24"/>
      <c r="C5" s="24"/>
      <c r="D5" s="826" t="str">
        <f>+'Introducerea datelor'!G4</f>
        <v xml:space="preserve">Fortificarea controlului infecției HIV în RM (2015-2017)
</v>
      </c>
      <c r="E5" s="826"/>
      <c r="F5" s="826"/>
      <c r="G5" s="826"/>
      <c r="H5" s="826"/>
      <c r="I5" s="826"/>
      <c r="J5" s="826"/>
      <c r="K5" s="24" t="str">
        <f>+'Introducerea datelor'!F16</f>
        <v>Pînă la:</v>
      </c>
      <c r="L5" s="197">
        <f>+IF(ISBLANK('Introducerea datelor'!G16),"",'Introducerea datelor'!G16)</f>
        <v>42551</v>
      </c>
    </row>
    <row r="6" spans="1:13" ht="18.75">
      <c r="B6" s="23"/>
      <c r="C6" s="24"/>
      <c r="D6" s="25"/>
      <c r="E6" s="828" t="s">
        <v>484</v>
      </c>
      <c r="F6" s="828"/>
      <c r="G6" s="828"/>
      <c r="H6" s="828"/>
      <c r="I6" s="828"/>
    </row>
    <row r="7" spans="1:13" ht="18.75">
      <c r="E7" s="72"/>
      <c r="F7" s="72"/>
      <c r="G7" s="72"/>
      <c r="H7" s="72"/>
      <c r="I7" s="72"/>
    </row>
    <row r="8" spans="1:13" s="33" customFormat="1" ht="21" customHeight="1" thickBot="1">
      <c r="B8" s="76" t="s">
        <v>483</v>
      </c>
      <c r="C8" s="76"/>
      <c r="D8" s="76"/>
      <c r="E8" s="76"/>
      <c r="F8" s="76"/>
      <c r="G8" s="76"/>
      <c r="H8" s="76"/>
      <c r="I8" s="76"/>
      <c r="J8" s="76"/>
      <c r="K8" s="76"/>
      <c r="L8" s="76"/>
    </row>
    <row r="9" spans="1:13" ht="6" customHeight="1">
      <c r="B9" s="74"/>
    </row>
    <row r="10" spans="1:13" ht="39" customHeight="1">
      <c r="B10" s="980" t="s">
        <v>524</v>
      </c>
      <c r="C10" s="981"/>
      <c r="D10" s="981"/>
      <c r="E10" s="981"/>
      <c r="F10" s="981"/>
      <c r="G10" s="981"/>
      <c r="H10" s="981"/>
      <c r="I10" s="981"/>
      <c r="J10" s="981"/>
      <c r="K10" s="981"/>
      <c r="L10" s="982"/>
    </row>
    <row r="11" spans="1:13" ht="39" customHeight="1">
      <c r="B11" s="983"/>
      <c r="C11" s="984"/>
      <c r="D11" s="984"/>
      <c r="E11" s="984"/>
      <c r="F11" s="984"/>
      <c r="G11" s="984"/>
      <c r="H11" s="984"/>
      <c r="I11" s="984"/>
      <c r="J11" s="984"/>
      <c r="K11" s="984"/>
      <c r="L11" s="985"/>
    </row>
    <row r="12" spans="1:13" ht="15.75" thickBot="1"/>
    <row r="13" spans="1:13" ht="26.25" customHeight="1" thickBot="1">
      <c r="B13" s="974" t="s">
        <v>487</v>
      </c>
      <c r="C13" s="975"/>
      <c r="D13" s="975"/>
      <c r="E13" s="976"/>
      <c r="F13" s="77"/>
      <c r="G13" s="992" t="s">
        <v>486</v>
      </c>
      <c r="H13" s="954"/>
      <c r="I13" s="954"/>
      <c r="J13" s="78" t="s">
        <v>489</v>
      </c>
      <c r="K13" s="954" t="s">
        <v>490</v>
      </c>
      <c r="L13" s="955"/>
    </row>
    <row r="14" spans="1:13" ht="13.5" customHeight="1">
      <c r="A14" s="967" t="s">
        <v>488</v>
      </c>
      <c r="B14" s="977"/>
      <c r="C14" s="978"/>
      <c r="D14" s="978"/>
      <c r="E14" s="979"/>
      <c r="F14" s="46"/>
      <c r="G14" s="972"/>
      <c r="H14" s="961"/>
      <c r="I14" s="961"/>
      <c r="J14" s="961"/>
      <c r="K14" s="961"/>
      <c r="L14" s="962"/>
    </row>
    <row r="15" spans="1:13" ht="13.5" customHeight="1">
      <c r="A15" s="968"/>
      <c r="B15" s="978"/>
      <c r="C15" s="978"/>
      <c r="D15" s="978"/>
      <c r="E15" s="979"/>
      <c r="F15" s="46"/>
      <c r="G15" s="973"/>
      <c r="H15" s="956"/>
      <c r="I15" s="956"/>
      <c r="J15" s="956"/>
      <c r="K15" s="956"/>
      <c r="L15" s="957"/>
    </row>
    <row r="16" spans="1:13" ht="13.5" customHeight="1">
      <c r="A16" s="968"/>
      <c r="B16" s="970"/>
      <c r="C16" s="970"/>
      <c r="D16" s="970"/>
      <c r="E16" s="971"/>
      <c r="F16" s="46"/>
      <c r="G16" s="973"/>
      <c r="H16" s="956"/>
      <c r="I16" s="956"/>
      <c r="J16" s="956"/>
      <c r="K16" s="956"/>
      <c r="L16" s="957"/>
    </row>
    <row r="17" spans="1:12" ht="13.5" customHeight="1">
      <c r="A17" s="968"/>
      <c r="B17" s="970"/>
      <c r="C17" s="970"/>
      <c r="D17" s="970"/>
      <c r="E17" s="971"/>
      <c r="F17" s="46"/>
      <c r="G17" s="973"/>
      <c r="H17" s="956"/>
      <c r="I17" s="956"/>
      <c r="J17" s="956"/>
      <c r="K17" s="956"/>
      <c r="L17" s="957"/>
    </row>
    <row r="18" spans="1:12" ht="13.5" customHeight="1">
      <c r="A18" s="968"/>
      <c r="B18" s="970"/>
      <c r="C18" s="970"/>
      <c r="D18" s="970"/>
      <c r="E18" s="971"/>
      <c r="F18" s="46"/>
      <c r="G18" s="986"/>
      <c r="H18" s="987"/>
      <c r="I18" s="988"/>
      <c r="J18" s="956"/>
      <c r="K18" s="956"/>
      <c r="L18" s="957"/>
    </row>
    <row r="19" spans="1:12" ht="13.5" customHeight="1">
      <c r="A19" s="968"/>
      <c r="B19" s="970"/>
      <c r="C19" s="970"/>
      <c r="D19" s="970"/>
      <c r="E19" s="971"/>
      <c r="F19" s="46"/>
      <c r="G19" s="989"/>
      <c r="H19" s="990"/>
      <c r="I19" s="991"/>
      <c r="J19" s="956"/>
      <c r="K19" s="956"/>
      <c r="L19" s="957"/>
    </row>
    <row r="20" spans="1:12" ht="13.5" customHeight="1">
      <c r="A20" s="968"/>
      <c r="B20" s="970"/>
      <c r="C20" s="970"/>
      <c r="D20" s="970"/>
      <c r="E20" s="971"/>
      <c r="F20" s="46"/>
      <c r="G20" s="973"/>
      <c r="H20" s="956"/>
      <c r="I20" s="956"/>
      <c r="J20" s="956"/>
      <c r="K20" s="956"/>
      <c r="L20" s="957"/>
    </row>
    <row r="21" spans="1:12" ht="13.5" customHeight="1">
      <c r="A21" s="968"/>
      <c r="B21" s="970"/>
      <c r="C21" s="970"/>
      <c r="D21" s="970"/>
      <c r="E21" s="971"/>
      <c r="F21" s="46"/>
      <c r="G21" s="973"/>
      <c r="H21" s="956"/>
      <c r="I21" s="956"/>
      <c r="J21" s="956"/>
      <c r="K21" s="956"/>
      <c r="L21" s="957"/>
    </row>
    <row r="22" spans="1:12" ht="13.5" customHeight="1">
      <c r="A22" s="968"/>
      <c r="B22" s="970"/>
      <c r="C22" s="970"/>
      <c r="D22" s="970"/>
      <c r="E22" s="971"/>
      <c r="F22" s="46"/>
      <c r="G22" s="973"/>
      <c r="H22" s="956"/>
      <c r="I22" s="956"/>
      <c r="J22" s="956"/>
      <c r="K22" s="956"/>
      <c r="L22" s="957"/>
    </row>
    <row r="23" spans="1:12" ht="13.5" customHeight="1">
      <c r="A23" s="968"/>
      <c r="B23" s="970"/>
      <c r="C23" s="970"/>
      <c r="D23" s="970"/>
      <c r="E23" s="971"/>
      <c r="F23" s="46"/>
      <c r="G23" s="973"/>
      <c r="H23" s="956"/>
      <c r="I23" s="956"/>
      <c r="J23" s="956"/>
      <c r="K23" s="956"/>
      <c r="L23" s="957"/>
    </row>
    <row r="24" spans="1:12" ht="13.5" customHeight="1">
      <c r="A24" s="968"/>
      <c r="B24" s="970"/>
      <c r="C24" s="970"/>
      <c r="D24" s="970"/>
      <c r="E24" s="971"/>
      <c r="F24" s="46"/>
      <c r="G24" s="973"/>
      <c r="H24" s="956"/>
      <c r="I24" s="956"/>
      <c r="J24" s="956"/>
      <c r="K24" s="956"/>
      <c r="L24" s="957"/>
    </row>
    <row r="25" spans="1:12" ht="13.5" customHeight="1" thickBot="1">
      <c r="A25" s="969"/>
      <c r="B25" s="1003"/>
      <c r="C25" s="1003"/>
      <c r="D25" s="1003"/>
      <c r="E25" s="1004"/>
      <c r="F25" s="46"/>
      <c r="G25" s="994"/>
      <c r="H25" s="958"/>
      <c r="I25" s="958"/>
      <c r="J25" s="958"/>
      <c r="K25" s="958"/>
      <c r="L25" s="959"/>
    </row>
    <row r="27" spans="1:12" ht="15.75">
      <c r="E27" s="993" t="s">
        <v>491</v>
      </c>
      <c r="F27" s="993"/>
      <c r="G27" s="993"/>
      <c r="H27" s="993"/>
      <c r="I27" s="993"/>
    </row>
    <row r="28" spans="1:12" ht="6" customHeight="1">
      <c r="E28" s="72"/>
      <c r="F28" s="72"/>
      <c r="G28" s="72"/>
      <c r="H28" s="72"/>
      <c r="I28" s="72"/>
    </row>
    <row r="29" spans="1:12" s="33" customFormat="1" ht="21" customHeight="1" thickBot="1">
      <c r="B29" s="76" t="s">
        <v>483</v>
      </c>
      <c r="C29" s="76"/>
      <c r="D29" s="76"/>
      <c r="E29" s="76"/>
      <c r="F29" s="76"/>
      <c r="G29" s="76"/>
      <c r="H29" s="76"/>
      <c r="I29" s="76"/>
      <c r="J29" s="76"/>
      <c r="K29" s="76"/>
      <c r="L29" s="76"/>
    </row>
    <row r="30" spans="1:12" ht="6" customHeight="1" thickBot="1">
      <c r="B30" s="74"/>
    </row>
    <row r="31" spans="1:12" ht="30" customHeight="1" thickBot="1">
      <c r="B31" s="974" t="s">
        <v>486</v>
      </c>
      <c r="C31" s="975"/>
      <c r="D31" s="975"/>
      <c r="E31" s="976"/>
      <c r="F31" s="77"/>
      <c r="G31" s="992" t="s">
        <v>492</v>
      </c>
      <c r="H31" s="954"/>
      <c r="I31" s="954"/>
      <c r="J31" s="78" t="s">
        <v>493</v>
      </c>
      <c r="K31" s="954" t="s">
        <v>494</v>
      </c>
      <c r="L31" s="955"/>
    </row>
    <row r="32" spans="1:12" ht="14.25" customHeight="1">
      <c r="A32" s="967" t="s">
        <v>495</v>
      </c>
      <c r="B32" s="995"/>
      <c r="C32" s="996"/>
      <c r="D32" s="996"/>
      <c r="E32" s="997"/>
      <c r="F32" s="46"/>
      <c r="G32" s="1005"/>
      <c r="H32" s="952"/>
      <c r="I32" s="952"/>
      <c r="J32" s="952"/>
      <c r="K32" s="952"/>
      <c r="L32" s="953"/>
    </row>
    <row r="33" spans="1:12" ht="16.5" customHeight="1">
      <c r="A33" s="968"/>
      <c r="B33" s="989"/>
      <c r="C33" s="990"/>
      <c r="D33" s="990"/>
      <c r="E33" s="998"/>
      <c r="F33" s="46"/>
      <c r="G33" s="963"/>
      <c r="H33" s="948"/>
      <c r="I33" s="948"/>
      <c r="J33" s="948"/>
      <c r="K33" s="948"/>
      <c r="L33" s="949"/>
    </row>
    <row r="34" spans="1:12">
      <c r="A34" s="968"/>
      <c r="B34" s="964" t="str">
        <f>IF(Recomandari!I41="","",Recomandari!I41)</f>
        <v/>
      </c>
      <c r="C34" s="965"/>
      <c r="D34" s="965"/>
      <c r="E34" s="966"/>
      <c r="F34" s="46"/>
      <c r="G34" s="963"/>
      <c r="H34" s="948"/>
      <c r="I34" s="948"/>
      <c r="J34" s="948"/>
      <c r="K34" s="948"/>
      <c r="L34" s="949"/>
    </row>
    <row r="35" spans="1:12">
      <c r="A35" s="968"/>
      <c r="B35" s="964"/>
      <c r="C35" s="965"/>
      <c r="D35" s="965"/>
      <c r="E35" s="966"/>
      <c r="F35" s="46"/>
      <c r="G35" s="963"/>
      <c r="H35" s="948"/>
      <c r="I35" s="948"/>
      <c r="J35" s="948"/>
      <c r="K35" s="948"/>
      <c r="L35" s="949"/>
    </row>
    <row r="36" spans="1:12">
      <c r="A36" s="968"/>
      <c r="B36" s="964" t="str">
        <f>+IF(Recomandari!I51="","",Recomandari!I51)</f>
        <v/>
      </c>
      <c r="C36" s="965"/>
      <c r="D36" s="965"/>
      <c r="E36" s="966"/>
      <c r="F36" s="46"/>
      <c r="G36" s="963"/>
      <c r="H36" s="948"/>
      <c r="I36" s="948"/>
      <c r="J36" s="948"/>
      <c r="K36" s="948"/>
      <c r="L36" s="949"/>
    </row>
    <row r="37" spans="1:12">
      <c r="A37" s="968"/>
      <c r="B37" s="964"/>
      <c r="C37" s="965"/>
      <c r="D37" s="965"/>
      <c r="E37" s="966"/>
      <c r="F37" s="46"/>
      <c r="G37" s="963"/>
      <c r="H37" s="948"/>
      <c r="I37" s="948"/>
      <c r="J37" s="948"/>
      <c r="K37" s="948"/>
      <c r="L37" s="949"/>
    </row>
    <row r="38" spans="1:12">
      <c r="A38" s="968"/>
      <c r="B38" s="964"/>
      <c r="C38" s="965"/>
      <c r="D38" s="965"/>
      <c r="E38" s="966"/>
      <c r="F38" s="46"/>
      <c r="G38" s="963"/>
      <c r="H38" s="948"/>
      <c r="I38" s="948"/>
      <c r="J38" s="948"/>
      <c r="K38" s="948"/>
      <c r="L38" s="949"/>
    </row>
    <row r="39" spans="1:12">
      <c r="A39" s="968"/>
      <c r="B39" s="964"/>
      <c r="C39" s="965"/>
      <c r="D39" s="965"/>
      <c r="E39" s="966"/>
      <c r="F39" s="46"/>
      <c r="G39" s="963"/>
      <c r="H39" s="948"/>
      <c r="I39" s="948"/>
      <c r="J39" s="948"/>
      <c r="K39" s="948"/>
      <c r="L39" s="949"/>
    </row>
    <row r="40" spans="1:12">
      <c r="A40" s="968"/>
      <c r="B40" s="964"/>
      <c r="C40" s="965"/>
      <c r="D40" s="965"/>
      <c r="E40" s="966"/>
      <c r="F40" s="46"/>
      <c r="G40" s="963"/>
      <c r="H40" s="948"/>
      <c r="I40" s="948"/>
      <c r="J40" s="948"/>
      <c r="K40" s="948"/>
      <c r="L40" s="949"/>
    </row>
    <row r="41" spans="1:12">
      <c r="A41" s="968"/>
      <c r="B41" s="964"/>
      <c r="C41" s="965"/>
      <c r="D41" s="965"/>
      <c r="E41" s="966"/>
      <c r="F41" s="46"/>
      <c r="G41" s="963"/>
      <c r="H41" s="948"/>
      <c r="I41" s="948"/>
      <c r="J41" s="948"/>
      <c r="K41" s="948"/>
      <c r="L41" s="949"/>
    </row>
    <row r="42" spans="1:12">
      <c r="A42" s="968"/>
      <c r="B42" s="964"/>
      <c r="C42" s="965"/>
      <c r="D42" s="965"/>
      <c r="E42" s="966"/>
      <c r="F42" s="46"/>
      <c r="G42" s="963"/>
      <c r="H42" s="948"/>
      <c r="I42" s="948"/>
      <c r="J42" s="948"/>
      <c r="K42" s="948"/>
      <c r="L42" s="949"/>
    </row>
    <row r="43" spans="1:12" ht="15.75" thickBot="1">
      <c r="A43" s="969"/>
      <c r="B43" s="999"/>
      <c r="C43" s="1000"/>
      <c r="D43" s="1000"/>
      <c r="E43" s="1001"/>
      <c r="F43" s="46"/>
      <c r="G43" s="1002"/>
      <c r="H43" s="950"/>
      <c r="I43" s="950"/>
      <c r="J43" s="950"/>
      <c r="K43" s="950"/>
      <c r="L43" s="951"/>
    </row>
  </sheetData>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9"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BF073CC-B72F-4A6E-89A6-C2004FB1AA75}">
  <ds:schemaRef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f127e3a1-6a43-4b35-8211-dfdf2a8cacea"/>
    <ds:schemaRef ds:uri="http://www.w3.org/XML/1998/namespace"/>
  </ds:schemaRefs>
</ds:datastoreItem>
</file>

<file path=customXml/itemProps3.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Meniu</vt:lpstr>
      <vt:lpstr>Lista Indicatorilor</vt:lpstr>
      <vt:lpstr>Introducerea datelor</vt:lpstr>
      <vt:lpstr>Detalii despre Grant</vt:lpstr>
      <vt:lpstr>Financiar</vt:lpstr>
      <vt:lpstr>Management</vt:lpstr>
      <vt:lpstr>Programatic</vt:lpstr>
      <vt:lpstr>Recomandari</vt:lpstr>
      <vt:lpstr>Actiuni</vt:lpstr>
      <vt:lpstr>Setup</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Violeta</cp:lastModifiedBy>
  <cp:lastPrinted>2016-10-18T12:44:28Z</cp:lastPrinted>
  <dcterms:created xsi:type="dcterms:W3CDTF">2008-11-20T16:06:13Z</dcterms:created>
  <dcterms:modified xsi:type="dcterms:W3CDTF">2016-10-22T10:17:35Z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