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Communication CCM\10. Recipienții Principali - granturi FG\UCIMP\Dashboard&amp;NoteInfo\Dashboard\"/>
    </mc:Choice>
  </mc:AlternateContent>
  <bookViews>
    <workbookView xWindow="0" yWindow="0" windowWidth="28800" windowHeight="11535" tabRatio="721" activeTab="2"/>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datelor'!$A$1:$O$146</definedName>
    <definedName name="_xlnm.Print_Area" localSheetId="4">Management!$A$2:$L$34</definedName>
    <definedName name="_xlnm.Print_Area" localSheetId="6">Programatic!$A$1:$Q$30</definedName>
    <definedName name="PrintA">Actiuni!$A$2:$L$34</definedName>
    <definedName name="PrintDataF">'Introducerea datelor'!$B$25:$J$64</definedName>
    <definedName name="PrintDataM">'Introducerea datelor'!$B$66:$H$110</definedName>
    <definedName name="PrintF">Financiar!$A$2:$K$31</definedName>
    <definedName name="PrintGD">'Detail despre Grant'!$A$2:$J$13</definedName>
    <definedName name="PrintM" localSheetId="8">Actiuni!$A$2:$L$6</definedName>
    <definedName name="PrintM">Management!$A$2:$L$36</definedName>
    <definedName name="PrintP">Programatic!$A$2:$P$31</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B25" i="37" l="1"/>
  <c r="O31" i="29" l="1"/>
  <c r="D51" i="29" l="1"/>
  <c r="D32" i="29"/>
  <c r="B28" i="37" l="1"/>
  <c r="L20" i="37"/>
  <c r="L22" i="37"/>
  <c r="C46" i="29" l="1"/>
  <c r="D46" i="29"/>
  <c r="D42" i="42" l="1"/>
  <c r="D41" i="42"/>
  <c r="D40" i="42"/>
  <c r="D99" i="29" l="1"/>
  <c r="E99" i="29" s="1"/>
  <c r="F99" i="29" s="1"/>
  <c r="G99" i="29" s="1"/>
  <c r="H99" i="29" s="1"/>
  <c r="I99" i="29" s="1"/>
  <c r="J99" i="29" s="1"/>
  <c r="K99" i="29" s="1"/>
  <c r="L99" i="29" s="1"/>
  <c r="M99" i="29" s="1"/>
  <c r="N99" i="29" s="1"/>
  <c r="D98" i="29"/>
  <c r="E98" i="29" s="1"/>
  <c r="F98" i="29" s="1"/>
  <c r="G98" i="29" s="1"/>
  <c r="H98" i="29" s="1"/>
  <c r="I98" i="29" s="1"/>
  <c r="J98" i="29" s="1"/>
  <c r="K98" i="29" s="1"/>
  <c r="L98" i="29" s="1"/>
  <c r="M98" i="29" s="1"/>
  <c r="N98" i="29" s="1"/>
  <c r="D97" i="29"/>
  <c r="E97" i="29" s="1"/>
  <c r="F97" i="29" s="1"/>
  <c r="G97" i="29" s="1"/>
  <c r="H97" i="29" s="1"/>
  <c r="I97" i="29" s="1"/>
  <c r="J97" i="29" s="1"/>
  <c r="K97" i="29" s="1"/>
  <c r="L97" i="29" s="1"/>
  <c r="M97" i="29" s="1"/>
  <c r="N97" i="29" s="1"/>
  <c r="E51" i="29"/>
  <c r="E54" i="29"/>
  <c r="E53" i="29"/>
  <c r="E52" i="29"/>
  <c r="D33" i="29"/>
  <c r="E33" i="29" s="1"/>
  <c r="F33" i="29" s="1"/>
  <c r="N34" i="29"/>
  <c r="M34" i="29"/>
  <c r="L34" i="29"/>
  <c r="K34" i="29"/>
  <c r="J34" i="29"/>
  <c r="I34" i="29"/>
  <c r="H34" i="29"/>
  <c r="G34" i="29"/>
  <c r="D34" i="29"/>
  <c r="N33" i="29"/>
  <c r="M33" i="29"/>
  <c r="L33" i="29"/>
  <c r="K33" i="29"/>
  <c r="J33" i="29"/>
  <c r="I33" i="29"/>
  <c r="H33" i="29"/>
  <c r="G33" i="29"/>
  <c r="E34" i="29" l="1"/>
  <c r="F34" i="29" s="1"/>
  <c r="E78" i="29"/>
  <c r="F30" i="37" l="1"/>
  <c r="E30" i="37"/>
  <c r="F29" i="37"/>
  <c r="E29" i="37"/>
  <c r="F28" i="37"/>
  <c r="E28" i="37"/>
  <c r="E27" i="37"/>
  <c r="B30" i="37"/>
  <c r="B29" i="37"/>
  <c r="B27" i="37"/>
  <c r="E25" i="37"/>
  <c r="F27" i="37"/>
  <c r="F26" i="37"/>
  <c r="E26" i="37"/>
  <c r="F25" i="37"/>
  <c r="F24" i="37"/>
  <c r="E24" i="37"/>
  <c r="F23" i="37"/>
  <c r="E23" i="37"/>
  <c r="F22" i="37"/>
  <c r="E22" i="37"/>
  <c r="F21" i="37"/>
  <c r="E21" i="37"/>
  <c r="F20" i="37"/>
  <c r="E20" i="37"/>
  <c r="G30" i="37" l="1"/>
  <c r="G20" i="37"/>
  <c r="G25" i="37"/>
  <c r="G22" i="37"/>
  <c r="G21" i="37"/>
  <c r="G26" i="37"/>
  <c r="G23" i="37"/>
  <c r="G29" i="37"/>
  <c r="H144" i="29" l="1"/>
  <c r="H143" i="29"/>
  <c r="H142" i="29"/>
  <c r="H141" i="29"/>
  <c r="D30" i="42" l="1"/>
  <c r="L21" i="37" l="1"/>
  <c r="D37" i="42" l="1"/>
  <c r="R30" i="29" l="1"/>
  <c r="B26" i="37"/>
  <c r="B24" i="37"/>
  <c r="B23" i="37"/>
  <c r="Q143" i="29"/>
  <c r="R143" i="29"/>
  <c r="Q144" i="29"/>
  <c r="R144" i="29"/>
  <c r="M143" i="29"/>
  <c r="N143" i="29"/>
  <c r="O143" i="29"/>
  <c r="P143" i="29"/>
  <c r="M144" i="29"/>
  <c r="N144" i="29"/>
  <c r="O144" i="29"/>
  <c r="P144" i="29"/>
  <c r="M8" i="37"/>
  <c r="B2" i="39"/>
  <c r="B2" i="42"/>
  <c r="B20" i="37"/>
  <c r="B2" i="37"/>
  <c r="B2" i="35"/>
  <c r="B2" i="30"/>
  <c r="B2" i="45"/>
  <c r="B3" i="27"/>
  <c r="B2" i="1" s="1"/>
  <c r="I9" i="27"/>
  <c r="E50" i="29"/>
  <c r="C38" i="29"/>
  <c r="D38" i="29"/>
  <c r="B32" i="29"/>
  <c r="B31" i="29"/>
  <c r="D29" i="42"/>
  <c r="B22" i="45"/>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4" i="1"/>
  <c r="E89" i="29"/>
  <c r="E88" i="29"/>
  <c r="D11" i="42"/>
  <c r="J3" i="35"/>
  <c r="L3" i="35"/>
  <c r="H15" i="35" s="1"/>
  <c r="I3" i="30"/>
  <c r="K3" i="30"/>
  <c r="H22" i="30" s="1"/>
  <c r="D33" i="42"/>
  <c r="D34" i="42"/>
  <c r="D35" i="42"/>
  <c r="D36" i="42"/>
  <c r="D38" i="42"/>
  <c r="D39" i="42"/>
  <c r="D32" i="42"/>
  <c r="D31" i="42"/>
  <c r="E108" i="29"/>
  <c r="G108" i="29" s="1"/>
  <c r="I108" i="29" s="1"/>
  <c r="E107" i="29"/>
  <c r="G107" i="29" s="1"/>
  <c r="I107" i="29" s="1"/>
  <c r="E109" i="29"/>
  <c r="G109" i="29" s="1"/>
  <c r="I109" i="29" s="1"/>
  <c r="E110" i="29"/>
  <c r="G110" i="29" s="1"/>
  <c r="I110" i="29" s="1"/>
  <c r="K30" i="35"/>
  <c r="K31" i="35"/>
  <c r="K32" i="35"/>
  <c r="K33" i="35"/>
  <c r="M142" i="29"/>
  <c r="N142" i="29"/>
  <c r="O142" i="29"/>
  <c r="P142" i="29"/>
  <c r="Q142" i="29"/>
  <c r="R142" i="29"/>
  <c r="S142" i="29"/>
  <c r="S143" i="29"/>
  <c r="S144" i="29"/>
  <c r="M145" i="29"/>
  <c r="N145" i="29"/>
  <c r="O145" i="29"/>
  <c r="P145" i="29"/>
  <c r="Q145" i="29"/>
  <c r="R145" i="29"/>
  <c r="S145" i="29"/>
  <c r="M146" i="29"/>
  <c r="N146" i="29"/>
  <c r="O146" i="29"/>
  <c r="P146" i="29"/>
  <c r="Q146" i="29"/>
  <c r="R146" i="29"/>
  <c r="S146" i="29"/>
  <c r="M141" i="29"/>
  <c r="N141" i="29"/>
  <c r="O141" i="29"/>
  <c r="P141" i="29"/>
  <c r="Q141" i="29"/>
  <c r="R141" i="29"/>
  <c r="S141" i="29"/>
  <c r="F143" i="29"/>
  <c r="F145" i="29"/>
  <c r="F141" i="29"/>
  <c r="E143" i="29"/>
  <c r="E145" i="29"/>
  <c r="E141" i="29"/>
  <c r="B143" i="29"/>
  <c r="B145" i="29"/>
  <c r="B141" i="29"/>
  <c r="N35" i="29"/>
  <c r="H29" i="30"/>
  <c r="H28" i="30"/>
  <c r="H27" i="30"/>
  <c r="D24" i="42"/>
  <c r="D23" i="42"/>
  <c r="D22" i="42"/>
  <c r="D21" i="42"/>
  <c r="D20" i="42"/>
  <c r="D19" i="42"/>
  <c r="D14" i="42"/>
  <c r="D13" i="42"/>
  <c r="D12" i="42"/>
  <c r="B25" i="45"/>
  <c r="B23" i="45"/>
  <c r="B21" i="45"/>
  <c r="B20" i="45"/>
  <c r="B19" i="45"/>
  <c r="B11" i="45"/>
  <c r="B10" i="45"/>
  <c r="B9" i="45"/>
  <c r="B8" i="45"/>
  <c r="B4" i="37"/>
  <c r="B4" i="35"/>
  <c r="B4" i="30"/>
  <c r="G72" i="29"/>
  <c r="F20" i="42" s="1"/>
  <c r="G12" i="27"/>
  <c r="H4" i="1"/>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N3" i="37"/>
  <c r="J5" i="30"/>
  <c r="D5" i="30"/>
  <c r="I4" i="30"/>
  <c r="E4" i="30"/>
  <c r="G8" i="37"/>
  <c r="C8" i="37"/>
  <c r="H146" i="29"/>
  <c r="H145" i="29"/>
  <c r="S140" i="29"/>
  <c r="R140" i="29"/>
  <c r="Q140" i="29"/>
  <c r="P140" i="29"/>
  <c r="O140" i="29"/>
  <c r="B22" i="37"/>
  <c r="B21" i="37"/>
  <c r="N140" i="29"/>
  <c r="M140" i="29"/>
  <c r="L140" i="29"/>
  <c r="K140" i="29"/>
  <c r="J140" i="29"/>
  <c r="I140" i="29"/>
  <c r="H140" i="29"/>
  <c r="B36" i="39"/>
  <c r="B34" i="39"/>
  <c r="B34" i="35"/>
  <c r="Z24" i="37"/>
  <c r="AA24" i="37" s="1"/>
  <c r="Z23" i="37"/>
  <c r="AA23" i="37"/>
  <c r="AD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8" i="37"/>
  <c r="T26" i="37"/>
  <c r="U26" i="37"/>
  <c r="V26" i="37"/>
  <c r="W26" i="37"/>
  <c r="X26" i="37"/>
  <c r="T27" i="37"/>
  <c r="U27" i="37"/>
  <c r="V27" i="37"/>
  <c r="W27" i="37"/>
  <c r="X27" i="37"/>
  <c r="T28" i="37"/>
  <c r="V28" i="37"/>
  <c r="X28" i="37"/>
  <c r="T32" i="37"/>
  <c r="T31" i="37"/>
  <c r="U31" i="37"/>
  <c r="V31" i="37"/>
  <c r="W31" i="37"/>
  <c r="X31" i="37"/>
  <c r="U32" i="37"/>
  <c r="W32" i="37"/>
  <c r="T33" i="37"/>
  <c r="U33" i="37"/>
  <c r="V33" i="37"/>
  <c r="W33" i="37"/>
  <c r="X33" i="37"/>
  <c r="T34" i="37"/>
  <c r="U34" i="37"/>
  <c r="V34" i="37"/>
  <c r="W34" i="37"/>
  <c r="X34" i="37"/>
  <c r="X32" i="37"/>
  <c r="V32" i="37"/>
  <c r="W28" i="37"/>
  <c r="C35" i="29"/>
  <c r="B3" i="32"/>
  <c r="AE23" i="37"/>
  <c r="R29" i="29"/>
  <c r="AB23" i="37"/>
  <c r="AF23" i="37"/>
  <c r="E35" i="29"/>
  <c r="R33" i="29"/>
  <c r="H35" i="29"/>
  <c r="R35" i="29"/>
  <c r="J35" i="29"/>
  <c r="R49" i="29"/>
  <c r="L35" i="29"/>
  <c r="M35" i="29"/>
  <c r="AD22" i="37" l="1"/>
  <c r="AC22" i="37"/>
  <c r="AB22" i="37"/>
  <c r="AF22" i="37"/>
  <c r="AE22" i="37"/>
  <c r="AC23" i="37"/>
  <c r="E20" i="42"/>
  <c r="K110" i="29"/>
  <c r="L33" i="35" s="1"/>
  <c r="J33" i="35"/>
  <c r="H7" i="35"/>
  <c r="D35" i="29"/>
  <c r="R32" i="29"/>
  <c r="F46" i="29"/>
  <c r="B22" i="30"/>
  <c r="AB24" i="37"/>
  <c r="AF24" i="37"/>
  <c r="AC24" i="37"/>
  <c r="AD24" i="37"/>
  <c r="AE24" i="37"/>
  <c r="J30" i="35"/>
  <c r="K107" i="29"/>
  <c r="L30" i="35" s="1"/>
  <c r="K108" i="29"/>
  <c r="L31" i="35" s="1"/>
  <c r="J31" i="35"/>
  <c r="J32" i="35"/>
  <c r="K109" i="29"/>
  <c r="L32" i="35" s="1"/>
  <c r="H8" i="30"/>
  <c r="H26" i="35"/>
  <c r="B8" i="30"/>
  <c r="B7" i="35"/>
  <c r="B15" i="35"/>
  <c r="K35" i="29"/>
  <c r="I35" i="29"/>
  <c r="G35" i="29"/>
  <c r="R31" i="29"/>
  <c r="R34" i="29"/>
  <c r="F35" i="29"/>
  <c r="R48" i="29"/>
  <c r="Q50" i="29"/>
  <c r="G27" i="37"/>
  <c r="G24" i="37"/>
  <c r="G28"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1" authorId="1" shapeId="0">
      <text>
        <r>
          <rPr>
            <b/>
            <sz val="8"/>
            <color indexed="81"/>
            <rFont val="Tahoma"/>
            <family val="2"/>
            <charset val="204"/>
          </rPr>
          <t xml:space="preserve">If data are not available, do not enter zeros; rather, leave the cells in the table blank. </t>
        </r>
      </text>
    </comment>
    <comment ref="B72" authorId="1" shapeId="0">
      <text>
        <r>
          <rPr>
            <b/>
            <sz val="8"/>
            <color indexed="81"/>
            <rFont val="Tahoma"/>
            <family val="2"/>
            <charset val="204"/>
          </rPr>
          <t>If data are not available, do not enter zeros; rather, leave the cells in this table blank.</t>
        </r>
      </text>
    </comment>
    <comment ref="B78" authorId="0" shapeId="0">
      <text>
        <r>
          <rPr>
            <sz val="8"/>
            <color indexed="81"/>
            <rFont val="Tahoma"/>
            <family val="2"/>
            <charset val="204"/>
          </rPr>
          <t xml:space="preserve">If data are not available, do not enter zeros; rather, leave the cells in this table blank. </t>
        </r>
      </text>
    </comment>
    <comment ref="B93"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<sst xmlns="http://schemas.openxmlformats.org/spreadsheetml/2006/main" count="684" uniqueCount="513">
  <si>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</si>
  <si>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</si>
  <si>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</si>
  <si>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</si>
  <si>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</si>
  <si>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</si>
  <si>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</si>
  <si>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</si>
  <si>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</si>
  <si>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</si>
  <si>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</si>
  <si>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</si>
  <si>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</si>
  <si>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</si>
  <si>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</si>
  <si>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</si>
  <si>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</si>
  <si>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</si>
  <si>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</si>
  <si>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</si>
  <si>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</si>
  <si>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</si>
  <si>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</si>
  <si>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</si>
  <si>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</si>
  <si>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</si>
  <si>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</si>
  <si>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</si>
  <si>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</si>
  <si>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</si>
  <si>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</si>
  <si>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</si>
  <si>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</si>
  <si>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</si>
  <si>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</si>
  <si>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</si>
  <si>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</si>
  <si>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</si>
  <si>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</si>
  <si>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</si>
  <si>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</si>
  <si>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</si>
  <si>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</si>
  <si>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</si>
  <si>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</si>
  <si>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</si>
  <si>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</si>
  <si>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</si>
  <si>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</si>
  <si>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</si>
  <si>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</si>
  <si>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</si>
  <si>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</si>
  <si>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</si>
  <si>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</si>
  <si>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</si>
  <si>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</si>
  <si>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</si>
  <si>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</si>
  <si>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</si>
  <si>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</si>
  <si>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</si>
  <si>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</si>
  <si>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</si>
  <si>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</si>
  <si>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</si>
  <si>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</si>
  <si>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</si>
  <si>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</si>
  <si>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</si>
  <si>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</si>
  <si>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</si>
  <si>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</si>
  <si>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</si>
  <si>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</si>
  <si>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</si>
  <si>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</si>
  <si>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</si>
  <si>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</si>
  <si>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</si>
  <si>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</si>
  <si>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</si>
  <si>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</si>
  <si>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</si>
  <si>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</si>
  <si>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</si>
  <si>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</si>
  <si>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</si>
  <si>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</si>
  <si>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</si>
  <si>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</si>
  <si>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</si>
  <si>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</si>
  <si>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</si>
  <si>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</si>
  <si>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</si>
  <si>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</si>
  <si>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</si>
  <si>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</si>
  <si>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</si>
  <si>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</si>
  <si>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</si>
  <si>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</si>
  <si>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</si>
  <si>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</si>
  <si>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</si>
  <si>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</si>
  <si>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</si>
  <si>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</si>
  <si>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</si>
  <si>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</si>
  <si>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</si>
  <si>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</si>
  <si>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</si>
  <si>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</si>
  <si>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</si>
  <si>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</si>
  <si>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</si>
  <si>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</si>
  <si>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</si>
  <si>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</si>
  <si>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</si>
  <si>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</si>
  <si>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</si>
  <si>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</si>
  <si>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</si>
  <si>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</si>
  <si>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</si>
  <si>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</si>
  <si>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</si>
  <si>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</si>
  <si>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</si>
  <si>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</si>
  <si>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</si>
  <si>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</si>
  <si>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</si>
  <si>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</si>
  <si>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</si>
  <si>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</si>
  <si>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</si>
  <si>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</si>
  <si>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</si>
  <si>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</si>
  <si>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</si>
  <si>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</si>
  <si>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</si>
  <si>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</si>
  <si>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</si>
  <si>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</si>
  <si>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</si>
  <si>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</si>
  <si>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</si>
  <si>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</si>
  <si>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</si>
  <si>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</si>
  <si>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</si>
  <si>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</si>
  <si>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</si>
  <si>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</si>
  <si>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</si>
  <si>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</si>
  <si>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</si>
  <si>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</si>
  <si>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</si>
  <si>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</si>
  <si>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</si>
  <si>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</si>
  <si>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</si>
  <si>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</si>
  <si>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</si>
  <si>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</si>
  <si>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</si>
  <si>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</si>
  <si>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</si>
  <si>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</si>
  <si>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</si>
  <si>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</si>
  <si>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</si>
  <si>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</si>
  <si>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</si>
  <si>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</si>
  <si>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</si>
  <si>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</si>
  <si>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</si>
  <si>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</si>
  <si>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</si>
  <si>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</si>
  <si>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</si>
  <si>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</si>
  <si>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</si>
  <si>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</si>
  <si>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</si>
  <si>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</si>
  <si>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</si>
  <si>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</si>
  <si>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</si>
  <si>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</si>
  <si>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</si>
  <si>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</si>
  <si>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</si>
  <si>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</si>
  <si>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</si>
  <si>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</si>
  <si>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</si>
  <si>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</si>
  <si>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</si>
  <si>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</si>
  <si>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</si>
  <si>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</si>
  <si>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</si>
  <si>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</si>
  <si>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</si>
  <si>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</si>
  <si>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</si>
  <si>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</si>
  <si>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</si>
  <si>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</si>
  <si>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</si>
  <si>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</si>
  <si>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</si>
  <si>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</si>
  <si>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</si>
  <si>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</si>
  <si>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</si>
  <si>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</si>
  <si>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</si>
  <si>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</si>
  <si>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</si>
  <si>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</si>
  <si>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</si>
  <si>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</si>
  <si>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</si>
  <si>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</si>
  <si>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</si>
  <si>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</si>
  <si>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</si>
  <si>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</si>
  <si>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</si>
  <si>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</si>
  <si>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</si>
  <si>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</si>
  <si>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</si>
  <si>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</si>
  <si>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</si>
  <si>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</si>
  <si>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</si>
  <si>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</si>
  <si>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</si>
  <si>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</si>
  <si>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</si>
  <si>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</si>
  <si>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</si>
  <si>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</si>
  <si>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</si>
  <si>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</si>
  <si>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</si>
  <si>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</si>
  <si>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</si>
  <si>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</si>
  <si>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</si>
  <si>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</si>
  <si>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</si>
  <si>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</si>
  <si>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</si>
  <si>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</si>
  <si>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</si>
  <si>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</si>
  <si>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</si>
  <si>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</si>
  <si>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</si>
  <si>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</si>
  <si>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</si>
  <si>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</si>
  <si>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</si>
  <si>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</si>
  <si>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</si>
  <si>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</si>
  <si>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</si>
  <si>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</si>
  <si>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</si>
  <si>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</si>
  <si>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</si>
  <si>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</si>
  <si>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</si>
  <si>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</si>
  <si>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</si>
  <si>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</si>
  <si>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</si>
  <si>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</si>
  <si>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</si>
  <si>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</si>
  <si>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</si>
  <si>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</si>
  <si>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</si>
  <si>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</si>
  <si>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</si>
  <si>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</si>
  <si>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</si>
  <si>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</si>
  <si>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</si>
  <si>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</si>
  <si>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</si>
  <si>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</si>
  <si>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</si>
  <si>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</si>
  <si>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</si>
  <si>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</si>
  <si>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</si>
  <si>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</si>
  <si>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</si>
  <si>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</si>
  <si>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</si>
  <si>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</si>
  <si>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</si>
  <si>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</si>
  <si>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</si>
  <si>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</si>
  <si>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</si>
  <si>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</si>
  <si>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</si>
  <si>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</si>
  <si>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</si>
  <si>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</si>
  <si>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</si>
  <si>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</si>
  <si>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</si>
  <si>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</si>
  <si>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</si>
  <si>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</si>
  <si>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</si>
  <si>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</si>
  <si>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</si>
  <si>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</si>
  <si>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</si>
  <si>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</si>
  <si>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</si>
  <si>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</si>
  <si>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</si>
  <si>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</si>
  <si>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</si>
  <si>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</si>
  <si>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</si>
  <si>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</si>
  <si>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</si>
  <si>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</si>
  <si>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</si>
  <si>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</si>
  <si>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</si>
  <si>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</si>
  <si>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</si>
  <si>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</si>
  <si>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</si>
  <si>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</si>
  <si>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</si>
  <si>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</si>
  <si>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</si>
  <si>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</si>
  <si>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</si>
  <si>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</si>
  <si>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</si>
  <si>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</si>
  <si>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</si>
  <si>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</si>
  <si>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</si>
  <si>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</si>
  <si>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</si>
  <si>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</si>
  <si>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</si>
  <si>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</si>
  <si>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</si>
  <si>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</si>
  <si>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</si>
  <si>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</si>
  <si>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</si>
  <si>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</si>
  <si>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</si>
  <si>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</si>
  <si>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</si>
  <si>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</si>
  <si>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</si>
  <si>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</si>
  <si>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</si>
  <si>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</si>
  <si>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</si>
  <si>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</si>
  <si>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</si>
  <si>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</si>
  <si>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</si>
  <si>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</si>
  <si>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</si>
  <si>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</si>
  <si>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</si>
  <si>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</si>
  <si>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</si>
  <si>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</si>
  <si>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</si>
  <si>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</si>
  <si>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</si>
  <si>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</si>
  <si>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</si>
  <si>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</si>
  <si>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</si>
  <si>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</si>
  <si>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</si>
  <si>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</si>
  <si>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</si>
  <si>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</si>
  <si>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</si>
  <si>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</si>
  <si>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</si>
  <si>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</si>
  <si>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</si>
  <si>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</si>
  <si>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</si>
  <si>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</si>
  <si>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Formular de notificare a cazurilor TB (089); Registrul cazurilor TB (03);
Fișa de tratament a pacienților TB (01).</t>
  </si>
  <si>
    <t>Numărător: Numărul de decese cauzate de TB (toate formele) înregistrate într-o anumită perioadă per 100,000 persoane; Numitor: Numărul total al populației în țară</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</si>
  <si>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</si>
  <si>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</si>
  <si>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</si>
  <si>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</si>
  <si>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</si>
  <si>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</si>
  <si>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</si>
  <si>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</si>
  <si>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</si>
  <si>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</si>
  <si>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Y - nu este cumulativ</t>
  </si>
  <si>
    <t>Rezultat 2</t>
  </si>
  <si>
    <t>Rezultat 1</t>
  </si>
  <si>
    <t>Rezultat 3</t>
  </si>
  <si>
    <t>Recomandările cheie a Comisiei de Supraveghere</t>
  </si>
  <si>
    <t>IP UCIMP DS</t>
  </si>
  <si>
    <t>Tsovinar Sakanyan</t>
  </si>
  <si>
    <t xml:space="preserve">                               Introduceți datele pentru management în celulele albastre</t>
  </si>
  <si>
    <t>Asigurarea accesului universal la diagnosticul la timp şi de calitate al tuturor formelor de tuberculoză, inclusiv al celor cu TB-M/EDR</t>
  </si>
  <si>
    <t>Consolidarea managementului, coordonării, monitorizării și evaluării Programului Național de control al tuberculozei</t>
  </si>
  <si>
    <t>Fortificarea managementului Programului</t>
  </si>
  <si>
    <t>Asigurarea accesului universal la tratamentul calitativ al tuturor formelor de tuberculoză, inclusiv al celor cu TB-M/EDR</t>
  </si>
  <si>
    <t>Impact 2</t>
  </si>
  <si>
    <t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t>
  </si>
  <si>
    <t>Impact 3</t>
  </si>
  <si>
    <t>Rata succesului tratamentului cazurilor noi - Numărul şi procentul cazurilor noi de tuberculoză confirmate bacteriologic, tratate cu succes (vindecate și cu tratamente încheiate), din numărul total de cazuri noi cu tuberculoză confirmate bacteriologic, înregistrate într-un an</t>
  </si>
  <si>
    <t>Numărul și procentul cazurilor retratamente de tuberculoză, care efectuează teste de diagnostic al sensibilității la preparatele de linia I (doar cazurile TB confirmate bacteriologic) - Numărul cazurilor retratamente de tuberculoză cu rezultatele testelor la sensibilitate pentru preparatele isoniazid și rifampicin, înregistrate în perioada de raportare, din numărul total de cazuri retratamente de tuberculoză confirmate bacteriologic, înregistrate în aceeași perioadă</t>
  </si>
  <si>
    <t>Proces 1</t>
  </si>
  <si>
    <t>Numărul de cazuri de TB DR (RR-TB și/sau MDR-TB), confirmate bacteriologic, notificate</t>
  </si>
  <si>
    <t xml:space="preserve">Proces 2 </t>
  </si>
  <si>
    <t xml:space="preserve">Numărul cazurilor cu tuberculoză drog-rezistentă (RR-TB și/sau MDR-TB), confirmate bacteriologic, care au demarat tratamentul DOTS-Plus în perioada raportată                 </t>
  </si>
  <si>
    <t>Proces 3</t>
  </si>
  <si>
    <t>Proces 4</t>
  </si>
  <si>
    <t xml:space="preserve">Rezultatul interimar de abandon al tratamentului cazurilor MDR-TB: numărul și procentul pacienţilor cu tuberculoză drog-rezistentă (RR-TB și/sau MDR-TB) care au întrerupt tratamentul DOTS-Plus către luna a 6 de la demararea acestuia   </t>
  </si>
  <si>
    <t>Indicator de impact 1. Rata mortalităţii  - Numărul estimat de decese cauzate de TB (toate formele) pe an, la 100,000 persoane</t>
  </si>
  <si>
    <t>Indicator de impact 3. Prevalența TB MDR printre cazurile de tuberculoză anterior tratate</t>
  </si>
  <si>
    <t xml:space="preserve">Indicator de impact 2. Prevalența TB MDR printre cazurile noi de tuberculoză </t>
  </si>
  <si>
    <t>Indicator de rezultat 1. Rata succesului tratamentului pacienților cu TB MDR</t>
  </si>
  <si>
    <t xml:space="preserve">Indicator de rezultat 2. Rata de notificare a cazurilor de tuberculoză (toate formele) per 100,000 populație        </t>
  </si>
  <si>
    <t>Indicator de rezultat 3. Rata de notificare a cazurilor de tuberculoză per 100,000 populație</t>
  </si>
  <si>
    <t>Indicator de rezultat 4. Rata succesului tratamentului cazurilor noi</t>
  </si>
  <si>
    <t>Indicator de proces 1. Numărul și procentul cazurilor retratamente de tuberculoză, care efectuează teste de diagnostic al sensibilității la preparatele de linia I (doar cazurile TB confirmate bacteriologic)</t>
  </si>
  <si>
    <t>Indicator de proces 2. Numărul de cazuri de TB DR (RR-TB și/sau MDR-TB), confirmate bacteriologic, notificate</t>
  </si>
  <si>
    <t xml:space="preserve">Indicator de proces 3. Numărul cazurilor cu tuberculoză drog-rezistentă (RR-TB și/sau MDR-TB), confirmate bacteriologic, care au demarat tratamentul DOTS-Plus în perioada raportată                 </t>
  </si>
  <si>
    <t>Indicator de proces 4. Rezultatul interimar de abandon al tratamentului cazurilor MDR-TB</t>
  </si>
  <si>
    <t xml:space="preserve">Impact 2 </t>
  </si>
  <si>
    <t xml:space="preserve">Rezultat 4 </t>
  </si>
  <si>
    <t>Definiție (din M&amp;E Plan, Ianuarie 2015)</t>
  </si>
  <si>
    <t xml:space="preserve">Formular de notificare a cazurilor MDR TB (090); Registrul cazurilor MDR TB (03MDR = registru categoria IV); Fișa de tratament a pacienților MDR TB (01)  
</t>
  </si>
  <si>
    <t xml:space="preserve">Formular de notificare a cazurilor MDR TB (090); Registrul cazurilor MDR TB (03MDR = registru categoria IV); Fișa de tratament a pacienților MDR TB (01)  
</t>
  </si>
  <si>
    <t>Numărător: Numărul cazurilor noi de tuberculoză cu cultura pozitivă, testate la sensibilitate pentru preparatele de linia I, diagnosticate cu MDR; Numitor: Numărul total de cazuri noi de tuberculoză cu cultura pozitivă, testate lasensibilitate pentru preparatele de linia I, pe parcursul anului</t>
  </si>
  <si>
    <t xml:space="preserve">Numărător: Numărul cazurilor de tuberculoză cu cultura pozitivă, anterior tratate, testate la sensibilitate pentru preparatele de linia I, diagnosticate cu MDR; Numitor: Numărul total de cazuri de tuberculoză cu cultura pozitivă, anterior tratate, testate la sensibilitate pentru preparatele de linia I, pe parcursul anului </t>
  </si>
  <si>
    <t>Proces 2</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</si>
  <si>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</si>
  <si>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cazurilor retratamente de tuberculoză cu rezultatele testelor la sensibilitate pentru preparatele isoniazid și rifampicin, înregistrate în perioada de raportare; Numitor: Numărul total de cazuri retratamente de tuberculoză confirmate bacteriologic, înregistrate în aceeași perioadă</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</si>
  <si>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</si>
  <si>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</si>
  <si>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Numărător: Cazurile de tuberculoză (bacteriologic confirmate, cazuri noi și recidive) notificate către autoritatea națională, într-o perioadă anumită de timp, per 100,000 populație; Numitor: Numărul total al populației în țară</t>
  </si>
  <si>
    <t xml:space="preserve">Numărător: Numărul de cazuri de TB DR (RR-TB și/sau MDR-TB), confirmate bacteriologic, notificate către autoritatea națională, în perioada raportată; Numitor: Nu este   </t>
  </si>
  <si>
    <t xml:space="preserve">Formular de notificare a cazurilor TB (089); Registrul cazurilor TB (03); Fișa de tratament a pacienților TB (01)
</t>
  </si>
  <si>
    <t>Sistemul R&amp;R TB; Rapoarte trimestriale; SYME TB</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</si>
  <si>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</si>
  <si>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</si>
  <si>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</si>
  <si>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</si>
  <si>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Numărul cazurilor noi de tuberculoză confirmate bacteriologic, tratate cu succes (vindecate și cu tratamente încheiate); Numitor: Numărul total de cazuri noi cu tuberculoză confirmate bacteriologic, înregistrate într-un an</t>
  </si>
  <si>
    <t>MDA-T-PCIMU (#678)</t>
  </si>
  <si>
    <t>Period 1</t>
  </si>
  <si>
    <t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t>
  </si>
  <si>
    <t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t>
  </si>
  <si>
    <t>Toate posturile în cadrul echipei ce gestionează Grantul TB al Noului Mecanism de Finanțare sunt ocupate.</t>
  </si>
  <si>
    <t>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</si>
  <si>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Rata mortalităţii  - Numărul de decese cauzate de TB (toate formele) pe an, la 100 000 persoane</t>
  </si>
  <si>
    <t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t>
  </si>
  <si>
    <t>Rata de notificare a cazurilor de tuberculoză (bacteriologic confirmate) per 100 000 populație - Cazurile de tuberculoză (bacteriologic confirmate, cazuri noi și recidive) notificate către autoritatea națională într-o perioadă anumită de timp per 100 000 populație</t>
  </si>
  <si>
    <t>Angajamente TB la 30.06.2015</t>
  </si>
  <si>
    <t>* Include numai AFR categoriile 4,5 și 6  (Produse medicale și Echipamente medicale &amp; Medicamente și Produse farmaceutice)</t>
  </si>
  <si>
    <r>
      <rPr>
        <b/>
        <sz val="10"/>
        <rFont val="Calibri"/>
        <family val="2"/>
        <charset val="204"/>
      </rPr>
      <t>Date finale pentru anul 2015:</t>
    </r>
    <r>
      <rPr>
        <sz val="10"/>
        <rFont val="Calibri"/>
        <family val="2"/>
        <charset val="204"/>
      </rPr>
      <t xml:space="preserve"> 2 155 cazuri de tuberculoză (bacteriologic confirmate, cazuri noi și recidive) au fost notificate către autoritatea națională în anul 2015.  </t>
    </r>
    <r>
      <rPr>
        <b/>
        <sz val="10"/>
        <rFont val="Calibri"/>
        <family val="2"/>
      </rPr>
      <t xml:space="preserve">                                                               </t>
    </r>
  </si>
  <si>
    <r>
      <rPr>
        <b/>
        <sz val="10"/>
        <rFont val="Calibri"/>
        <family val="2"/>
        <charset val="204"/>
      </rPr>
      <t>Date finale pentru cohorta anului 2014:</t>
    </r>
    <r>
      <rPr>
        <sz val="10"/>
        <rFont val="Calibri"/>
        <family val="2"/>
        <charset val="204"/>
      </rPr>
      <t xml:space="preserve"> 1 120 cazuri noi de tuberculoză confirmate bacteriologic, din 1 402 diagnosticate în 2014, au fost tratate cu succes. Comparativ cu datele cohortelor anilor 2013 (75,8%), 2012 (62,56%), 2011 (62.2%) și 2010 (57.81%), se observă o creștere a valorii indicatorului pînă la 79,88% pentru cohorta anului 2014.</t>
    </r>
    <r>
      <rPr>
        <b/>
        <sz val="10"/>
        <rFont val="Calibri"/>
        <family val="2"/>
      </rPr>
      <t xml:space="preserve">
</t>
    </r>
  </si>
  <si>
    <r>
      <rPr>
        <b/>
        <sz val="10"/>
        <rFont val="Calibri"/>
        <family val="2"/>
      </rPr>
      <t>Date finale pentru cohorta MDR-TB anul 2012</t>
    </r>
    <r>
      <rPr>
        <sz val="10"/>
        <rFont val="Calibri"/>
        <family val="2"/>
      </rPr>
      <t xml:space="preserve">: 505 cazuri confirmate de TB MDR au fost tratate cu succes (vindecate și cu tratamente încheiate) din 857 incluse în tratment DOTS Plus în 2012.                                                                                  
</t>
    </r>
    <r>
      <rPr>
        <b/>
        <sz val="10"/>
        <rFont val="Calibri"/>
        <family val="2"/>
      </rPr>
      <t>Notă -</t>
    </r>
    <r>
      <rPr>
        <sz val="10"/>
        <rFont val="Calibri"/>
        <family val="2"/>
      </rPr>
      <t xml:space="preserve">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t>
    </r>
    <r>
      <rPr>
        <sz val="10"/>
        <rFont val="Calibri"/>
        <family val="2"/>
        <charset val="204"/>
      </rPr>
      <t>10,16</t>
    </r>
    <r>
      <rPr>
        <sz val="10"/>
        <rFont val="Calibri"/>
        <family val="2"/>
      </rPr>
      <t xml:space="preserve">% în 2012).                                                                                                                                             </t>
    </r>
    <r>
      <rPr>
        <b/>
        <sz val="8"/>
        <rFont val="Calibri"/>
        <family val="2"/>
        <charset val="204"/>
      </rPr>
      <t/>
    </r>
  </si>
  <si>
    <t>Două din cele trei condiții precedente stipulate în Acordul de Grant au fost îndeplinite, axate pe procurarea medicamentelor antituberculoase de linia a doua pentru tratamentul pacienților cu TB DR.  Termenul limită pentru îndeplinirea celei de a treia condiție, de dezvoltare a planului de sustenabilitate, este de 31 decembrie 2016.</t>
  </si>
  <si>
    <t>În perioada raportată Sub-Recipientul a prezentat în conformitate cu Acordul două rapoarte trimestriale și raportul cumulativ anual pentru 2015.</t>
  </si>
  <si>
    <t>Analiza stocului (la data de 30 iunie 2016) a medicamentelor de linia a II și a III, a numărului de pacienți în tratament la aceeași dată, precum si a livrarilor planificate arata prezența unui stock buffer între 5 și 28 de luni ce previne riscul lipsei de preparate.</t>
  </si>
  <si>
    <t>Fondul Global a debursat în avans 3 863 104,00 EUR din suma grantului către data de 30 iunie 2016.</t>
  </si>
  <si>
    <t xml:space="preserve">
În cadrul activităților din Obiectivul I a fost valorificată în semestrul I.2016  suma de 224 713,31 EUR față de 579 658,00 EUR bugetați (38,8%), iar cumulativ în perioada 01 iulie 2015 - 30 iunie 2016 a fost valorificată suma de de 472 719,12 EUR față de 1 304 050,08 EUR bugetați (36,3%). 
În cadrul activităților din Obiectivul II a fost valorificată în semestrul I.2016  suma de 348 020,55 EUR față de 1 059 974,57 EUR bugetați (32,8%), iar cumulativ în perioada 01 iulie 2015 - 30 iunie 2016 a fost valorificată suma de de 1 692 441,52 EUR față de 3 249 061,5 EUR bugetați (52,1%). 
În cadrul activităților din Obiectivul V a fost valorificată în semestrul I.2016  suma de 41 288,31 EUR față de 74 983,44 EUR bugetați (55,1%), iar cumulativ în perioada 01 iulie 2015 - 30 iunie 2016 a fost valorificată suma de de 92 202,16 EUR față de 170 448,94 EUR bugetați (54,1%). 
Totodată au fost finalizate angajamentele pentru perioada II a Grantului consolidat în sumă de 11 710,80 EUR.
Analiza detaliată a cheltuielilor, inclusiv sumele restante și economiile obținute către 30 iunie 2016 sunt prezentate în nota informativă narativă la dashboard.
</t>
  </si>
  <si>
    <r>
      <rPr>
        <b/>
        <sz val="10"/>
        <rFont val="Calibri"/>
        <family val="2"/>
        <charset val="204"/>
      </rPr>
      <t>Date pentru Sem.I.2015:</t>
    </r>
    <r>
      <rPr>
        <sz val="10"/>
        <rFont val="Calibri"/>
        <family val="2"/>
        <charset val="204"/>
      </rPr>
      <t xml:space="preserve"> 62 pacienți din 541 incluși în tratamentul DOTS Plus în Sem.I.2015, au abandonat tratamentul după 6 luni de tratament DOTS Plus.                                                                                        </t>
    </r>
    <r>
      <rPr>
        <b/>
        <sz val="10"/>
        <rFont val="Calibri"/>
        <family val="2"/>
        <charset val="204"/>
      </rPr>
      <t>Notă 1</t>
    </r>
    <r>
      <rPr>
        <sz val="10"/>
        <rFont val="Calibri"/>
        <family val="2"/>
        <charset val="204"/>
      </rPr>
      <t xml:space="preserve"> - Analiza cazurilor care au abandonat tratamentul pentru DR-TB ne arată că există o diferență a ratei abandonului printre diferite categorii de pacienți. Astfel, rata interimară de abandon printre cazurile noi de pacienți cu DR-TB aflați în tratament a constituit doar 6,4% (14/220), pe când printre cazurile anterior tratate aceasta a constituit 14,9%  (48/321). Totodată, analizând rata interimară de abandon printre cazurile anterior tratate de pacienți cu DR-TB, se observă că aceasta s-a deosebit la diferite tipuri de pacienți: dacă la cazurile după eșec aceasta a fost de 5,1% (5/99), atunci printre recidive a ajuns la 15,1% (20/132) și printre cazurile după abandon - la 25,3% (22/87) . 
Astfel, este indicată o abordare mai specială pentru cazurile de retratamente după abandon, în special axată pe activități de comunicare, educare (atât a pacientului, cât și pentru membrii familiei), monitorizare a tratamentului, în paralel cu asigurarea unui suport social în vederea fortificării aderenței la tratament.                                                                            </t>
    </r>
    <r>
      <rPr>
        <b/>
        <sz val="10"/>
        <rFont val="Calibri"/>
        <family val="2"/>
        <charset val="204"/>
      </rPr>
      <t>Notă 2</t>
    </r>
    <r>
      <rPr>
        <sz val="10"/>
        <rFont val="Calibri"/>
        <family val="2"/>
        <charset val="204"/>
      </rPr>
      <t xml:space="preserve"> - Se observă creșterea ratei interimare de abandon al tratamentului cazurilor MDR-TB pentru anul 2015, în comparație cu rata anului 2014 (8,7%), 2013 (8,3%) și 2012 (7,5%).   </t>
    </r>
    <r>
      <rPr>
        <b/>
        <sz val="10"/>
        <rFont val="Calibri"/>
        <family val="2"/>
      </rPr>
      <t xml:space="preserve">                                                                            </t>
    </r>
  </si>
  <si>
    <t>RP avea la 30 iunie 2016 angajamente semnate pentru livrarea consumabilelor și reagenților in suma de 477 236 EUR.</t>
  </si>
  <si>
    <t>În perioada semestrului I, 2016 au fost valorificați 
702 823,31 EUR față de 1 803 981,99 EUR bugetați pentru perioada raportată, ceea ce constituie 39,0%.
Variația pentru perioada stipulată constituie suma de 
1 101 158,68 EUR, compusă din: 
(-) 82 615,33 EUR - cheltuieli peste nivelul planificat, 
1 188 013,14 EUR – cheltuieli sub nivelul planificat și 
(-) 4 239,13 EUR utilizarea dobânzii inițial ne bugetate. 
Cumulativ, de la demararea Grantului, în perioada        01 Iulie 2015 - 30 Iunie 2016, au fost valorificați  
2 444 088,38 EUR față de 4 897 770,05 EUR planificați pentru această perioada, ceea ce constituie 49,9%. 
Variația pentru perioada cumulativă constituie suma de 2 453 681,67 EUR, compusă din:  
(-)  29 948,73 EUR – cheltuieli peste nivelul planificat, 
2 502 085,91 EUR – cheltuieli sub nivelul planificat, 
(-) 11,710.79 EUR – angajamente din perioada 2 a Grantului TB consolidat la data de 30 Iunie 2015 și 
(-) 6 744,72 EUR utilizarea dobânzii inițial ne bugetate. 
Analiza detaliată a cheltuielilor, inclusiv sumele restante și economiile obținute către 30 iunie 2016 sunt prezentate în nota informativă narativă la dashboard.</t>
  </si>
  <si>
    <t xml:space="preserve">Raportul de progres standard către Secretariatul Fondului Global pentru semestrul I.2016 a fost remis donatorului pentru examinare la 15 august 2016. </t>
  </si>
  <si>
    <r>
      <rPr>
        <b/>
        <sz val="9"/>
        <rFont val="Calibri"/>
        <family val="2"/>
      </rPr>
      <t xml:space="preserve">Date finale pentru anul 2015: </t>
    </r>
    <r>
      <rPr>
        <sz val="9"/>
        <rFont val="Calibri"/>
        <family val="2"/>
      </rPr>
      <t xml:space="preserve">408 persoane au decedat de tuberculoză în anul 2015 (10,13 decese la 100 000 persoane). 
</t>
    </r>
    <r>
      <rPr>
        <b/>
        <sz val="9"/>
        <rFont val="Calibri"/>
        <family val="2"/>
      </rPr>
      <t>Notă</t>
    </r>
    <r>
      <rPr>
        <sz val="9"/>
        <rFont val="Calibri"/>
        <family val="2"/>
      </rPr>
      <t xml:space="preserve"> - Se constată o micșorare cu 19.7% a ratei de mortalitate față de datele anului 2014 (508 cazuri de deces cauzate de tuberculoză) și cu 10.5% față de datele anului 2013 (456 cazuri de deces cauzate de tuberculoză). </t>
    </r>
  </si>
  <si>
    <r>
      <rPr>
        <b/>
        <sz val="9"/>
        <rFont val="Calibri"/>
        <family val="2"/>
      </rPr>
      <t xml:space="preserve">Date finale pentru anul 2015: </t>
    </r>
    <r>
      <rPr>
        <sz val="9"/>
        <rFont val="Calibri"/>
        <family val="2"/>
      </rPr>
      <t xml:space="preserve">338 cazuri noi de tuberculoză cu cultura pozitivă, testate la sensibilitate pentru preparatele de linia I, din 1 336 investigate în 2015, au fost diagnosticate cu MDR.
</t>
    </r>
    <r>
      <rPr>
        <b/>
        <sz val="9"/>
        <rFont val="Calibri"/>
        <family val="2"/>
      </rPr>
      <t>Notă</t>
    </r>
    <r>
      <rPr>
        <sz val="9"/>
        <rFont val="Calibri"/>
        <family val="2"/>
      </rPr>
      <t xml:space="preserve"> - Se constată menținerea unei rate înalte a TB MDR printre cazurile noi, situație caracteristică ultimilor ani.                                                                                                                                                                                                                                                                 </t>
    </r>
  </si>
  <si>
    <r>
      <rPr>
        <b/>
        <sz val="9"/>
        <rFont val="Calibri"/>
        <family val="2"/>
      </rPr>
      <t xml:space="preserve">Date finale pentru anul 2015: </t>
    </r>
    <r>
      <rPr>
        <sz val="9"/>
        <rFont val="Calibri"/>
        <family val="2"/>
      </rPr>
      <t xml:space="preserve">514 cazuri de tuberculoză cu cultura pozitivă, anterior tratate, testate la sensibilitate pentru preparatele de linia I, din 785 investigate în 2015, au fost diagnosticate cu MDR.
</t>
    </r>
    <r>
      <rPr>
        <b/>
        <sz val="9"/>
        <rFont val="Calibri"/>
        <family val="2"/>
      </rPr>
      <t>Notă</t>
    </r>
    <r>
      <rPr>
        <sz val="9"/>
        <rFont val="Calibri"/>
        <family val="2"/>
      </rPr>
      <t xml:space="preserve"> - Se constată menținerea unei rate înalte a TB MDR printre cazurile anterior tratate, situație caracteristică ultimilor ani.  </t>
    </r>
  </si>
  <si>
    <r>
      <rPr>
        <b/>
        <sz val="10"/>
        <rFont val="Calibri"/>
        <family val="2"/>
        <charset val="204"/>
      </rPr>
      <t>Date preliminare pentru anul 2015:</t>
    </r>
    <r>
      <rPr>
        <sz val="10"/>
        <rFont val="Calibri"/>
        <family val="2"/>
        <charset val="204"/>
      </rPr>
      <t xml:space="preserve"> 3 607 cazuri de tuberculoză (toate formele, bacteriologic confirmate și diagnosticate clinic, cazuri noi și recidive) au fost notificate către autoritatea națională în anul 2015. 
</t>
    </r>
    <r>
      <rPr>
        <b/>
        <sz val="10"/>
        <rFont val="Calibri"/>
        <family val="2"/>
        <charset val="204"/>
      </rPr>
      <t>Notă</t>
    </r>
    <r>
      <rPr>
        <sz val="10"/>
        <rFont val="Calibri"/>
        <family val="2"/>
        <charset val="204"/>
      </rPr>
      <t xml:space="preserve"> - Se constată o descreștere a ratei de notificare înregistrate în 2015, precum urmează: cu 3,2% comparativ cu datele anului 2014 (92,5 per 100 000), cu 8,3% comparativ cu datele anului 2013 (97,6 per 100 000) și cu 12,9% comparativ cu anul 2012 (102,7 per 100 000).    </t>
    </r>
    <r>
      <rPr>
        <b/>
        <sz val="10"/>
        <rFont val="Calibri"/>
        <family val="2"/>
      </rPr>
      <t xml:space="preserve"> </t>
    </r>
  </si>
  <si>
    <r>
      <rPr>
        <b/>
        <sz val="10"/>
        <rFont val="Calibri"/>
        <family val="2"/>
        <charset val="204"/>
      </rPr>
      <t>Date pentru Sem.II.2015:</t>
    </r>
    <r>
      <rPr>
        <sz val="10"/>
        <rFont val="Calibri"/>
        <family val="2"/>
        <charset val="204"/>
      </rPr>
      <t xml:space="preserve"> 307 pacienți din 414 cazuri de retratamente cu tuberculoză, confirmate bacteriologic (prin microscopie, cultură și Xpert), au efectuat teste de sensibilitate la preparatele de linia I (prin cultură și Xpert) în aceeași perioadă. 
</t>
    </r>
    <r>
      <rPr>
        <b/>
        <sz val="10"/>
        <rFont val="Calibri"/>
        <family val="2"/>
        <charset val="204"/>
      </rPr>
      <t>Notă 1</t>
    </r>
    <r>
      <rPr>
        <sz val="10"/>
        <rFont val="Calibri"/>
        <family val="2"/>
        <charset val="204"/>
      </rPr>
      <t xml:space="preserve"> - Trebuie să menționăm că, dacă se iau în considerație și cele 67 de cazuri "după abandon/pierdute din supraveghere" înregistrate, cu testul de diagnostic al sensibilității la preparatele de linia I efectuat anterior perioadei raportate, atunci vom avea 307+67=374 pacienți din 414, adică indicatorul va crește pînă la 90,3%. Iar, rata atingerii indicatorului pentru perioada raportată va fi de 95,05% (90,3%/95%). 
</t>
    </r>
    <r>
      <rPr>
        <b/>
        <sz val="10"/>
        <rFont val="Calibri"/>
        <family val="2"/>
        <charset val="204"/>
      </rPr>
      <t>Notă 2</t>
    </r>
    <r>
      <rPr>
        <sz val="10"/>
        <rFont val="Calibri"/>
        <family val="2"/>
        <charset val="204"/>
      </rPr>
      <t xml:space="preserve"> - Acest indicator se referă atît la sectorul civil, cît și la cel penitenciar.</t>
    </r>
  </si>
  <si>
    <r>
      <rPr>
        <b/>
        <sz val="10"/>
        <rFont val="Calibri"/>
        <family val="2"/>
        <charset val="204"/>
      </rPr>
      <t>Date pentru Sem.II.2015:</t>
    </r>
    <r>
      <rPr>
        <sz val="10"/>
        <rFont val="Calibri"/>
        <family val="2"/>
        <charset val="204"/>
      </rPr>
      <t xml:space="preserve"> 320 pacienți cu tuberculoză drog-rezistentă (RR-TB și/sau MDR-TB), confirmate bacteriologic, au fost notificate, față de 456 cazuri estimate pentru perioada raportată. 
</t>
    </r>
    <r>
      <rPr>
        <b/>
        <sz val="10"/>
        <rFont val="Calibri"/>
        <family val="2"/>
        <charset val="204"/>
      </rPr>
      <t>Notă</t>
    </r>
    <r>
      <rPr>
        <sz val="10"/>
        <rFont val="Calibri"/>
        <family val="2"/>
        <charset val="204"/>
      </rPr>
      <t xml:space="preserve"> - Se constată o descreștere a numărului de cazuri de TB DR, confirmate bacteriologic, notificate, pe fonul descreșterii numarului cazurilor TB (toate formele) notificate.   </t>
    </r>
    <r>
      <rPr>
        <b/>
        <sz val="10"/>
        <rFont val="Calibri"/>
        <family val="2"/>
      </rPr>
      <t xml:space="preserve">                                                           </t>
    </r>
  </si>
  <si>
    <r>
      <rPr>
        <b/>
        <sz val="10"/>
        <rFont val="Calibri"/>
        <family val="2"/>
        <charset val="204"/>
      </rPr>
      <t>Date pentru Sem.I.2016:</t>
    </r>
    <r>
      <rPr>
        <sz val="10"/>
        <rFont val="Calibri"/>
        <family val="2"/>
        <charset val="204"/>
      </rPr>
      <t xml:space="preserve"> 528 pacienți cu tuberculoză drog-rezistentă (RR-TB și/sau MDR-TB), confirmate bacteriologic, au demarat tratamentul DOTS-Plus, față de 390 pacienți preconizați pentru perioada raportată.
</t>
    </r>
    <r>
      <rPr>
        <b/>
        <sz val="10"/>
        <rFont val="Calibri"/>
        <family val="2"/>
        <charset val="204"/>
      </rPr>
      <t>Notă</t>
    </r>
    <r>
      <rPr>
        <sz val="10"/>
        <rFont val="Calibri"/>
        <family val="2"/>
        <charset val="204"/>
      </rPr>
      <t xml:space="preserve"> - Ținta a fost depășită din cauza includerii în tratamentul DOTS Plus a unui număr adițional de pacienți MDR TB în locul cazurilor de eșec, mortalitate sau pierdute din supraveghere înregistrate.   </t>
    </r>
    <r>
      <rPr>
        <b/>
        <sz val="1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</si>
</sst>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409]#,##0_);\([$$-409]#,##0\)"/>
    <numFmt numFmtId="170" formatCode="dd/mm/yy;@"/>
    <numFmt numFmtId="171" formatCode="_-[$€-2]\ * #,##0_-;\-[$€-2]\ * #,##0_-;_-[$€-2]\ * &quot;-&quot;_-;_-@_-"/>
    <numFmt numFmtId="172" formatCode="[$€-2]\ #,##0"/>
    <numFmt numFmtId="173" formatCode="#,##0.00_р_."/>
    <numFmt numFmtId="174" formatCode="#,##0.0"/>
    <numFmt numFmtId="175" formatCode="0.0%"/>
  </numFmts>
  <fonts count="140">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7"/>
      <color indexed="23"/>
      <name val="Verdana"/>
      <family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0"/>
      <color rgb="FFFF0000"/>
      <name val="Arial"/>
      <family val="2"/>
      <charset val="204"/>
    </font>
    <font>
      <sz val="11"/>
      <color rgb="FF7030A0"/>
      <name val="Calibri"/>
      <family val="2"/>
      <scheme val="minor"/>
    </font>
    <font>
      <b/>
      <sz val="8"/>
      <name val="Calibri"/>
      <family val="2"/>
      <charset val="204"/>
    </font>
    <font>
      <sz val="11"/>
      <name val="Calibri"/>
      <family val="2"/>
      <charset val="204"/>
      <scheme val="minor"/>
    </font>
    <font>
      <sz val="11"/>
      <color theme="1"/>
      <name val="Arial"/>
      <family val="2"/>
    </font>
    <font>
      <sz val="11"/>
      <color rgb="FFFF0000"/>
      <name val="Calibri"/>
      <family val="2"/>
      <scheme val="minor"/>
    </font>
    <font>
      <b/>
      <sz val="10"/>
      <name val="Calibri"/>
      <family val="2"/>
    </font>
    <font>
      <sz val="7.7"/>
      <name val="Calibri"/>
      <family val="2"/>
    </font>
    <font>
      <sz val="7.7"/>
      <name val="Calibri"/>
      <family val="2"/>
      <scheme val="minor"/>
    </font>
    <font>
      <sz val="8"/>
      <name val="Calibri"/>
      <family val="2"/>
      <charset val="204"/>
    </font>
    <font>
      <sz val="10"/>
      <name val="Calibri"/>
      <family val="2"/>
      <charset val="204"/>
    </font>
    <font>
      <b/>
      <sz val="10"/>
      <name val="Calibri"/>
      <family val="2"/>
      <charset val="204"/>
    </font>
    <font>
      <sz val="9"/>
      <name val="Calibri"/>
      <family val="2"/>
    </font>
    <font>
      <sz val="9"/>
      <name val="Calibri"/>
      <family val="2"/>
      <scheme val="minor"/>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65"/>
        <bgColor indexed="52"/>
      </patternFill>
    </fill>
    <fill>
      <patternFill patternType="solid">
        <fgColor indexed="65"/>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s>
  <borders count="232">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medium">
        <color indexed="51"/>
      </right>
      <top style="thin">
        <color indexed="64"/>
      </top>
      <bottom style="medium">
        <color indexed="5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medium">
        <color indexed="51"/>
      </right>
      <top style="thin">
        <color indexed="64"/>
      </top>
      <bottom style="thin">
        <color theme="1"/>
      </bottom>
      <diagonal/>
    </border>
    <border>
      <left/>
      <right style="thin">
        <color indexed="64"/>
      </right>
      <top style="thin">
        <color indexed="64"/>
      </top>
      <bottom style="thin">
        <color theme="1"/>
      </bottom>
      <diagonal/>
    </border>
    <border>
      <left style="medium">
        <color indexed="51"/>
      </left>
      <right style="medium">
        <color indexed="51"/>
      </right>
      <top style="thin">
        <color theme="1"/>
      </top>
      <bottom style="thin">
        <color theme="1"/>
      </bottom>
      <diagonal/>
    </border>
    <border>
      <left/>
      <right style="thin">
        <color indexed="64"/>
      </right>
      <top style="thin">
        <color theme="1"/>
      </top>
      <bottom style="thin">
        <color theme="1"/>
      </bottom>
      <diagonal/>
    </border>
    <border>
      <left style="medium">
        <color indexed="51"/>
      </left>
      <right style="thin">
        <color indexed="64"/>
      </right>
      <top style="thin">
        <color indexed="64"/>
      </top>
      <bottom style="medium">
        <color indexed="51"/>
      </bottom>
      <diagonal/>
    </border>
    <border>
      <left style="medium">
        <color indexed="51"/>
      </left>
      <right style="thin">
        <color indexed="64"/>
      </right>
      <top style="thin">
        <color indexed="64"/>
      </top>
      <bottom style="thin">
        <color indexed="64"/>
      </bottom>
      <diagonal/>
    </border>
  </borders>
  <cellStyleXfs count="24">
    <xf numFmtId="169" fontId="0" fillId="0" borderId="0"/>
    <xf numFmtId="43" fontId="3" fillId="0" borderId="0" applyFont="0" applyFill="0" applyBorder="0" applyAlignment="0" applyProtection="0"/>
    <xf numFmtId="169" fontId="2" fillId="0" borderId="0" applyFont="0" applyFill="0" applyBorder="0" applyAlignment="0" applyProtection="0"/>
    <xf numFmtId="43" fontId="2" fillId="0" borderId="0" applyFill="0" applyBorder="0" applyAlignment="0" applyProtection="0"/>
    <xf numFmtId="43" fontId="106" fillId="0" borderId="0"/>
    <xf numFmtId="169" fontId="2" fillId="0" borderId="0"/>
    <xf numFmtId="169" fontId="2" fillId="0" borderId="0"/>
    <xf numFmtId="169" fontId="2" fillId="0" borderId="0"/>
    <xf numFmtId="169" fontId="2" fillId="0" borderId="0"/>
    <xf numFmtId="169" fontId="2" fillId="0" borderId="0"/>
    <xf numFmtId="169" fontId="2" fillId="0" borderId="0"/>
    <xf numFmtId="169" fontId="2" fillId="0" borderId="0"/>
    <xf numFmtId="43" fontId="1" fillId="0" borderId="0"/>
    <xf numFmtId="43" fontId="1" fillId="0" borderId="0"/>
    <xf numFmtId="43" fontId="106" fillId="0" borderId="0"/>
    <xf numFmtId="43" fontId="106" fillId="0" borderId="0"/>
    <xf numFmtId="43" fontId="106" fillId="0" borderId="0"/>
    <xf numFmtId="43" fontId="106" fillId="0" borderId="0"/>
    <xf numFmtId="169" fontId="46" fillId="0" borderId="0"/>
    <xf numFmtId="9" fontId="3" fillId="0" borderId="0" applyFont="0" applyFill="0" applyBorder="0" applyAlignment="0" applyProtection="0"/>
    <xf numFmtId="43" fontId="106" fillId="0" borderId="1" applyNumberFormat="0" applyFill="0" applyAlignment="0" applyProtection="0"/>
    <xf numFmtId="43" fontId="1" fillId="0" borderId="1" applyNumberFormat="0" applyFill="0" applyAlignment="0" applyProtection="0"/>
    <xf numFmtId="43" fontId="1" fillId="0" borderId="1" applyNumberFormat="0" applyFill="0" applyAlignment="0" applyProtection="0"/>
    <xf numFmtId="43" fontId="106" fillId="0" borderId="1" applyNumberFormat="0" applyFill="0" applyAlignment="0" applyProtection="0"/>
  </cellStyleXfs>
  <cellXfs count="993">
    <xf numFmtId="169" fontId="0" fillId="0" borderId="0" xfId="0"/>
    <xf numFmtId="43" fontId="9" fillId="0" borderId="0" xfId="4" applyFont="1" applyFill="1" applyAlignment="1">
      <alignment vertical="center"/>
    </xf>
    <xf numFmtId="169" fontId="0" fillId="0" borderId="0" xfId="0" applyBorder="1" applyProtection="1"/>
    <xf numFmtId="169" fontId="0" fillId="0" borderId="0" xfId="0" applyProtection="1"/>
    <xf numFmtId="43" fontId="15" fillId="0" borderId="0" xfId="4" applyFont="1" applyFill="1" applyAlignment="1" applyProtection="1">
      <alignment vertical="center"/>
    </xf>
    <xf numFmtId="169" fontId="14" fillId="0" borderId="0" xfId="0" applyFont="1" applyProtection="1"/>
    <xf numFmtId="43" fontId="12" fillId="0" borderId="0" xfId="15" applyFont="1" applyFill="1" applyAlignment="1" applyProtection="1"/>
    <xf numFmtId="43" fontId="12" fillId="0" borderId="0" xfId="15" applyFont="1" applyFill="1" applyAlignment="1" applyProtection="1">
      <alignment horizontal="center"/>
    </xf>
    <xf numFmtId="43" fontId="12" fillId="0" borderId="0" xfId="15" applyFont="1" applyFill="1" applyAlignment="1" applyProtection="1">
      <alignment horizontal="right"/>
    </xf>
    <xf numFmtId="43" fontId="12" fillId="0" borderId="0" xfId="15" applyFont="1" applyFill="1" applyBorder="1" applyAlignment="1" applyProtection="1">
      <alignment horizontal="center"/>
    </xf>
    <xf numFmtId="43" fontId="106" fillId="0" borderId="0" xfId="14" applyProtection="1"/>
    <xf numFmtId="43" fontId="8" fillId="0" borderId="0" xfId="14" applyFont="1" applyProtection="1"/>
    <xf numFmtId="169" fontId="11" fillId="0" borderId="0" xfId="14" applyNumberFormat="1" applyFont="1" applyBorder="1" applyProtection="1"/>
    <xf numFmtId="43" fontId="106" fillId="0" borderId="0" xfId="16" applyProtection="1"/>
    <xf numFmtId="43" fontId="106" fillId="0" borderId="0" xfId="16" applyFill="1" applyBorder="1" applyAlignment="1" applyProtection="1">
      <alignment horizontal="left"/>
    </xf>
    <xf numFmtId="169" fontId="0" fillId="0" borderId="0" xfId="0" applyFill="1" applyBorder="1" applyProtection="1"/>
    <xf numFmtId="43" fontId="106" fillId="0" borderId="0" xfId="16" applyFill="1" applyBorder="1" applyProtection="1"/>
    <xf numFmtId="169" fontId="8" fillId="0" borderId="0" xfId="0" applyFont="1" applyProtection="1"/>
    <xf numFmtId="43" fontId="8" fillId="0" borderId="0" xfId="16" applyFont="1" applyProtection="1"/>
    <xf numFmtId="169" fontId="0" fillId="0" borderId="0" xfId="0" applyBorder="1"/>
    <xf numFmtId="169" fontId="0" fillId="0" borderId="0" xfId="0" applyFill="1" applyBorder="1"/>
    <xf numFmtId="15" fontId="22" fillId="0" borderId="0" xfId="0" applyNumberFormat="1" applyFont="1" applyFill="1" applyBorder="1" applyAlignment="1" applyProtection="1">
      <alignment horizontal="center" vertical="center" wrapText="1"/>
      <protection locked="0"/>
    </xf>
    <xf numFmtId="43" fontId="21" fillId="0" borderId="0" xfId="0" applyNumberFormat="1" applyFont="1"/>
    <xf numFmtId="43" fontId="21" fillId="0" borderId="0" xfId="0" applyNumberFormat="1" applyFont="1" applyAlignment="1">
      <alignment horizontal="right"/>
    </xf>
    <xf numFmtId="165" fontId="21" fillId="0" borderId="0" xfId="1" applyNumberFormat="1" applyFont="1" applyAlignment="1">
      <alignment horizontal="left"/>
    </xf>
    <xf numFmtId="43" fontId="9" fillId="0" borderId="0" xfId="13" applyFont="1" applyFill="1" applyAlignment="1">
      <alignment vertical="center"/>
    </xf>
    <xf numFmtId="169" fontId="0" fillId="0" borderId="2" xfId="0" applyBorder="1" applyAlignment="1">
      <alignment horizontal="center"/>
    </xf>
    <xf numFmtId="169" fontId="7" fillId="0" borderId="0" xfId="0" applyFont="1" applyBorder="1" applyAlignment="1">
      <alignment horizontal="center"/>
    </xf>
    <xf numFmtId="169" fontId="1" fillId="0" borderId="0" xfId="0" applyFont="1" applyBorder="1" applyAlignment="1"/>
    <xf numFmtId="169" fontId="1" fillId="0" borderId="0" xfId="0" applyFont="1" applyFill="1" applyBorder="1" applyAlignment="1"/>
    <xf numFmtId="169" fontId="34" fillId="0" borderId="0" xfId="0" applyFont="1"/>
    <xf numFmtId="169" fontId="34" fillId="0" borderId="0" xfId="0" applyFont="1" applyAlignment="1">
      <alignment horizontal="right"/>
    </xf>
    <xf numFmtId="169" fontId="34" fillId="0" borderId="0" xfId="0" applyFont="1" applyBorder="1"/>
    <xf numFmtId="169" fontId="36" fillId="0" borderId="0" xfId="0" applyFont="1"/>
    <xf numFmtId="169" fontId="34" fillId="0" borderId="0" xfId="0" applyNumberFormat="1" applyFont="1" applyBorder="1"/>
    <xf numFmtId="169"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43" fontId="21" fillId="0" borderId="0" xfId="0" applyNumberFormat="1" applyFont="1" applyFill="1" applyBorder="1" applyAlignment="1"/>
    <xf numFmtId="43" fontId="106" fillId="0" borderId="0" xfId="23" applyFill="1" applyBorder="1" applyAlignment="1" applyProtection="1">
      <alignment vertical="center"/>
      <protection locked="0"/>
    </xf>
    <xf numFmtId="164" fontId="25" fillId="0" borderId="0" xfId="0" applyNumberFormat="1" applyFont="1" applyFill="1" applyBorder="1" applyAlignment="1">
      <alignment horizontal="center"/>
    </xf>
    <xf numFmtId="169" fontId="19" fillId="0" borderId="0" xfId="0" applyFont="1" applyFill="1" applyBorder="1" applyAlignment="1">
      <alignment horizontal="centerContinuous"/>
    </xf>
    <xf numFmtId="169" fontId="0" fillId="0" borderId="0" xfId="0" applyFill="1" applyBorder="1" applyAlignment="1">
      <alignment horizontal="centerContinuous"/>
    </xf>
    <xf numFmtId="43" fontId="32" fillId="0" borderId="0" xfId="23" applyFont="1" applyFill="1" applyBorder="1" applyAlignment="1" applyProtection="1">
      <alignment vertical="center"/>
      <protection locked="0"/>
    </xf>
    <xf numFmtId="169" fontId="0" fillId="0" borderId="2" xfId="0" applyBorder="1"/>
    <xf numFmtId="169" fontId="0" fillId="0" borderId="0" xfId="0" applyFill="1" applyBorder="1" applyAlignment="1">
      <alignment horizontal="center"/>
    </xf>
    <xf numFmtId="22" fontId="0" fillId="0" borderId="0" xfId="0" applyNumberFormat="1"/>
    <xf numFmtId="2" fontId="0" fillId="0" borderId="0" xfId="0" applyNumberFormat="1" applyFill="1"/>
    <xf numFmtId="2" fontId="106" fillId="0" borderId="0" xfId="20" applyNumberFormat="1" applyFill="1" applyBorder="1" applyAlignment="1" applyProtection="1">
      <alignment horizontal="center"/>
      <protection locked="0"/>
    </xf>
    <xf numFmtId="169" fontId="8" fillId="0" borderId="0" xfId="0" applyFont="1" applyFill="1" applyBorder="1" applyAlignment="1" applyProtection="1">
      <alignment horizontal="center"/>
    </xf>
    <xf numFmtId="169" fontId="16" fillId="0" borderId="0" xfId="0" applyFont="1" applyFill="1" applyAlignment="1" applyProtection="1"/>
    <xf numFmtId="169" fontId="8" fillId="0" borderId="0" xfId="0" applyFont="1" applyAlignment="1" applyProtection="1">
      <alignment horizontal="left" indent="1"/>
    </xf>
    <xf numFmtId="169" fontId="11" fillId="0" borderId="0" xfId="0" applyFont="1" applyAlignment="1" applyProtection="1">
      <alignment horizontal="left" indent="1"/>
    </xf>
    <xf numFmtId="169" fontId="8" fillId="0" borderId="0" xfId="0" applyFont="1" applyFill="1" applyBorder="1" applyProtection="1"/>
    <xf numFmtId="43" fontId="48" fillId="0" borderId="0" xfId="14" applyFont="1" applyProtection="1"/>
    <xf numFmtId="43" fontId="48" fillId="0" borderId="0" xfId="16" applyFont="1" applyProtection="1"/>
    <xf numFmtId="169" fontId="48" fillId="0" borderId="2" xfId="0" applyFont="1" applyFill="1" applyBorder="1" applyAlignment="1" applyProtection="1">
      <alignment horizontal="center"/>
    </xf>
    <xf numFmtId="169" fontId="48" fillId="0" borderId="2" xfId="0" applyFont="1" applyFill="1" applyBorder="1" applyProtection="1"/>
    <xf numFmtId="43" fontId="48" fillId="0" borderId="2" xfId="16" applyFont="1" applyBorder="1" applyProtection="1"/>
    <xf numFmtId="169" fontId="49" fillId="0" borderId="2" xfId="0" applyFont="1" applyBorder="1" applyAlignment="1" applyProtection="1">
      <alignment horizontal="left" indent="1"/>
    </xf>
    <xf numFmtId="169" fontId="50" fillId="0" borderId="2" xfId="0" applyFont="1" applyBorder="1"/>
    <xf numFmtId="169" fontId="51" fillId="2" borderId="2" xfId="0" applyFont="1" applyFill="1" applyBorder="1" applyAlignment="1" applyProtection="1">
      <alignment horizontal="center"/>
    </xf>
    <xf numFmtId="169" fontId="51" fillId="2" borderId="2" xfId="0" applyFont="1" applyFill="1" applyBorder="1" applyAlignment="1">
      <alignment horizontal="center"/>
    </xf>
    <xf numFmtId="169"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69" fontId="8" fillId="3" borderId="3" xfId="0" applyFont="1" applyFill="1" applyBorder="1"/>
    <xf numFmtId="9" fontId="8" fillId="3" borderId="3" xfId="19" applyFont="1" applyFill="1" applyBorder="1" applyAlignment="1">
      <alignment horizontal="center"/>
    </xf>
    <xf numFmtId="169" fontId="8" fillId="0" borderId="0" xfId="0" applyFont="1"/>
    <xf numFmtId="169" fontId="26" fillId="0" borderId="0" xfId="0" applyFont="1" applyAlignment="1">
      <alignment horizontal="center"/>
    </xf>
    <xf numFmtId="43" fontId="43" fillId="0" borderId="0" xfId="13" applyFont="1" applyFill="1" applyAlignment="1">
      <alignment vertical="center"/>
    </xf>
    <xf numFmtId="169" fontId="7" fillId="0" borderId="0" xfId="0" applyFont="1"/>
    <xf numFmtId="169" fontId="36" fillId="0" borderId="0" xfId="0" applyFont="1" applyFill="1"/>
    <xf numFmtId="169" fontId="54" fillId="2" borderId="4" xfId="0" applyFont="1" applyFill="1" applyBorder="1" applyAlignment="1">
      <alignment vertical="center"/>
    </xf>
    <xf numFmtId="169" fontId="52" fillId="0" borderId="0" xfId="18" applyNumberFormat="1" applyFont="1" applyFill="1" applyBorder="1" applyAlignment="1">
      <alignment horizontal="center" vertical="center" wrapText="1"/>
    </xf>
    <xf numFmtId="169" fontId="52"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55" fillId="3" borderId="0" xfId="0" applyNumberFormat="1" applyFont="1" applyFill="1" applyBorder="1" applyAlignment="1">
      <alignment horizontal="center"/>
    </xf>
    <xf numFmtId="169" fontId="55" fillId="0" borderId="0" xfId="0" applyFont="1" applyFill="1" applyBorder="1" applyAlignment="1" applyProtection="1">
      <alignment horizontal="left"/>
    </xf>
    <xf numFmtId="169" fontId="56" fillId="0" borderId="0" xfId="0" applyFont="1"/>
    <xf numFmtId="43" fontId="32" fillId="0" borderId="0" xfId="23" applyFont="1" applyFill="1" applyBorder="1" applyAlignment="1" applyProtection="1">
      <alignment horizontal="center" vertical="center"/>
      <protection locked="0"/>
    </xf>
    <xf numFmtId="15" fontId="0" fillId="0" borderId="0" xfId="0" applyNumberFormat="1"/>
    <xf numFmtId="169" fontId="0" fillId="0" borderId="2" xfId="0" quotePrefix="1" applyNumberFormat="1" applyBorder="1"/>
    <xf numFmtId="43" fontId="24" fillId="0" borderId="6" xfId="23" applyFont="1" applyBorder="1" applyAlignment="1" applyProtection="1"/>
    <xf numFmtId="43" fontId="106" fillId="0" borderId="6" xfId="23" applyFill="1" applyBorder="1" applyAlignment="1" applyProtection="1">
      <alignment vertical="center"/>
    </xf>
    <xf numFmtId="43" fontId="3" fillId="0" borderId="6" xfId="23" applyFont="1" applyFill="1" applyBorder="1" applyAlignment="1" applyProtection="1">
      <alignment vertical="center"/>
    </xf>
    <xf numFmtId="43" fontId="24" fillId="0" borderId="0" xfId="23" applyFont="1" applyBorder="1" applyAlignment="1" applyProtection="1"/>
    <xf numFmtId="43" fontId="106" fillId="0" borderId="0" xfId="23" applyFill="1" applyBorder="1" applyAlignment="1" applyProtection="1">
      <alignment vertical="center"/>
    </xf>
    <xf numFmtId="43" fontId="3" fillId="0" borderId="0" xfId="23" applyFont="1" applyFill="1" applyBorder="1" applyAlignment="1" applyProtection="1">
      <alignment vertical="center"/>
    </xf>
    <xf numFmtId="169"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69" fontId="25" fillId="0" borderId="9" xfId="0" applyFont="1" applyBorder="1" applyAlignment="1" applyProtection="1">
      <alignment horizontal="center"/>
    </xf>
    <xf numFmtId="165"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69" fontId="4" fillId="0" borderId="0" xfId="0" applyFont="1" applyFill="1" applyBorder="1" applyAlignment="1" applyProtection="1"/>
    <xf numFmtId="169" fontId="19" fillId="0" borderId="0" xfId="0" applyFont="1" applyFill="1" applyBorder="1" applyAlignment="1" applyProtection="1">
      <alignment horizontal="centerContinuous" wrapText="1"/>
    </xf>
    <xf numFmtId="169" fontId="19" fillId="0" borderId="0" xfId="0" applyFont="1" applyFill="1" applyBorder="1" applyAlignment="1" applyProtection="1">
      <alignment horizontal="centerContinuous"/>
    </xf>
    <xf numFmtId="169" fontId="0" fillId="0" borderId="0" xfId="0" applyFill="1" applyBorder="1" applyAlignment="1" applyProtection="1">
      <alignment horizontal="centerContinuous"/>
    </xf>
    <xf numFmtId="15" fontId="19" fillId="0" borderId="10" xfId="0" applyNumberFormat="1" applyFont="1" applyFill="1" applyBorder="1" applyAlignment="1" applyProtection="1"/>
    <xf numFmtId="169" fontId="19" fillId="0" borderId="10" xfId="0" applyFont="1" applyFill="1" applyBorder="1" applyProtection="1"/>
    <xf numFmtId="169" fontId="19" fillId="0" borderId="11" xfId="0" applyFont="1" applyFill="1" applyBorder="1" applyProtection="1"/>
    <xf numFmtId="43" fontId="31" fillId="0" borderId="12" xfId="23" applyFont="1" applyBorder="1" applyAlignment="1" applyProtection="1"/>
    <xf numFmtId="43" fontId="32" fillId="0" borderId="12" xfId="23" applyFont="1" applyFill="1" applyBorder="1" applyAlignment="1" applyProtection="1">
      <alignment vertical="center"/>
    </xf>
    <xf numFmtId="43" fontId="32" fillId="0" borderId="12" xfId="23" applyFont="1" applyFill="1" applyBorder="1" applyAlignment="1" applyProtection="1">
      <alignment horizontal="center" vertical="center"/>
    </xf>
    <xf numFmtId="43" fontId="32" fillId="0" borderId="0" xfId="23" applyFont="1" applyFill="1" applyBorder="1" applyAlignment="1" applyProtection="1">
      <alignment vertical="center"/>
    </xf>
    <xf numFmtId="43" fontId="31" fillId="0" borderId="0" xfId="23" applyFont="1" applyBorder="1" applyAlignment="1" applyProtection="1"/>
    <xf numFmtId="43" fontId="33" fillId="0" borderId="0" xfId="23" applyFont="1" applyFill="1" applyBorder="1" applyAlignment="1" applyProtection="1">
      <alignment vertical="center"/>
    </xf>
    <xf numFmtId="169" fontId="7" fillId="0" borderId="0" xfId="0" applyFont="1" applyBorder="1" applyAlignment="1" applyProtection="1">
      <alignment horizontal="center"/>
    </xf>
    <xf numFmtId="169" fontId="7" fillId="0" borderId="13" xfId="0" applyFont="1" applyBorder="1" applyAlignment="1" applyProtection="1">
      <alignment horizontal="center"/>
    </xf>
    <xf numFmtId="169" fontId="7" fillId="0" borderId="13" xfId="0" applyFont="1" applyBorder="1" applyAlignment="1" applyProtection="1">
      <alignment horizontal="center" wrapText="1"/>
    </xf>
    <xf numFmtId="169" fontId="7" fillId="0" borderId="14" xfId="0" applyFont="1" applyBorder="1" applyAlignment="1" applyProtection="1">
      <alignment horizontal="center"/>
    </xf>
    <xf numFmtId="169" fontId="7" fillId="0" borderId="15" xfId="0" applyFont="1" applyBorder="1" applyAlignment="1" applyProtection="1">
      <alignment horizontal="center"/>
    </xf>
    <xf numFmtId="169"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69" fontId="0" fillId="0" borderId="18" xfId="0" applyBorder="1" applyProtection="1"/>
    <xf numFmtId="169" fontId="0" fillId="0" borderId="14" xfId="0" applyBorder="1" applyAlignment="1" applyProtection="1">
      <alignment horizontal="center"/>
    </xf>
    <xf numFmtId="169" fontId="0" fillId="0" borderId="16" xfId="0" applyBorder="1" applyAlignment="1" applyProtection="1">
      <alignment horizontal="center"/>
    </xf>
    <xf numFmtId="169" fontId="25" fillId="0" borderId="13" xfId="0" applyFont="1" applyBorder="1" applyAlignment="1" applyProtection="1">
      <alignment horizontal="center"/>
    </xf>
    <xf numFmtId="169" fontId="25" fillId="0" borderId="14" xfId="0" applyFont="1" applyBorder="1" applyAlignment="1" applyProtection="1">
      <alignment horizontal="center"/>
    </xf>
    <xf numFmtId="169" fontId="0" fillId="0" borderId="0" xfId="0" applyFill="1" applyBorder="1" applyAlignment="1" applyProtection="1">
      <alignment horizontal="center" wrapText="1"/>
    </xf>
    <xf numFmtId="43" fontId="73" fillId="0" borderId="0" xfId="1" applyFont="1" applyFill="1" applyBorder="1" applyProtection="1"/>
    <xf numFmtId="43" fontId="0" fillId="0" borderId="0" xfId="0" applyNumberFormat="1" applyFill="1" applyBorder="1" applyProtection="1"/>
    <xf numFmtId="43" fontId="47" fillId="0" borderId="19" xfId="23" applyFont="1" applyFill="1" applyBorder="1" applyAlignment="1" applyProtection="1"/>
    <xf numFmtId="43" fontId="32" fillId="0" borderId="19" xfId="23" applyFont="1" applyFill="1" applyBorder="1" applyAlignment="1" applyProtection="1">
      <alignment vertical="center"/>
    </xf>
    <xf numFmtId="3" fontId="46" fillId="5" borderId="20" xfId="0" applyNumberFormat="1" applyFont="1" applyFill="1" applyBorder="1" applyAlignment="1" applyProtection="1">
      <alignment vertical="center"/>
      <protection locked="0"/>
    </xf>
    <xf numFmtId="43" fontId="21" fillId="0" borderId="0" xfId="0" applyNumberFormat="1" applyFont="1" applyAlignment="1" applyProtection="1">
      <alignment horizontal="right"/>
    </xf>
    <xf numFmtId="165"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43" fontId="21" fillId="0" borderId="0" xfId="0" applyNumberFormat="1" applyFont="1" applyProtection="1"/>
    <xf numFmtId="43" fontId="21" fillId="0" borderId="0" xfId="0" applyNumberFormat="1" applyFont="1" applyBorder="1" applyProtection="1"/>
    <xf numFmtId="43" fontId="21" fillId="0" borderId="0" xfId="0" applyNumberFormat="1" applyFont="1" applyBorder="1" applyAlignment="1" applyProtection="1">
      <alignment horizontal="right"/>
    </xf>
    <xf numFmtId="165" fontId="21" fillId="0" borderId="0" xfId="1" applyNumberFormat="1" applyFont="1" applyBorder="1" applyAlignment="1" applyProtection="1">
      <alignment horizontal="left"/>
    </xf>
    <xf numFmtId="169" fontId="12" fillId="0" borderId="0" xfId="0" applyFont="1" applyBorder="1" applyAlignment="1" applyProtection="1">
      <alignment horizontal="center"/>
    </xf>
    <xf numFmtId="169" fontId="12" fillId="0" borderId="0" xfId="0" applyFont="1" applyAlignment="1" applyProtection="1">
      <alignment horizontal="center"/>
    </xf>
    <xf numFmtId="169"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69" fontId="19" fillId="0" borderId="0" xfId="0" applyFont="1" applyFill="1" applyBorder="1" applyProtection="1"/>
    <xf numFmtId="169" fontId="0" fillId="0" borderId="0" xfId="0" applyFill="1" applyBorder="1" applyAlignment="1" applyProtection="1">
      <alignment horizontal="center"/>
    </xf>
    <xf numFmtId="169" fontId="19" fillId="0" borderId="0" xfId="0" applyFont="1" applyFill="1" applyBorder="1" applyAlignment="1" applyProtection="1"/>
    <xf numFmtId="169" fontId="0" fillId="0" borderId="14" xfId="0" applyBorder="1" applyAlignment="1" applyProtection="1">
      <alignment horizontal="center" wrapText="1"/>
    </xf>
    <xf numFmtId="169" fontId="34" fillId="0" borderId="0" xfId="0" applyFont="1" applyProtection="1"/>
    <xf numFmtId="169" fontId="34" fillId="0" borderId="0" xfId="0" applyFont="1" applyAlignment="1" applyProtection="1">
      <alignment horizontal="right"/>
    </xf>
    <xf numFmtId="169" fontId="34" fillId="0" borderId="0" xfId="0" applyFont="1" applyBorder="1" applyProtection="1"/>
    <xf numFmtId="169" fontId="35" fillId="0" borderId="0" xfId="0" applyFont="1" applyBorder="1" applyAlignment="1" applyProtection="1">
      <alignment horizontal="left" vertical="center"/>
    </xf>
    <xf numFmtId="169" fontId="35" fillId="0" borderId="0" xfId="0" applyFont="1" applyBorder="1" applyAlignment="1" applyProtection="1">
      <alignment horizontal="left"/>
    </xf>
    <xf numFmtId="166" fontId="35" fillId="0" borderId="0" xfId="0" applyNumberFormat="1" applyFont="1" applyBorder="1" applyAlignment="1" applyProtection="1">
      <alignment horizontal="left"/>
    </xf>
    <xf numFmtId="169" fontId="36" fillId="0" borderId="0" xfId="0" applyFont="1" applyProtection="1"/>
    <xf numFmtId="169" fontId="37" fillId="0" borderId="0" xfId="0" applyFont="1" applyFill="1" applyBorder="1" applyAlignment="1" applyProtection="1">
      <alignment horizontal="right"/>
    </xf>
    <xf numFmtId="3" fontId="41" fillId="0" borderId="0" xfId="0" applyNumberFormat="1" applyFont="1" applyFill="1" applyBorder="1" applyAlignment="1" applyProtection="1">
      <alignment horizontal="right" vertical="center"/>
    </xf>
    <xf numFmtId="169" fontId="38" fillId="3" borderId="0" xfId="0" applyNumberFormat="1" applyFont="1" applyFill="1" applyBorder="1" applyAlignment="1" applyProtection="1">
      <alignment horizontal="right"/>
    </xf>
    <xf numFmtId="169" fontId="40" fillId="3" borderId="0" xfId="0" applyFont="1" applyFill="1" applyBorder="1" applyAlignment="1" applyProtection="1">
      <alignment horizontal="center" vertical="center"/>
    </xf>
    <xf numFmtId="169" fontId="44" fillId="0" borderId="0" xfId="0" applyFont="1" applyFill="1" applyBorder="1" applyAlignment="1" applyProtection="1">
      <alignment horizontal="center"/>
    </xf>
    <xf numFmtId="169" fontId="38" fillId="0" borderId="0" xfId="0" applyNumberFormat="1" applyFont="1" applyFill="1" applyBorder="1" applyAlignment="1" applyProtection="1">
      <alignment horizontal="right"/>
    </xf>
    <xf numFmtId="9" fontId="39" fillId="0" borderId="0" xfId="0" applyNumberFormat="1" applyFont="1" applyFill="1" applyBorder="1" applyProtection="1"/>
    <xf numFmtId="169" fontId="27" fillId="0" borderId="23" xfId="0" applyNumberFormat="1" applyFont="1" applyFill="1" applyBorder="1" applyAlignment="1" applyProtection="1">
      <alignment vertical="center"/>
    </xf>
    <xf numFmtId="169" fontId="48" fillId="0" borderId="0" xfId="0" applyFont="1" applyFill="1" applyBorder="1" applyAlignment="1" applyProtection="1"/>
    <xf numFmtId="43" fontId="8" fillId="0" borderId="0" xfId="0" applyNumberFormat="1" applyFont="1"/>
    <xf numFmtId="169" fontId="21" fillId="0" borderId="0" xfId="0" applyNumberFormat="1" applyFont="1" applyAlignment="1" applyProtection="1">
      <alignment horizontal="center"/>
    </xf>
    <xf numFmtId="169" fontId="21" fillId="0" borderId="0" xfId="0" applyFont="1" applyAlignment="1" applyProtection="1">
      <alignment horizontal="center"/>
    </xf>
    <xf numFmtId="15" fontId="21"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0" fillId="0" borderId="0" xfId="0" applyNumberFormat="1" applyFont="1" applyBorder="1" applyProtection="1"/>
    <xf numFmtId="165" fontId="4" fillId="0" borderId="0" xfId="1" applyNumberFormat="1" applyFont="1" applyFill="1" applyBorder="1" applyAlignment="1" applyProtection="1">
      <protection locked="0"/>
    </xf>
    <xf numFmtId="165" fontId="4" fillId="0" borderId="0" xfId="1" applyNumberFormat="1" applyFont="1" applyFill="1" applyBorder="1" applyProtection="1">
      <protection locked="0"/>
    </xf>
    <xf numFmtId="169" fontId="0" fillId="0" borderId="0" xfId="0" applyBorder="1" applyAlignment="1">
      <alignment horizontal="center"/>
    </xf>
    <xf numFmtId="169" fontId="8" fillId="3" borderId="0" xfId="0" applyFont="1" applyFill="1"/>
    <xf numFmtId="164" fontId="8" fillId="3" borderId="0" xfId="0" applyNumberFormat="1" applyFont="1" applyFill="1"/>
    <xf numFmtId="165" fontId="8" fillId="3" borderId="0" xfId="0" applyNumberFormat="1" applyFont="1" applyFill="1"/>
    <xf numFmtId="3" fontId="8" fillId="3" borderId="0" xfId="0" applyNumberFormat="1" applyFont="1" applyFill="1" applyProtection="1"/>
    <xf numFmtId="164" fontId="8" fillId="3" borderId="0" xfId="0" applyNumberFormat="1" applyFont="1" applyFill="1" applyProtection="1"/>
    <xf numFmtId="169" fontId="27" fillId="0" borderId="0" xfId="0" applyFont="1" applyFill="1" applyAlignment="1" applyProtection="1">
      <alignment horizontal="left"/>
      <protection locked="0"/>
    </xf>
    <xf numFmtId="169" fontId="27" fillId="0" borderId="0" xfId="0" applyFont="1" applyFill="1" applyBorder="1" applyAlignment="1" applyProtection="1">
      <alignment horizontal="left"/>
      <protection locked="0"/>
    </xf>
    <xf numFmtId="169" fontId="21" fillId="0" borderId="0" xfId="0" applyFont="1" applyFill="1" applyBorder="1" applyAlignment="1">
      <alignment vertical="center" wrapText="1"/>
    </xf>
    <xf numFmtId="169" fontId="21" fillId="0" borderId="0" xfId="0" applyFont="1" applyFill="1" applyBorder="1" applyAlignment="1">
      <alignment horizontal="center"/>
    </xf>
    <xf numFmtId="169" fontId="0" fillId="3" borderId="0" xfId="0" applyFill="1" applyBorder="1" applyAlignment="1">
      <alignment horizontal="center"/>
    </xf>
    <xf numFmtId="169" fontId="21" fillId="0" borderId="24" xfId="0" applyFont="1" applyFill="1" applyBorder="1" applyAlignment="1" applyProtection="1">
      <alignment horizontal="center" wrapText="1"/>
    </xf>
    <xf numFmtId="169" fontId="0" fillId="0" borderId="25" xfId="0" applyBorder="1" applyProtection="1"/>
    <xf numFmtId="43" fontId="10" fillId="0" borderId="0" xfId="12" applyFont="1" applyFill="1" applyAlignment="1" applyProtection="1">
      <alignment horizontal="center" vertical="center"/>
    </xf>
    <xf numFmtId="43" fontId="9" fillId="0" borderId="0" xfId="12" applyFont="1" applyFill="1" applyAlignment="1" applyProtection="1">
      <alignment vertical="center"/>
    </xf>
    <xf numFmtId="169" fontId="57" fillId="0" borderId="0" xfId="0" applyFont="1"/>
    <xf numFmtId="43" fontId="7" fillId="0" borderId="0" xfId="0" applyNumberFormat="1" applyFont="1" applyAlignment="1" applyProtection="1">
      <alignment horizontal="center"/>
    </xf>
    <xf numFmtId="43" fontId="13" fillId="0" borderId="26" xfId="20" applyFont="1" applyBorder="1" applyAlignment="1" applyProtection="1">
      <alignment horizontal="right"/>
    </xf>
    <xf numFmtId="169" fontId="6" fillId="0" borderId="0" xfId="0" applyFont="1"/>
    <xf numFmtId="169" fontId="0" fillId="3" borderId="0" xfId="0" applyFill="1" applyProtection="1"/>
    <xf numFmtId="169" fontId="0" fillId="3" borderId="27" xfId="0" applyFill="1" applyBorder="1" applyProtection="1"/>
    <xf numFmtId="43" fontId="63" fillId="0" borderId="0" xfId="0" applyNumberFormat="1" applyFont="1"/>
    <xf numFmtId="169" fontId="63" fillId="0" borderId="0" xfId="0" applyFont="1"/>
    <xf numFmtId="43" fontId="0" fillId="0" borderId="0" xfId="0" quotePrefix="1" applyNumberFormat="1"/>
    <xf numFmtId="43" fontId="0" fillId="0" borderId="0" xfId="0" applyNumberFormat="1"/>
    <xf numFmtId="169" fontId="27" fillId="0" borderId="28" xfId="0" applyNumberFormat="1" applyFont="1" applyFill="1" applyBorder="1" applyAlignment="1" applyProtection="1">
      <alignment vertical="center"/>
    </xf>
    <xf numFmtId="43" fontId="106" fillId="0" borderId="0" xfId="17" applyFill="1" applyBorder="1" applyAlignment="1" applyProtection="1">
      <alignment horizontal="center"/>
    </xf>
    <xf numFmtId="169" fontId="27" fillId="0" borderId="0" xfId="0" quotePrefix="1" applyFont="1" applyProtection="1"/>
    <xf numFmtId="169" fontId="45" fillId="0" borderId="29" xfId="0" applyFont="1" applyBorder="1" applyAlignment="1">
      <alignment horizontal="justify" vertical="center" wrapText="1"/>
    </xf>
    <xf numFmtId="169" fontId="45" fillId="0" borderId="30" xfId="0" applyFont="1" applyBorder="1" applyAlignment="1">
      <alignment horizontal="justify" vertical="center" wrapText="1"/>
    </xf>
    <xf numFmtId="169" fontId="45" fillId="0" borderId="31" xfId="0" applyFont="1" applyBorder="1" applyAlignment="1">
      <alignment horizontal="justify" vertical="center" wrapText="1"/>
    </xf>
    <xf numFmtId="169" fontId="62" fillId="0" borderId="30" xfId="0" applyFont="1" applyBorder="1" applyAlignment="1">
      <alignment horizontal="justify" vertical="center" wrapText="1"/>
    </xf>
    <xf numFmtId="43" fontId="65" fillId="0" borderId="19" xfId="23" applyFont="1" applyFill="1" applyBorder="1" applyAlignment="1" applyProtection="1"/>
    <xf numFmtId="43" fontId="5" fillId="0" borderId="19" xfId="23" applyFont="1" applyFill="1" applyBorder="1" applyAlignment="1" applyProtection="1">
      <alignment vertical="center"/>
    </xf>
    <xf numFmtId="169" fontId="61" fillId="0" borderId="29" xfId="0" applyFont="1" applyBorder="1" applyAlignment="1">
      <alignment vertical="center" wrapText="1"/>
    </xf>
    <xf numFmtId="169" fontId="61" fillId="0" borderId="30" xfId="0" applyFont="1" applyBorder="1" applyAlignment="1">
      <alignment vertical="center" wrapText="1"/>
    </xf>
    <xf numFmtId="169" fontId="2" fillId="0" borderId="32" xfId="0" applyFont="1" applyFill="1" applyBorder="1" applyAlignment="1" applyProtection="1">
      <alignment horizontal="center"/>
    </xf>
    <xf numFmtId="169" fontId="1" fillId="0" borderId="0" xfId="0" applyFont="1"/>
    <xf numFmtId="169" fontId="68" fillId="0" borderId="0" xfId="0" applyFont="1"/>
    <xf numFmtId="43" fontId="70" fillId="0" borderId="19" xfId="23" applyFont="1" applyFill="1" applyBorder="1" applyAlignment="1" applyProtection="1">
      <alignment vertical="center"/>
    </xf>
    <xf numFmtId="169" fontId="69"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3" xfId="0" applyNumberFormat="1" applyFont="1" applyFill="1" applyBorder="1" applyAlignment="1" applyProtection="1">
      <alignment horizontal="center"/>
      <protection locked="0"/>
    </xf>
    <xf numFmtId="165" fontId="0" fillId="0" borderId="0" xfId="0" applyNumberFormat="1" applyProtection="1"/>
    <xf numFmtId="43" fontId="13" fillId="0" borderId="0" xfId="15" applyFont="1" applyFill="1" applyAlignment="1" applyProtection="1">
      <alignment horizontal="right" vertical="center"/>
    </xf>
    <xf numFmtId="169" fontId="75" fillId="0" borderId="0" xfId="0" applyFont="1" applyFill="1" applyBorder="1" applyAlignment="1" applyProtection="1">
      <alignment horizontal="right"/>
    </xf>
    <xf numFmtId="43" fontId="76" fillId="0" borderId="6" xfId="23" applyFont="1" applyFill="1" applyBorder="1" applyAlignment="1" applyProtection="1">
      <alignment horizontal="left" vertical="center"/>
    </xf>
    <xf numFmtId="169" fontId="77" fillId="0" borderId="0" xfId="0" applyFont="1" applyFill="1" applyBorder="1" applyProtection="1"/>
    <xf numFmtId="169" fontId="75" fillId="0" borderId="0" xfId="0" applyFont="1" applyBorder="1" applyProtection="1"/>
    <xf numFmtId="3" fontId="4" fillId="0" borderId="0" xfId="0" applyNumberFormat="1" applyFont="1" applyAlignment="1" applyProtection="1">
      <alignment horizontal="right"/>
    </xf>
    <xf numFmtId="15" fontId="74" fillId="0" borderId="0" xfId="0" applyNumberFormat="1" applyFont="1" applyFill="1" applyBorder="1" applyAlignment="1" applyProtection="1">
      <alignment horizontal="left"/>
    </xf>
    <xf numFmtId="169" fontId="80" fillId="0" borderId="0" xfId="0" applyFont="1" applyFill="1" applyBorder="1" applyAlignment="1" applyProtection="1">
      <alignment horizontal="center" wrapText="1"/>
    </xf>
    <xf numFmtId="169" fontId="75" fillId="0" borderId="0" xfId="0" applyFont="1" applyFill="1" applyBorder="1" applyAlignment="1" applyProtection="1">
      <alignment horizontal="center"/>
    </xf>
    <xf numFmtId="169" fontId="0" fillId="0" borderId="0" xfId="0" quotePrefix="1" applyProtection="1"/>
    <xf numFmtId="15" fontId="25" fillId="0" borderId="34"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9" fontId="86" fillId="0" borderId="0" xfId="0" applyFont="1" applyBorder="1" applyAlignment="1" applyProtection="1">
      <alignment horizontal="right"/>
    </xf>
    <xf numFmtId="169" fontId="86" fillId="0" borderId="0" xfId="0" applyFont="1" applyAlignment="1" applyProtection="1">
      <alignment horizontal="right"/>
    </xf>
    <xf numFmtId="43" fontId="85" fillId="0" borderId="0" xfId="4" applyFont="1" applyFill="1" applyAlignment="1" applyProtection="1">
      <alignment vertical="center"/>
    </xf>
    <xf numFmtId="169" fontId="86" fillId="0" borderId="0" xfId="0" applyFont="1" applyProtection="1"/>
    <xf numFmtId="169" fontId="86" fillId="0" borderId="0" xfId="0" applyFont="1" applyBorder="1" applyProtection="1"/>
    <xf numFmtId="169" fontId="0" fillId="0" borderId="0" xfId="0" applyBorder="1" applyAlignment="1" applyProtection="1"/>
    <xf numFmtId="169" fontId="0" fillId="0" borderId="0" xfId="0" applyAlignment="1" applyProtection="1"/>
    <xf numFmtId="3" fontId="0" fillId="0" borderId="0" xfId="0" applyNumberFormat="1" applyFill="1" applyProtection="1"/>
    <xf numFmtId="169" fontId="0" fillId="0" borderId="0" xfId="0" applyFill="1" applyBorder="1" applyProtection="1">
      <protection locked="0"/>
    </xf>
    <xf numFmtId="169" fontId="72" fillId="0" borderId="0" xfId="0" applyFont="1" applyFill="1" applyBorder="1" applyAlignment="1" applyProtection="1">
      <alignment horizontal="center" vertical="center"/>
    </xf>
    <xf numFmtId="169" fontId="4" fillId="0" borderId="35" xfId="0" applyFont="1" applyBorder="1" applyAlignment="1" applyProtection="1"/>
    <xf numFmtId="169" fontId="4" fillId="0" borderId="36" xfId="0" applyFont="1" applyBorder="1" applyAlignment="1" applyProtection="1"/>
    <xf numFmtId="169" fontId="18" fillId="0" borderId="37" xfId="0" applyFont="1" applyBorder="1" applyAlignment="1" applyProtection="1">
      <alignment vertical="distributed"/>
    </xf>
    <xf numFmtId="15" fontId="20" fillId="0" borderId="38" xfId="0" applyNumberFormat="1" applyFont="1" applyFill="1" applyBorder="1" applyAlignment="1" applyProtection="1">
      <alignment horizontal="center" vertical="center" wrapText="1"/>
    </xf>
    <xf numFmtId="169" fontId="4" fillId="0" borderId="0" xfId="0" applyFont="1" applyFill="1" applyBorder="1" applyAlignment="1" applyProtection="1">
      <protection locked="0"/>
    </xf>
    <xf numFmtId="169" fontId="81" fillId="0" borderId="0" xfId="0" applyFont="1" applyFill="1" applyBorder="1" applyAlignment="1" applyProtection="1">
      <alignment horizontal="left"/>
      <protection locked="0"/>
    </xf>
    <xf numFmtId="169" fontId="19" fillId="0" borderId="39" xfId="0" applyFont="1" applyFill="1" applyBorder="1" applyAlignment="1" applyProtection="1"/>
    <xf numFmtId="15" fontId="19" fillId="0" borderId="2" xfId="0" applyNumberFormat="1" applyFont="1" applyFill="1" applyBorder="1" applyAlignment="1" applyProtection="1">
      <alignment horizontal="center"/>
    </xf>
    <xf numFmtId="15" fontId="19" fillId="0" borderId="40" xfId="0" applyNumberFormat="1" applyFont="1" applyFill="1" applyBorder="1" applyAlignment="1" applyProtection="1">
      <alignment horizontal="center"/>
    </xf>
    <xf numFmtId="15" fontId="82" fillId="0" borderId="25" xfId="0" applyNumberFormat="1" applyFont="1" applyFill="1" applyBorder="1" applyAlignment="1" applyProtection="1">
      <alignment horizontal="center" wrapText="1"/>
    </xf>
    <xf numFmtId="15" fontId="82" fillId="0" borderId="41" xfId="0" applyNumberFormat="1" applyFont="1" applyFill="1" applyBorder="1" applyAlignment="1" applyProtection="1">
      <alignment horizontal="center" wrapText="1"/>
    </xf>
    <xf numFmtId="169" fontId="0" fillId="0" borderId="0" xfId="0" applyFill="1" applyBorder="1" applyAlignment="1" applyProtection="1">
      <alignment horizontal="left" vertical="top"/>
      <protection locked="0"/>
    </xf>
    <xf numFmtId="169" fontId="74" fillId="0" borderId="0" xfId="0" applyFont="1" applyFill="1" applyBorder="1" applyAlignment="1" applyProtection="1">
      <alignment horizontal="center"/>
    </xf>
    <xf numFmtId="169" fontId="79"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69" fontId="0" fillId="0" borderId="42" xfId="0" applyBorder="1" applyAlignment="1" applyProtection="1">
      <alignment horizontal="center"/>
    </xf>
    <xf numFmtId="169" fontId="0" fillId="0" borderId="25" xfId="0" applyFill="1" applyBorder="1" applyAlignment="1" applyProtection="1">
      <alignment horizontal="center"/>
    </xf>
    <xf numFmtId="169" fontId="1" fillId="0" borderId="24" xfId="0" applyFont="1" applyFill="1" applyBorder="1" applyAlignment="1" applyProtection="1">
      <alignment horizontal="center" wrapText="1"/>
    </xf>
    <xf numFmtId="169" fontId="0" fillId="0" borderId="24" xfId="0" applyBorder="1" applyAlignment="1">
      <alignment horizontal="center" wrapText="1"/>
    </xf>
    <xf numFmtId="169" fontId="21" fillId="0" borderId="24" xfId="0" applyFont="1" applyBorder="1" applyAlignment="1">
      <alignment horizontal="center" wrapText="1"/>
    </xf>
    <xf numFmtId="169" fontId="1" fillId="0" borderId="41" xfId="0" applyFont="1" applyFill="1" applyBorder="1" applyAlignment="1" applyProtection="1">
      <alignment horizontal="center" wrapText="1"/>
    </xf>
    <xf numFmtId="3" fontId="46" fillId="7" borderId="20" xfId="0" applyNumberFormat="1" applyFont="1" applyFill="1" applyBorder="1" applyAlignment="1" applyProtection="1">
      <alignment vertical="center"/>
      <protection locked="0"/>
    </xf>
    <xf numFmtId="3" fontId="46" fillId="7" borderId="2" xfId="0" applyNumberFormat="1" applyFont="1" applyFill="1" applyBorder="1" applyAlignment="1" applyProtection="1">
      <alignment horizontal="right" vertical="center"/>
      <protection locked="0"/>
    </xf>
    <xf numFmtId="169" fontId="52" fillId="0" borderId="43" xfId="0" applyFont="1" applyFill="1" applyBorder="1" applyAlignment="1" applyProtection="1">
      <alignment horizontal="center" vertical="center"/>
    </xf>
    <xf numFmtId="169" fontId="17" fillId="0" borderId="0" xfId="0" applyFont="1" applyProtection="1"/>
    <xf numFmtId="43" fontId="82" fillId="0" borderId="0" xfId="0" applyNumberFormat="1" applyFont="1" applyBorder="1" applyAlignment="1" applyProtection="1">
      <alignment vertical="center" wrapText="1"/>
    </xf>
    <xf numFmtId="169" fontId="82" fillId="0" borderId="0" xfId="0" applyFont="1" applyFill="1" applyBorder="1" applyAlignment="1" applyProtection="1">
      <alignment wrapText="1"/>
    </xf>
    <xf numFmtId="43" fontId="13" fillId="0" borderId="26" xfId="20" applyFont="1" applyFill="1" applyBorder="1" applyAlignment="1" applyProtection="1">
      <alignment horizontal="right"/>
    </xf>
    <xf numFmtId="169" fontId="27" fillId="0" borderId="44" xfId="0" applyFont="1" applyFill="1" applyBorder="1" applyAlignment="1" applyProtection="1">
      <alignment horizontal="center" wrapText="1"/>
    </xf>
    <xf numFmtId="169" fontId="14" fillId="3" borderId="29" xfId="0" applyFont="1" applyFill="1" applyBorder="1" applyAlignment="1" applyProtection="1"/>
    <xf numFmtId="169" fontId="14" fillId="3" borderId="45" xfId="0" applyFont="1" applyFill="1" applyBorder="1" applyAlignment="1" applyProtection="1"/>
    <xf numFmtId="169" fontId="21" fillId="0" borderId="0" xfId="0" applyFont="1" applyFill="1" applyBorder="1" applyAlignment="1" applyProtection="1">
      <alignment wrapText="1"/>
    </xf>
    <xf numFmtId="9" fontId="84" fillId="8" borderId="2" xfId="19" applyFont="1" applyFill="1" applyBorder="1" applyAlignment="1" applyProtection="1">
      <alignment horizontal="center" vertical="center" wrapText="1"/>
    </xf>
    <xf numFmtId="43" fontId="21" fillId="0" borderId="0" xfId="0" applyNumberFormat="1" applyFont="1" applyAlignment="1" applyProtection="1"/>
    <xf numFmtId="169" fontId="0" fillId="0" borderId="19" xfId="0" applyFill="1" applyBorder="1" applyProtection="1"/>
    <xf numFmtId="43" fontId="87" fillId="0" borderId="19" xfId="23" applyFont="1" applyFill="1" applyBorder="1" applyAlignment="1" applyProtection="1">
      <alignment vertical="center"/>
    </xf>
    <xf numFmtId="169" fontId="0" fillId="0" borderId="19" xfId="0" applyBorder="1" applyProtection="1"/>
    <xf numFmtId="169" fontId="0" fillId="0" borderId="19" xfId="0" applyBorder="1"/>
    <xf numFmtId="9" fontId="8" fillId="0" borderId="0" xfId="19" applyFont="1" applyProtection="1"/>
    <xf numFmtId="14" fontId="17" fillId="6" borderId="26" xfId="20" applyNumberFormat="1" applyFont="1" applyFill="1" applyBorder="1" applyAlignment="1" applyProtection="1">
      <alignment horizontal="center" vertical="center"/>
    </xf>
    <xf numFmtId="43" fontId="17" fillId="6" borderId="26" xfId="20" applyFont="1" applyFill="1" applyBorder="1" applyAlignment="1" applyProtection="1">
      <alignment horizontal="center" vertical="center"/>
    </xf>
    <xf numFmtId="169" fontId="17" fillId="6" borderId="26" xfId="20" applyNumberFormat="1" applyFont="1" applyFill="1" applyBorder="1" applyAlignment="1" applyProtection="1">
      <alignment horizontal="center"/>
    </xf>
    <xf numFmtId="3" fontId="17" fillId="6" borderId="26" xfId="20" applyNumberFormat="1" applyFont="1" applyFill="1" applyBorder="1" applyAlignment="1" applyProtection="1">
      <alignment horizontal="center"/>
    </xf>
    <xf numFmtId="43" fontId="17" fillId="6" borderId="26" xfId="20" applyFont="1" applyFill="1" applyBorder="1" applyAlignment="1" applyProtection="1">
      <alignment horizontal="center"/>
    </xf>
    <xf numFmtId="43" fontId="63" fillId="0" borderId="0" xfId="0" applyNumberFormat="1" applyFont="1" applyAlignment="1"/>
    <xf numFmtId="169" fontId="27" fillId="0" borderId="24" xfId="0" applyFont="1" applyFill="1" applyBorder="1" applyAlignment="1" applyProtection="1">
      <alignment horizontal="center" wrapText="1"/>
    </xf>
    <xf numFmtId="169"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6"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69" fontId="0" fillId="0" borderId="0" xfId="0" applyNumberFormat="1" applyFill="1" applyBorder="1" applyProtection="1">
      <protection locked="0"/>
    </xf>
    <xf numFmtId="164" fontId="25" fillId="2" borderId="47" xfId="0" applyNumberFormat="1" applyFont="1" applyFill="1" applyBorder="1" applyAlignment="1" applyProtection="1">
      <alignment horizontal="center"/>
      <protection locked="0"/>
    </xf>
    <xf numFmtId="164" fontId="25" fillId="2" borderId="48" xfId="0" applyNumberFormat="1" applyFont="1" applyFill="1" applyBorder="1" applyAlignment="1" applyProtection="1">
      <alignment horizontal="center"/>
      <protection locked="0"/>
    </xf>
    <xf numFmtId="164" fontId="25" fillId="2" borderId="49" xfId="0" applyNumberFormat="1" applyFont="1" applyFill="1" applyBorder="1" applyAlignment="1" applyProtection="1">
      <alignment horizontal="center"/>
      <protection locked="0"/>
    </xf>
    <xf numFmtId="164" fontId="25" fillId="2" borderId="50" xfId="0" applyNumberFormat="1" applyFont="1" applyFill="1" applyBorder="1" applyAlignment="1" applyProtection="1">
      <alignment horizontal="center"/>
      <protection locked="0"/>
    </xf>
    <xf numFmtId="164" fontId="25" fillId="2" borderId="51" xfId="0" applyNumberFormat="1" applyFont="1" applyFill="1" applyBorder="1" applyAlignment="1" applyProtection="1">
      <alignment horizontal="center"/>
      <protection locked="0"/>
    </xf>
    <xf numFmtId="169" fontId="0" fillId="0" borderId="52" xfId="0" applyFill="1" applyBorder="1" applyAlignment="1" applyProtection="1">
      <alignment horizontal="center"/>
    </xf>
    <xf numFmtId="43" fontId="1" fillId="0" borderId="26" xfId="20" applyFont="1" applyBorder="1" applyAlignment="1" applyProtection="1">
      <alignment horizontal="right"/>
    </xf>
    <xf numFmtId="43" fontId="95" fillId="0" borderId="0" xfId="16" applyFont="1" applyFill="1" applyBorder="1" applyProtection="1"/>
    <xf numFmtId="3" fontId="21" fillId="9" borderId="47" xfId="0" applyNumberFormat="1" applyFont="1" applyFill="1" applyBorder="1" applyAlignment="1" applyProtection="1">
      <protection locked="0"/>
    </xf>
    <xf numFmtId="3" fontId="21" fillId="9" borderId="53"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4" xfId="0" applyNumberFormat="1" applyFont="1" applyFill="1" applyBorder="1" applyAlignment="1" applyProtection="1"/>
    <xf numFmtId="164" fontId="7" fillId="2" borderId="57" xfId="0" applyNumberFormat="1" applyFont="1" applyFill="1" applyBorder="1" applyAlignment="1" applyProtection="1">
      <alignment horizontal="center"/>
      <protection locked="0"/>
    </xf>
    <xf numFmtId="164" fontId="7" fillId="2" borderId="58" xfId="0" applyNumberFormat="1" applyFont="1" applyFill="1" applyBorder="1" applyAlignment="1" applyProtection="1">
      <alignment horizontal="center"/>
      <protection locked="0"/>
    </xf>
    <xf numFmtId="169" fontId="0" fillId="9" borderId="2" xfId="0" applyFill="1" applyBorder="1" applyProtection="1"/>
    <xf numFmtId="169" fontId="0" fillId="6" borderId="2" xfId="0" applyFill="1" applyBorder="1" applyProtection="1"/>
    <xf numFmtId="49" fontId="18" fillId="0" borderId="59" xfId="0" applyNumberFormat="1" applyFont="1" applyFill="1" applyBorder="1" applyAlignment="1" applyProtection="1">
      <alignment vertical="center" wrapText="1"/>
    </xf>
    <xf numFmtId="169" fontId="64" fillId="0" borderId="60" xfId="0" applyNumberFormat="1" applyFont="1" applyFill="1" applyBorder="1" applyAlignment="1" applyProtection="1">
      <alignment horizontal="center" vertical="center" wrapText="1"/>
    </xf>
    <xf numFmtId="169" fontId="64" fillId="0" borderId="61" xfId="0" applyNumberFormat="1" applyFont="1" applyFill="1" applyBorder="1" applyAlignment="1" applyProtection="1">
      <alignment horizontal="center" vertical="center" wrapText="1"/>
    </xf>
    <xf numFmtId="169" fontId="19" fillId="0" borderId="62" xfId="0" applyFont="1" applyFill="1" applyBorder="1" applyAlignment="1" applyProtection="1">
      <alignment wrapText="1"/>
      <protection locked="0"/>
    </xf>
    <xf numFmtId="169" fontId="0" fillId="0" borderId="63"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69" fontId="0" fillId="6" borderId="2" xfId="0" applyNumberFormat="1" applyFill="1" applyBorder="1" applyProtection="1">
      <protection locked="0"/>
    </xf>
    <xf numFmtId="169" fontId="0" fillId="0" borderId="2" xfId="0" applyNumberFormat="1" applyFill="1" applyBorder="1" applyProtection="1"/>
    <xf numFmtId="169" fontId="0" fillId="6" borderId="2" xfId="0" applyNumberFormat="1" applyFill="1" applyBorder="1" applyAlignment="1" applyProtection="1">
      <alignment horizontal="center"/>
      <protection locked="0"/>
    </xf>
    <xf numFmtId="49" fontId="0" fillId="6" borderId="46" xfId="0" applyNumberFormat="1" applyFill="1" applyBorder="1" applyAlignment="1" applyProtection="1">
      <alignment horizontal="left"/>
      <protection locked="0"/>
    </xf>
    <xf numFmtId="169" fontId="0" fillId="6" borderId="46" xfId="0" applyNumberFormat="1" applyFill="1" applyBorder="1" applyProtection="1">
      <protection locked="0"/>
    </xf>
    <xf numFmtId="169" fontId="0" fillId="6" borderId="46" xfId="0" applyNumberFormat="1" applyFill="1" applyBorder="1" applyAlignment="1" applyProtection="1">
      <alignment horizontal="center"/>
      <protection locked="0"/>
    </xf>
    <xf numFmtId="43" fontId="106" fillId="9" borderId="64" xfId="23" applyFill="1" applyBorder="1" applyAlignment="1" applyProtection="1">
      <alignment vertical="center"/>
    </xf>
    <xf numFmtId="169" fontId="0" fillId="5" borderId="65" xfId="0" applyFill="1" applyBorder="1"/>
    <xf numFmtId="169" fontId="0" fillId="0" borderId="12" xfId="0" applyBorder="1" applyProtection="1"/>
    <xf numFmtId="43" fontId="32" fillId="6" borderId="66" xfId="23" applyFont="1" applyFill="1" applyBorder="1" applyAlignment="1" applyProtection="1">
      <alignment horizontal="center" vertical="center"/>
    </xf>
    <xf numFmtId="43" fontId="32" fillId="0" borderId="67" xfId="23" applyFont="1" applyFill="1" applyBorder="1" applyAlignment="1" applyProtection="1">
      <alignment vertical="center"/>
    </xf>
    <xf numFmtId="169" fontId="0" fillId="0" borderId="68" xfId="0" applyNumberFormat="1" applyFill="1" applyBorder="1"/>
    <xf numFmtId="15" fontId="20" fillId="0" borderId="69" xfId="0" applyNumberFormat="1" applyFont="1" applyFill="1" applyBorder="1" applyAlignment="1" applyProtection="1">
      <alignment horizontal="center" vertical="center" wrapText="1"/>
    </xf>
    <xf numFmtId="169" fontId="0" fillId="0" borderId="2" xfId="0" quotePrefix="1" applyNumberFormat="1" applyBorder="1" applyAlignment="1">
      <alignment horizontal="center"/>
    </xf>
    <xf numFmtId="3" fontId="0" fillId="0" borderId="0" xfId="0" applyNumberFormat="1" applyFill="1" applyBorder="1" applyProtection="1">
      <protection locked="0"/>
    </xf>
    <xf numFmtId="167" fontId="0" fillId="0" borderId="2" xfId="0" applyNumberFormat="1" applyFill="1" applyBorder="1" applyAlignment="1" applyProtection="1">
      <alignment horizontal="center"/>
    </xf>
    <xf numFmtId="167" fontId="8" fillId="10" borderId="70" xfId="0" applyNumberFormat="1" applyFont="1" applyFill="1" applyBorder="1" applyAlignment="1" applyProtection="1">
      <alignment horizontal="center"/>
    </xf>
    <xf numFmtId="167" fontId="14" fillId="10" borderId="70" xfId="0" applyNumberFormat="1" applyFont="1" applyFill="1" applyBorder="1" applyAlignment="1" applyProtection="1">
      <alignment horizontal="center"/>
    </xf>
    <xf numFmtId="43" fontId="48" fillId="0" borderId="2" xfId="16" applyFont="1" applyBorder="1" applyAlignment="1" applyProtection="1">
      <alignment horizontal="center"/>
    </xf>
    <xf numFmtId="169" fontId="48" fillId="0" borderId="2" xfId="0" applyFont="1" applyBorder="1" applyAlignment="1" applyProtection="1">
      <alignment horizontal="center"/>
    </xf>
    <xf numFmtId="167" fontId="0" fillId="3" borderId="2" xfId="0" applyNumberFormat="1" applyFill="1" applyBorder="1" applyAlignment="1" applyProtection="1">
      <alignment horizontal="center"/>
    </xf>
    <xf numFmtId="167" fontId="0" fillId="0" borderId="2" xfId="0" applyNumberFormat="1" applyBorder="1" applyAlignment="1" applyProtection="1">
      <alignment horizontal="center"/>
    </xf>
    <xf numFmtId="167" fontId="0" fillId="3" borderId="46" xfId="0" applyNumberFormat="1" applyFill="1" applyBorder="1" applyAlignment="1" applyProtection="1">
      <alignment horizontal="center"/>
    </xf>
    <xf numFmtId="167" fontId="0" fillId="0" borderId="46" xfId="0" applyNumberFormat="1" applyBorder="1" applyAlignment="1" applyProtection="1">
      <alignment horizontal="center"/>
    </xf>
    <xf numFmtId="169" fontId="46" fillId="11" borderId="2" xfId="0" applyFont="1" applyFill="1" applyBorder="1" applyAlignment="1" applyProtection="1">
      <alignment horizontal="center"/>
    </xf>
    <xf numFmtId="169" fontId="46" fillId="12" borderId="2" xfId="0" applyFont="1" applyFill="1" applyBorder="1" applyAlignment="1" applyProtection="1">
      <alignment horizontal="center"/>
    </xf>
    <xf numFmtId="3" fontId="46" fillId="13" borderId="2" xfId="0" applyNumberFormat="1" applyFont="1" applyFill="1" applyBorder="1" applyAlignment="1" applyProtection="1">
      <alignment vertical="center"/>
      <protection locked="0"/>
    </xf>
    <xf numFmtId="3" fontId="46" fillId="13" borderId="20" xfId="0" applyNumberFormat="1" applyFont="1" applyFill="1" applyBorder="1" applyAlignment="1" applyProtection="1">
      <alignment vertical="center"/>
      <protection locked="0"/>
    </xf>
    <xf numFmtId="3" fontId="46" fillId="7" borderId="20" xfId="0" applyNumberFormat="1" applyFont="1" applyFill="1" applyBorder="1" applyAlignment="1" applyProtection="1">
      <alignment horizontal="right" vertical="center"/>
      <protection locked="0"/>
    </xf>
    <xf numFmtId="169" fontId="0" fillId="0" borderId="82" xfId="0" applyBorder="1"/>
    <xf numFmtId="169" fontId="0" fillId="0" borderId="46" xfId="0" applyNumberFormat="1" applyFill="1" applyBorder="1" applyProtection="1"/>
    <xf numFmtId="3" fontId="0" fillId="0" borderId="46" xfId="0" applyNumberFormat="1" applyFill="1" applyBorder="1" applyProtection="1"/>
    <xf numFmtId="167" fontId="0" fillId="0" borderId="46" xfId="0" applyNumberFormat="1" applyFill="1" applyBorder="1" applyAlignment="1" applyProtection="1">
      <alignment horizontal="center"/>
    </xf>
    <xf numFmtId="169" fontId="0" fillId="0" borderId="83" xfId="0" applyBorder="1" applyAlignment="1" applyProtection="1">
      <alignment horizontal="center" wrapText="1"/>
    </xf>
    <xf numFmtId="3" fontId="0" fillId="0" borderId="46" xfId="0" applyNumberFormat="1" applyBorder="1" applyAlignment="1" applyProtection="1">
      <alignment horizontal="right" wrapText="1"/>
    </xf>
    <xf numFmtId="3" fontId="0" fillId="6" borderId="84" xfId="0" applyNumberFormat="1" applyFill="1" applyBorder="1" applyAlignment="1" applyProtection="1">
      <alignment horizontal="right" wrapText="1"/>
      <protection locked="0"/>
    </xf>
    <xf numFmtId="167" fontId="0" fillId="0" borderId="84" xfId="0" applyNumberFormat="1" applyFill="1" applyBorder="1" applyProtection="1"/>
    <xf numFmtId="167" fontId="0" fillId="0" borderId="85" xfId="0" applyNumberFormat="1" applyFill="1" applyBorder="1" applyProtection="1"/>
    <xf numFmtId="3" fontId="46" fillId="0" borderId="20" xfId="0" applyNumberFormat="1" applyFont="1" applyFill="1" applyBorder="1" applyAlignment="1" applyProtection="1">
      <alignment vertical="center"/>
    </xf>
    <xf numFmtId="3" fontId="46" fillId="11" borderId="20" xfId="0" applyNumberFormat="1" applyFont="1" applyFill="1" applyBorder="1" applyAlignment="1" applyProtection="1">
      <alignment vertical="center"/>
    </xf>
    <xf numFmtId="3" fontId="46" fillId="0" borderId="81" xfId="0" applyNumberFormat="1" applyFont="1" applyFill="1" applyBorder="1" applyAlignment="1" applyProtection="1">
      <alignment vertical="center"/>
    </xf>
    <xf numFmtId="3" fontId="102" fillId="7" borderId="2" xfId="0" applyNumberFormat="1" applyFont="1" applyFill="1" applyBorder="1" applyAlignment="1" applyProtection="1">
      <alignment vertical="center"/>
      <protection locked="0"/>
    </xf>
    <xf numFmtId="3" fontId="102" fillId="7" borderId="2" xfId="0" applyNumberFormat="1" applyFont="1" applyFill="1" applyBorder="1" applyAlignment="1" applyProtection="1">
      <alignment horizontal="right" vertical="center"/>
      <protection locked="0"/>
    </xf>
    <xf numFmtId="3" fontId="46" fillId="13" borderId="2" xfId="0" applyNumberFormat="1" applyFont="1" applyFill="1" applyBorder="1" applyAlignment="1" applyProtection="1">
      <alignment horizontal="right" vertical="center"/>
      <protection locked="0"/>
    </xf>
    <xf numFmtId="49" fontId="19" fillId="0" borderId="62" xfId="0" applyNumberFormat="1" applyFont="1" applyFill="1" applyBorder="1" applyAlignment="1" applyProtection="1">
      <alignment horizontal="justify" wrapText="1"/>
      <protection locked="0"/>
    </xf>
    <xf numFmtId="49" fontId="19" fillId="0" borderId="62" xfId="0" applyNumberFormat="1" applyFont="1" applyFill="1" applyBorder="1" applyAlignment="1" applyProtection="1">
      <alignment horizontal="justify"/>
      <protection locked="0"/>
    </xf>
    <xf numFmtId="169" fontId="102" fillId="0" borderId="2" xfId="0" applyFont="1" applyFill="1" applyBorder="1" applyAlignment="1" applyProtection="1">
      <alignment horizontal="center"/>
    </xf>
    <xf numFmtId="169" fontId="102" fillId="11" borderId="2" xfId="0" applyFont="1" applyFill="1" applyBorder="1" applyAlignment="1" applyProtection="1">
      <alignment horizontal="center"/>
    </xf>
    <xf numFmtId="169" fontId="0" fillId="0" borderId="13" xfId="0" applyBorder="1" applyAlignment="1" applyProtection="1">
      <alignment horizontal="center"/>
    </xf>
    <xf numFmtId="43" fontId="103" fillId="0" borderId="12" xfId="23" applyFont="1" applyFill="1" applyBorder="1" applyAlignment="1" applyProtection="1">
      <alignment vertical="center"/>
    </xf>
    <xf numFmtId="169" fontId="0" fillId="0" borderId="0" xfId="0" applyAlignment="1"/>
    <xf numFmtId="43" fontId="26" fillId="0" borderId="0" xfId="0" applyNumberFormat="1" applyFont="1" applyAlignment="1" applyProtection="1">
      <alignment horizontal="center"/>
    </xf>
    <xf numFmtId="169" fontId="52" fillId="0" borderId="86" xfId="0" applyFont="1" applyFill="1" applyBorder="1" applyAlignment="1" applyProtection="1">
      <alignment horizontal="center" vertical="center" wrapText="1"/>
    </xf>
    <xf numFmtId="169" fontId="102" fillId="0" borderId="80" xfId="0" applyFont="1" applyFill="1" applyBorder="1" applyAlignment="1" applyProtection="1">
      <alignment horizontal="center"/>
    </xf>
    <xf numFmtId="49" fontId="57" fillId="0" borderId="2" xfId="0" applyNumberFormat="1" applyFont="1" applyBorder="1" applyAlignment="1" applyProtection="1">
      <alignment horizontal="center" wrapText="1"/>
      <protection locked="0"/>
    </xf>
    <xf numFmtId="169" fontId="104" fillId="0" borderId="87" xfId="0" applyFont="1" applyFill="1" applyBorder="1" applyAlignment="1" applyProtection="1">
      <alignment wrapText="1"/>
    </xf>
    <xf numFmtId="169" fontId="27" fillId="0" borderId="25" xfId="0" applyFont="1" applyFill="1" applyBorder="1" applyAlignment="1" applyProtection="1">
      <alignment horizontal="center" wrapText="1"/>
    </xf>
    <xf numFmtId="169" fontId="0" fillId="0" borderId="0" xfId="0" applyFill="1" applyProtection="1"/>
    <xf numFmtId="169" fontId="86" fillId="0" borderId="0" xfId="0" applyFont="1" applyFill="1" applyAlignment="1" applyProtection="1">
      <alignment horizontal="right"/>
    </xf>
    <xf numFmtId="169" fontId="102" fillId="5" borderId="89" xfId="0" applyNumberFormat="1" applyFont="1" applyFill="1" applyBorder="1" applyAlignment="1" applyProtection="1">
      <alignment vertical="center" wrapText="1"/>
      <protection locked="0"/>
    </xf>
    <xf numFmtId="169" fontId="102" fillId="7" borderId="89" xfId="0" applyNumberFormat="1" applyFont="1" applyFill="1" applyBorder="1" applyAlignment="1" applyProtection="1">
      <alignment vertical="center" wrapText="1"/>
      <protection locked="0"/>
    </xf>
    <xf numFmtId="169" fontId="102" fillId="7" borderId="90" xfId="0" applyNumberFormat="1" applyFont="1" applyFill="1" applyBorder="1" applyAlignment="1" applyProtection="1">
      <alignment vertical="center" wrapText="1"/>
      <protection locked="0"/>
    </xf>
    <xf numFmtId="169" fontId="107" fillId="0" borderId="0" xfId="0" applyFont="1" applyAlignment="1" applyProtection="1">
      <alignment horizontal="left" vertical="center"/>
    </xf>
    <xf numFmtId="169" fontId="107" fillId="0" borderId="0" xfId="0" applyFont="1" applyAlignment="1">
      <alignment horizontal="left" vertical="center"/>
    </xf>
    <xf numFmtId="169" fontId="0" fillId="0" borderId="0" xfId="0" applyAlignment="1">
      <alignment horizontal="center"/>
    </xf>
    <xf numFmtId="169" fontId="0" fillId="0" borderId="0" xfId="0" applyAlignment="1" applyProtection="1">
      <alignment horizontal="center"/>
    </xf>
    <xf numFmtId="169" fontId="0" fillId="3" borderId="0" xfId="0" applyFill="1" applyAlignment="1" applyProtection="1">
      <alignment horizontal="center"/>
    </xf>
    <xf numFmtId="3" fontId="30" fillId="0" borderId="39" xfId="0" applyNumberFormat="1" applyFont="1" applyFill="1" applyBorder="1" applyAlignment="1" applyProtection="1">
      <alignment horizontal="center"/>
    </xf>
    <xf numFmtId="3" fontId="30" fillId="0" borderId="83" xfId="0" applyNumberFormat="1" applyFont="1" applyFill="1" applyBorder="1" applyAlignment="1" applyProtection="1">
      <alignment horizontal="center"/>
    </xf>
    <xf numFmtId="170" fontId="17" fillId="6" borderId="26" xfId="20" applyNumberFormat="1" applyFont="1" applyFill="1" applyBorder="1" applyAlignment="1" applyProtection="1">
      <alignment horizontal="center" vertical="center"/>
    </xf>
    <xf numFmtId="170" fontId="17" fillId="6" borderId="26" xfId="20" applyNumberFormat="1" applyFont="1" applyFill="1" applyBorder="1" applyAlignment="1" applyProtection="1">
      <alignment horizontal="center"/>
    </xf>
    <xf numFmtId="169" fontId="52" fillId="0" borderId="91" xfId="0" applyFont="1" applyFill="1" applyBorder="1" applyAlignment="1" applyProtection="1">
      <alignment horizontal="center" vertical="center" wrapText="1"/>
    </xf>
    <xf numFmtId="169" fontId="38" fillId="0" borderId="92" xfId="0" applyNumberFormat="1" applyFont="1" applyFill="1" applyBorder="1" applyAlignment="1" applyProtection="1">
      <alignment horizontal="right"/>
    </xf>
    <xf numFmtId="169" fontId="52" fillId="0" borderId="93" xfId="0" applyFont="1" applyFill="1" applyBorder="1" applyAlignment="1" applyProtection="1">
      <alignment horizontal="center"/>
    </xf>
    <xf numFmtId="169" fontId="38" fillId="0" borderId="94" xfId="0" applyNumberFormat="1" applyFont="1" applyFill="1" applyBorder="1" applyAlignment="1" applyProtection="1">
      <alignment horizontal="right"/>
    </xf>
    <xf numFmtId="169" fontId="52" fillId="0" borderId="95" xfId="0" applyFont="1" applyFill="1" applyBorder="1" applyAlignment="1" applyProtection="1">
      <alignment horizontal="center"/>
    </xf>
    <xf numFmtId="169" fontId="38" fillId="0" borderId="96" xfId="0" applyNumberFormat="1" applyFont="1" applyFill="1" applyBorder="1" applyAlignment="1" applyProtection="1">
      <alignment horizontal="right"/>
    </xf>
    <xf numFmtId="169" fontId="52" fillId="0" borderId="97" xfId="0" applyNumberFormat="1" applyFont="1" applyFill="1" applyBorder="1" applyAlignment="1" applyProtection="1">
      <alignment horizontal="center"/>
    </xf>
    <xf numFmtId="169" fontId="38" fillId="0" borderId="98" xfId="0" applyNumberFormat="1" applyFont="1" applyFill="1" applyBorder="1" applyAlignment="1" applyProtection="1">
      <alignment horizontal="right"/>
    </xf>
    <xf numFmtId="169" fontId="52" fillId="0" borderId="99" xfId="0" applyNumberFormat="1" applyFont="1" applyFill="1" applyBorder="1" applyAlignment="1" applyProtection="1">
      <alignment horizontal="center" vertical="center"/>
    </xf>
    <xf numFmtId="169" fontId="38" fillId="0" borderId="100" xfId="0" applyNumberFormat="1" applyFont="1" applyFill="1" applyBorder="1" applyAlignment="1" applyProtection="1">
      <alignment horizontal="right"/>
    </xf>
    <xf numFmtId="169" fontId="52" fillId="0" borderId="101" xfId="0" applyNumberFormat="1" applyFont="1" applyFill="1" applyBorder="1" applyAlignment="1" applyProtection="1">
      <alignment horizontal="center"/>
    </xf>
    <xf numFmtId="169" fontId="38" fillId="0" borderId="102" xfId="0" applyNumberFormat="1" applyFont="1" applyFill="1" applyBorder="1" applyAlignment="1" applyProtection="1">
      <alignment horizontal="right"/>
    </xf>
    <xf numFmtId="169" fontId="52" fillId="0" borderId="101" xfId="0" applyNumberFormat="1" applyFont="1" applyFill="1" applyBorder="1" applyAlignment="1" applyProtection="1">
      <alignment horizontal="center" vertical="center"/>
    </xf>
    <xf numFmtId="3" fontId="81" fillId="9" borderId="47" xfId="0" applyNumberFormat="1" applyFont="1" applyFill="1" applyBorder="1" applyAlignment="1" applyProtection="1">
      <protection locked="0"/>
    </xf>
    <xf numFmtId="3" fontId="81" fillId="9" borderId="53" xfId="0" applyNumberFormat="1" applyFont="1" applyFill="1" applyBorder="1" applyAlignment="1" applyProtection="1">
      <protection locked="0"/>
    </xf>
    <xf numFmtId="3" fontId="81" fillId="0" borderId="2" xfId="0" applyNumberFormat="1" applyFont="1" applyFill="1" applyBorder="1" applyAlignment="1" applyProtection="1"/>
    <xf numFmtId="3" fontId="81" fillId="0" borderId="54" xfId="0" applyNumberFormat="1" applyFont="1" applyFill="1" applyBorder="1" applyAlignment="1" applyProtection="1"/>
    <xf numFmtId="3" fontId="14" fillId="9" borderId="103" xfId="1" applyNumberFormat="1" applyFont="1" applyFill="1" applyBorder="1" applyAlignment="1" applyProtection="1">
      <protection locked="0"/>
    </xf>
    <xf numFmtId="3" fontId="14" fillId="9" borderId="104" xfId="1" applyNumberFormat="1" applyFont="1" applyFill="1" applyBorder="1" applyProtection="1">
      <protection locked="0"/>
    </xf>
    <xf numFmtId="3" fontId="14" fillId="9" borderId="103" xfId="1" applyNumberFormat="1" applyFont="1" applyFill="1" applyBorder="1" applyProtection="1">
      <protection locked="0"/>
    </xf>
    <xf numFmtId="3" fontId="108" fillId="0" borderId="105" xfId="0" applyNumberFormat="1" applyFont="1" applyBorder="1" applyProtection="1"/>
    <xf numFmtId="3" fontId="108" fillId="0" borderId="106"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7" xfId="1" applyNumberFormat="1" applyFont="1" applyFill="1" applyBorder="1" applyAlignment="1" applyProtection="1">
      <protection locked="0"/>
    </xf>
    <xf numFmtId="3" fontId="108" fillId="6" borderId="2" xfId="0" applyNumberFormat="1" applyFont="1" applyFill="1" applyBorder="1" applyAlignment="1" applyProtection="1">
      <alignment horizontal="right" wrapText="1"/>
      <protection locked="0"/>
    </xf>
    <xf numFmtId="3" fontId="108" fillId="0" borderId="2" xfId="0" applyNumberFormat="1" applyFont="1" applyBorder="1" applyAlignment="1" applyProtection="1">
      <alignment horizontal="right" wrapText="1"/>
    </xf>
    <xf numFmtId="3" fontId="108" fillId="0" borderId="46" xfId="0" applyNumberFormat="1" applyFont="1" applyBorder="1" applyAlignment="1" applyProtection="1">
      <alignment horizontal="right" wrapText="1"/>
    </xf>
    <xf numFmtId="3" fontId="109" fillId="9" borderId="84" xfId="0" applyNumberFormat="1" applyFont="1" applyFill="1" applyBorder="1" applyAlignment="1" applyProtection="1">
      <alignment horizontal="centerContinuous"/>
    </xf>
    <xf numFmtId="3" fontId="109" fillId="9" borderId="85" xfId="0" applyNumberFormat="1" applyFont="1" applyFill="1" applyBorder="1" applyAlignment="1" applyProtection="1">
      <alignment horizontal="centerContinuous"/>
    </xf>
    <xf numFmtId="0" fontId="110" fillId="0" borderId="0" xfId="0" applyNumberFormat="1" applyFont="1" applyAlignment="1" applyProtection="1">
      <alignment horizontal="center" vertical="center"/>
    </xf>
    <xf numFmtId="170" fontId="21" fillId="0" borderId="0" xfId="0" applyNumberFormat="1" applyFont="1" applyAlignment="1" applyProtection="1">
      <alignment horizontal="center"/>
    </xf>
    <xf numFmtId="170" fontId="21" fillId="0" borderId="0" xfId="0" applyNumberFormat="1" applyFont="1"/>
    <xf numFmtId="1" fontId="46" fillId="13" borderId="2" xfId="0" applyNumberFormat="1" applyFont="1" applyFill="1" applyBorder="1" applyAlignment="1" applyProtection="1">
      <alignment horizontal="right" vertical="center"/>
      <protection locked="0"/>
    </xf>
    <xf numFmtId="169" fontId="105" fillId="5" borderId="30" xfId="0" applyFont="1" applyFill="1" applyBorder="1" applyAlignment="1">
      <alignment horizontal="justify" vertical="center" wrapText="1"/>
    </xf>
    <xf numFmtId="169" fontId="105" fillId="5" borderId="31" xfId="0" applyFont="1" applyFill="1" applyBorder="1" applyAlignment="1">
      <alignment horizontal="justify" vertical="center" wrapText="1"/>
    </xf>
    <xf numFmtId="169" fontId="93" fillId="5" borderId="29" xfId="0" applyFont="1" applyFill="1" applyBorder="1" applyAlignment="1">
      <alignment horizontal="justify" vertical="center" wrapText="1"/>
    </xf>
    <xf numFmtId="169" fontId="93" fillId="5" borderId="30" xfId="0" applyFont="1" applyFill="1" applyBorder="1" applyAlignment="1">
      <alignment horizontal="justify" vertical="center" wrapText="1"/>
    </xf>
    <xf numFmtId="169" fontId="93" fillId="5" borderId="31" xfId="0" applyFont="1" applyFill="1" applyBorder="1" applyAlignment="1">
      <alignment horizontal="justify" vertical="center" wrapText="1"/>
    </xf>
    <xf numFmtId="169" fontId="102" fillId="22" borderId="2" xfId="0" applyFont="1" applyFill="1" applyBorder="1" applyAlignment="1" applyProtection="1">
      <alignment horizontal="center"/>
    </xf>
    <xf numFmtId="174" fontId="21" fillId="0" borderId="2" xfId="0" applyNumberFormat="1" applyFont="1" applyBorder="1" applyAlignment="1" applyProtection="1">
      <alignment horizontal="center" vertical="center" wrapText="1"/>
    </xf>
    <xf numFmtId="174" fontId="21" fillId="0" borderId="2" xfId="0" applyNumberFormat="1" applyFont="1" applyFill="1" applyBorder="1" applyAlignment="1" applyProtection="1">
      <alignment horizontal="center" vertical="center" wrapText="1"/>
    </xf>
    <xf numFmtId="169" fontId="102" fillId="14" borderId="2" xfId="0" applyFont="1" applyFill="1" applyBorder="1" applyAlignment="1" applyProtection="1">
      <alignment horizontal="center"/>
    </xf>
    <xf numFmtId="167" fontId="102" fillId="5" borderId="2" xfId="0" applyNumberFormat="1" applyFont="1" applyFill="1" applyBorder="1" applyAlignment="1" applyProtection="1">
      <alignment horizontal="right" vertical="center"/>
      <protection locked="0"/>
    </xf>
    <xf numFmtId="167" fontId="2" fillId="5" borderId="2" xfId="0" applyNumberFormat="1" applyFont="1" applyFill="1" applyBorder="1" applyAlignment="1" applyProtection="1">
      <alignment vertical="center"/>
      <protection locked="0"/>
    </xf>
    <xf numFmtId="167" fontId="46" fillId="5" borderId="2" xfId="0" applyNumberFormat="1" applyFont="1" applyFill="1" applyBorder="1" applyAlignment="1" applyProtection="1">
      <alignment vertical="center"/>
      <protection locked="0"/>
    </xf>
    <xf numFmtId="167" fontId="102" fillId="23" borderId="2" xfId="0" applyNumberFormat="1" applyFont="1" applyFill="1" applyBorder="1" applyAlignment="1" applyProtection="1">
      <alignment horizontal="right" vertical="center"/>
      <protection locked="0"/>
    </xf>
    <xf numFmtId="167" fontId="102" fillId="23" borderId="2" xfId="0" applyNumberFormat="1" applyFont="1" applyFill="1" applyBorder="1" applyAlignment="1" applyProtection="1">
      <alignment vertical="center"/>
      <protection locked="0"/>
    </xf>
    <xf numFmtId="167" fontId="46" fillId="23" borderId="2" xfId="0" applyNumberFormat="1" applyFont="1" applyFill="1" applyBorder="1" applyAlignment="1" applyProtection="1">
      <alignment horizontal="right" vertical="center"/>
      <protection locked="0"/>
    </xf>
    <xf numFmtId="167" fontId="46" fillId="23" borderId="2" xfId="0" applyNumberFormat="1" applyFont="1" applyFill="1" applyBorder="1" applyAlignment="1" applyProtection="1">
      <alignment vertical="center"/>
      <protection locked="0"/>
    </xf>
    <xf numFmtId="167" fontId="46" fillId="24" borderId="2" xfId="0" applyNumberFormat="1" applyFont="1" applyFill="1" applyBorder="1" applyAlignment="1" applyProtection="1">
      <alignment vertical="center"/>
      <protection locked="0"/>
    </xf>
    <xf numFmtId="167" fontId="46" fillId="24" borderId="2" xfId="0" applyNumberFormat="1" applyFont="1" applyFill="1" applyBorder="1" applyAlignment="1" applyProtection="1">
      <alignment horizontal="right" vertical="center"/>
      <protection locked="0"/>
    </xf>
    <xf numFmtId="167" fontId="2" fillId="24" borderId="2" xfId="0" applyNumberFormat="1" applyFont="1" applyFill="1" applyBorder="1" applyAlignment="1" applyProtection="1">
      <alignment vertical="center"/>
      <protection locked="0"/>
    </xf>
    <xf numFmtId="167" fontId="46" fillId="24" borderId="2" xfId="1" applyNumberFormat="1" applyFont="1" applyFill="1" applyBorder="1" applyAlignment="1" applyProtection="1">
      <alignment horizontal="right" vertical="center"/>
      <protection locked="0"/>
    </xf>
    <xf numFmtId="167" fontId="2" fillId="24" borderId="2" xfId="0" applyNumberFormat="1" applyFont="1" applyFill="1" applyBorder="1" applyAlignment="1" applyProtection="1">
      <alignment horizontal="right" vertical="center"/>
      <protection locked="0"/>
    </xf>
    <xf numFmtId="167" fontId="102" fillId="7" borderId="2" xfId="0" applyNumberFormat="1" applyFont="1" applyFill="1" applyBorder="1" applyAlignment="1" applyProtection="1">
      <alignment horizontal="right" vertical="center"/>
      <protection locked="0"/>
    </xf>
    <xf numFmtId="167" fontId="102" fillId="7" borderId="2" xfId="0" applyNumberFormat="1" applyFont="1" applyFill="1" applyBorder="1" applyAlignment="1" applyProtection="1">
      <alignment vertical="center"/>
      <protection locked="0"/>
    </xf>
    <xf numFmtId="167" fontId="2" fillId="13" borderId="2" xfId="0" applyNumberFormat="1" applyFont="1" applyFill="1" applyBorder="1" applyAlignment="1" applyProtection="1">
      <alignment vertical="center"/>
      <protection locked="0"/>
    </xf>
    <xf numFmtId="167" fontId="46" fillId="13" borderId="2" xfId="0" applyNumberFormat="1" applyFont="1" applyFill="1" applyBorder="1" applyAlignment="1" applyProtection="1">
      <alignment vertical="center"/>
      <protection locked="0"/>
    </xf>
    <xf numFmtId="167" fontId="102" fillId="13" borderId="2" xfId="0" applyNumberFormat="1" applyFont="1" applyFill="1" applyBorder="1" applyAlignment="1" applyProtection="1">
      <alignment vertical="center"/>
      <protection locked="0"/>
    </xf>
    <xf numFmtId="167" fontId="46" fillId="7" borderId="2" xfId="0" applyNumberFormat="1" applyFont="1" applyFill="1" applyBorder="1" applyAlignment="1" applyProtection="1">
      <alignment horizontal="right" vertical="center"/>
      <protection locked="0"/>
    </xf>
    <xf numFmtId="174" fontId="46" fillId="0" borderId="2" xfId="0" applyNumberFormat="1" applyFont="1" applyFill="1" applyBorder="1" applyAlignment="1" applyProtection="1">
      <alignment vertical="center"/>
    </xf>
    <xf numFmtId="174" fontId="46" fillId="11" borderId="2" xfId="0" applyNumberFormat="1" applyFont="1" applyFill="1" applyBorder="1" applyAlignment="1" applyProtection="1">
      <alignment vertical="center"/>
    </xf>
    <xf numFmtId="174" fontId="46" fillId="0" borderId="80" xfId="0" applyNumberFormat="1" applyFont="1" applyFill="1" applyBorder="1" applyAlignment="1" applyProtection="1">
      <alignment vertical="center"/>
    </xf>
    <xf numFmtId="167" fontId="2" fillId="7" borderId="2" xfId="0" applyNumberFormat="1" applyFont="1" applyFill="1" applyBorder="1" applyAlignment="1" applyProtection="1">
      <alignment vertical="center"/>
      <protection locked="0"/>
    </xf>
    <xf numFmtId="167" fontId="46" fillId="7" borderId="2" xfId="0" applyNumberFormat="1" applyFont="1" applyFill="1" applyBorder="1" applyAlignment="1" applyProtection="1">
      <alignment vertical="center"/>
      <protection locked="0"/>
    </xf>
    <xf numFmtId="169" fontId="102" fillId="15" borderId="2" xfId="0" applyFont="1" applyFill="1" applyBorder="1" applyAlignment="1" applyProtection="1">
      <alignment horizontal="center"/>
    </xf>
    <xf numFmtId="3" fontId="46" fillId="13" borderId="20" xfId="0" applyNumberFormat="1" applyFont="1" applyFill="1" applyBorder="1" applyAlignment="1" applyProtection="1">
      <alignment horizontal="right" vertical="center"/>
      <protection locked="0"/>
    </xf>
    <xf numFmtId="1" fontId="108" fillId="9" borderId="40" xfId="0" applyNumberFormat="1" applyFont="1" applyFill="1" applyBorder="1" applyAlignment="1" applyProtection="1">
      <alignment horizontal="center"/>
      <protection locked="0"/>
    </xf>
    <xf numFmtId="1" fontId="108" fillId="9" borderId="54" xfId="0" applyNumberFormat="1" applyFont="1" applyFill="1" applyBorder="1" applyAlignment="1" applyProtection="1">
      <alignment horizontal="center"/>
      <protection locked="0"/>
    </xf>
    <xf numFmtId="1" fontId="108" fillId="9" borderId="108" xfId="0" applyNumberFormat="1" applyFont="1" applyFill="1" applyBorder="1" applyAlignment="1" applyProtection="1">
      <alignment horizontal="center"/>
      <protection locked="0"/>
    </xf>
    <xf numFmtId="1" fontId="102" fillId="13" borderId="2" xfId="0" applyNumberFormat="1" applyFont="1" applyFill="1" applyBorder="1" applyAlignment="1" applyProtection="1">
      <alignment horizontal="right" vertical="center"/>
      <protection locked="0"/>
    </xf>
    <xf numFmtId="1" fontId="46" fillId="13" borderId="2" xfId="0" applyNumberFormat="1" applyFont="1" applyFill="1" applyBorder="1" applyAlignment="1" applyProtection="1">
      <alignment vertical="center"/>
      <protection locked="0"/>
    </xf>
    <xf numFmtId="164" fontId="8" fillId="0" borderId="0" xfId="0" applyNumberFormat="1" applyFont="1" applyFill="1"/>
    <xf numFmtId="164" fontId="8" fillId="0" borderId="0" xfId="0" applyNumberFormat="1" applyFont="1" applyFill="1" applyProtection="1"/>
    <xf numFmtId="169" fontId="78" fillId="0" borderId="0" xfId="0" applyFont="1" applyFill="1" applyBorder="1" applyAlignment="1" applyProtection="1">
      <alignment horizontal="center" vertical="center"/>
    </xf>
    <xf numFmtId="169"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08" fillId="0" borderId="84" xfId="0" applyNumberFormat="1" applyFont="1" applyBorder="1" applyAlignment="1" applyProtection="1">
      <alignment horizontal="right" wrapText="1"/>
    </xf>
    <xf numFmtId="3" fontId="108" fillId="0" borderId="85" xfId="0" applyNumberFormat="1" applyFont="1" applyBorder="1" applyAlignment="1" applyProtection="1">
      <alignment horizontal="right" wrapText="1"/>
    </xf>
    <xf numFmtId="3" fontId="0" fillId="0" borderId="0" xfId="0" applyNumberFormat="1" applyFill="1" applyBorder="1"/>
    <xf numFmtId="169" fontId="111" fillId="0" borderId="0" xfId="0" applyFont="1"/>
    <xf numFmtId="169" fontId="34" fillId="0" borderId="0" xfId="0" applyFont="1" applyAlignment="1">
      <alignment horizontal="center"/>
    </xf>
    <xf numFmtId="169" fontId="34" fillId="0" borderId="0" xfId="0" applyFont="1" applyBorder="1" applyAlignment="1">
      <alignment horizontal="center"/>
    </xf>
    <xf numFmtId="49" fontId="108" fillId="0" borderId="2" xfId="0" applyNumberFormat="1" applyFont="1" applyFill="1" applyBorder="1" applyAlignment="1" applyProtection="1">
      <alignment horizontal="center"/>
      <protection locked="0"/>
    </xf>
    <xf numFmtId="169" fontId="115" fillId="0" borderId="0" xfId="0" applyFont="1" applyFill="1" applyBorder="1" applyAlignment="1" applyProtection="1">
      <alignment horizontal="right"/>
    </xf>
    <xf numFmtId="170" fontId="14" fillId="0" borderId="2" xfId="20" applyNumberFormat="1" applyFont="1" applyFill="1" applyBorder="1" applyAlignment="1" applyProtection="1">
      <alignment horizontal="center"/>
      <protection locked="0"/>
    </xf>
    <xf numFmtId="169" fontId="115" fillId="0" borderId="88" xfId="0" applyFont="1" applyFill="1" applyBorder="1" applyAlignment="1" applyProtection="1">
      <alignment horizontal="right"/>
    </xf>
    <xf numFmtId="3" fontId="14" fillId="9" borderId="47" xfId="0" applyNumberFormat="1" applyFont="1" applyFill="1" applyBorder="1" applyAlignment="1" applyProtection="1">
      <protection locked="0"/>
    </xf>
    <xf numFmtId="3" fontId="14" fillId="0" borderId="2" xfId="0" applyNumberFormat="1" applyFont="1" applyFill="1" applyBorder="1" applyAlignment="1" applyProtection="1"/>
    <xf numFmtId="3" fontId="14" fillId="0" borderId="222" xfId="0" applyNumberFormat="1" applyFont="1" applyFill="1" applyBorder="1" applyAlignment="1" applyProtection="1"/>
    <xf numFmtId="1" fontId="14" fillId="3" borderId="109" xfId="0" applyNumberFormat="1" applyFont="1" applyFill="1" applyBorder="1" applyAlignment="1" applyProtection="1">
      <alignment horizontal="center"/>
    </xf>
    <xf numFmtId="1" fontId="108" fillId="9" borderId="2" xfId="0" applyNumberFormat="1" applyFont="1" applyFill="1" applyBorder="1" applyAlignment="1" applyProtection="1">
      <alignment horizontal="center"/>
      <protection locked="0"/>
    </xf>
    <xf numFmtId="3" fontId="108" fillId="6" borderId="33" xfId="0" applyNumberFormat="1" applyFont="1" applyFill="1" applyBorder="1" applyAlignment="1" applyProtection="1">
      <alignment horizontal="center"/>
      <protection locked="0"/>
    </xf>
    <xf numFmtId="3" fontId="108" fillId="0" borderId="17" xfId="0" applyNumberFormat="1" applyFont="1" applyFill="1" applyBorder="1" applyAlignment="1" applyProtection="1">
      <alignment horizontal="center"/>
    </xf>
    <xf numFmtId="3" fontId="108" fillId="6" borderId="17" xfId="0" applyNumberFormat="1" applyFont="1" applyFill="1" applyBorder="1" applyAlignment="1" applyProtection="1">
      <alignment horizontal="center"/>
      <protection locked="0"/>
    </xf>
    <xf numFmtId="169" fontId="108" fillId="0" borderId="0" xfId="0" applyFont="1" applyBorder="1" applyProtection="1"/>
    <xf numFmtId="1" fontId="108" fillId="6" borderId="2" xfId="0" applyNumberFormat="1" applyFont="1" applyFill="1" applyBorder="1" applyAlignment="1" applyProtection="1">
      <alignment horizontal="center"/>
      <protection locked="0"/>
    </xf>
    <xf numFmtId="1" fontId="108" fillId="0" borderId="109" xfId="0" applyNumberFormat="1" applyFont="1" applyFill="1" applyBorder="1" applyAlignment="1" applyProtection="1">
      <alignment horizontal="center"/>
    </xf>
    <xf numFmtId="1" fontId="108" fillId="6" borderId="33" xfId="0" applyNumberFormat="1" applyFont="1" applyFill="1" applyBorder="1" applyAlignment="1" applyProtection="1">
      <alignment horizontal="center"/>
      <protection locked="0"/>
    </xf>
    <xf numFmtId="3" fontId="108" fillId="3" borderId="17" xfId="0" applyNumberFormat="1" applyFont="1" applyFill="1" applyBorder="1" applyAlignment="1" applyProtection="1">
      <alignment horizontal="center"/>
      <protection locked="0"/>
    </xf>
    <xf numFmtId="3" fontId="108" fillId="0" borderId="2" xfId="0" applyNumberFormat="1" applyFont="1" applyFill="1" applyBorder="1"/>
    <xf numFmtId="3" fontId="108" fillId="0" borderId="46" xfId="0" applyNumberFormat="1" applyFont="1" applyFill="1" applyBorder="1"/>
    <xf numFmtId="167" fontId="116" fillId="5" borderId="2" xfId="0" applyNumberFormat="1" applyFont="1" applyFill="1" applyBorder="1" applyAlignment="1" applyProtection="1">
      <alignment vertical="center"/>
      <protection locked="0"/>
    </xf>
    <xf numFmtId="167" fontId="116" fillId="23" borderId="2" xfId="0" applyNumberFormat="1" applyFont="1" applyFill="1" applyBorder="1" applyAlignment="1" applyProtection="1">
      <alignment horizontal="right" vertical="center"/>
      <protection locked="0"/>
    </xf>
    <xf numFmtId="167" fontId="116" fillId="24" borderId="2" xfId="0" applyNumberFormat="1" applyFont="1" applyFill="1" applyBorder="1" applyAlignment="1" applyProtection="1">
      <alignment vertical="center"/>
      <protection locked="0"/>
    </xf>
    <xf numFmtId="167" fontId="116" fillId="7" borderId="2" xfId="0" applyNumberFormat="1" applyFont="1" applyFill="1" applyBorder="1" applyAlignment="1" applyProtection="1">
      <alignment horizontal="right" vertical="center"/>
      <protection locked="0"/>
    </xf>
    <xf numFmtId="167" fontId="46" fillId="7" borderId="110" xfId="0" applyNumberFormat="1" applyFont="1" applyFill="1" applyBorder="1" applyAlignment="1" applyProtection="1">
      <alignment horizontal="right" vertical="center"/>
      <protection locked="0"/>
    </xf>
    <xf numFmtId="167" fontId="116" fillId="13" borderId="2" xfId="0" applyNumberFormat="1" applyFont="1" applyFill="1" applyBorder="1" applyAlignment="1" applyProtection="1">
      <alignment horizontal="right" vertical="center"/>
      <protection locked="0"/>
    </xf>
    <xf numFmtId="167" fontId="46" fillId="13" borderId="110" xfId="0" applyNumberFormat="1" applyFont="1" applyFill="1" applyBorder="1" applyAlignment="1" applyProtection="1">
      <alignment horizontal="right" vertical="center"/>
      <protection locked="0"/>
    </xf>
    <xf numFmtId="169" fontId="108" fillId="0" borderId="0" xfId="0" applyFont="1" applyBorder="1" applyAlignment="1">
      <alignment horizontal="left"/>
    </xf>
    <xf numFmtId="169" fontId="108" fillId="0" borderId="0" xfId="0" applyFont="1"/>
    <xf numFmtId="169" fontId="108" fillId="0" borderId="0" xfId="0" applyFont="1" applyBorder="1" applyAlignment="1">
      <alignment horizontal="left" wrapText="1"/>
    </xf>
    <xf numFmtId="9" fontId="117" fillId="0" borderId="0" xfId="0" applyNumberFormat="1" applyFont="1" applyFill="1" applyBorder="1" applyAlignment="1" applyProtection="1"/>
    <xf numFmtId="169" fontId="93" fillId="0" borderId="0" xfId="0" applyFont="1" applyFill="1" applyBorder="1" applyAlignment="1" applyProtection="1">
      <alignment horizontal="center" vertical="center"/>
    </xf>
    <xf numFmtId="9" fontId="117" fillId="0" borderId="0" xfId="0" applyNumberFormat="1" applyFont="1" applyFill="1" applyBorder="1" applyAlignment="1" applyProtection="1">
      <alignment horizontal="center"/>
    </xf>
    <xf numFmtId="168" fontId="41" fillId="3" borderId="0" xfId="0" applyNumberFormat="1" applyFont="1" applyFill="1" applyBorder="1" applyAlignment="1" applyProtection="1">
      <alignment vertical="center"/>
    </xf>
    <xf numFmtId="169" fontId="93" fillId="3" borderId="0" xfId="0" applyFont="1" applyFill="1" applyBorder="1" applyAlignment="1" applyProtection="1">
      <alignment horizontal="center" vertical="center"/>
    </xf>
    <xf numFmtId="169" fontId="118" fillId="3" borderId="0" xfId="0" applyFont="1" applyFill="1" applyBorder="1" applyAlignment="1" applyProtection="1">
      <alignment horizontal="center" vertical="center"/>
    </xf>
    <xf numFmtId="167" fontId="41" fillId="3" borderId="0" xfId="19" applyNumberFormat="1" applyFont="1" applyFill="1" applyBorder="1" applyAlignment="1" applyProtection="1">
      <alignment horizontal="right"/>
    </xf>
    <xf numFmtId="9" fontId="117" fillId="3" borderId="0" xfId="0" applyNumberFormat="1" applyFont="1" applyFill="1" applyBorder="1" applyProtection="1"/>
    <xf numFmtId="9" fontId="117" fillId="3" borderId="0" xfId="0" applyNumberFormat="1" applyFont="1" applyFill="1" applyBorder="1" applyAlignment="1" applyProtection="1">
      <alignment horizontal="left"/>
    </xf>
    <xf numFmtId="169" fontId="23" fillId="0" borderId="0" xfId="0" applyFont="1" applyBorder="1" applyAlignment="1" applyProtection="1">
      <alignment horizontal="center" vertical="center"/>
    </xf>
    <xf numFmtId="169" fontId="41" fillId="3" borderId="0" xfId="0" applyFont="1" applyFill="1" applyBorder="1" applyAlignment="1" applyProtection="1">
      <alignment horizontal="left" vertical="center"/>
    </xf>
    <xf numFmtId="169" fontId="119" fillId="3" borderId="0" xfId="0" applyFont="1" applyFill="1" applyBorder="1" applyAlignment="1" applyProtection="1">
      <alignment horizontal="left" vertical="center"/>
    </xf>
    <xf numFmtId="169" fontId="42" fillId="0" borderId="0" xfId="0" applyFont="1" applyFill="1" applyBorder="1" applyAlignment="1" applyProtection="1">
      <alignment horizontal="right"/>
    </xf>
    <xf numFmtId="9" fontId="117" fillId="0" borderId="0" xfId="0" applyNumberFormat="1" applyFont="1" applyFill="1" applyBorder="1" applyProtection="1"/>
    <xf numFmtId="169" fontId="42" fillId="0" borderId="0" xfId="0" applyFont="1" applyFill="1" applyBorder="1" applyProtection="1"/>
    <xf numFmtId="169" fontId="121" fillId="0" borderId="0" xfId="0" applyFont="1" applyFill="1" applyBorder="1" applyProtection="1"/>
    <xf numFmtId="169" fontId="122" fillId="0" borderId="0" xfId="0" applyFont="1" applyFill="1" applyBorder="1" applyAlignment="1" applyProtection="1">
      <alignment horizontal="center" vertical="center"/>
    </xf>
    <xf numFmtId="169" fontId="123" fillId="0" borderId="0" xfId="0" applyFont="1" applyFill="1" applyBorder="1" applyAlignment="1" applyProtection="1">
      <alignment horizontal="center" vertical="center"/>
    </xf>
    <xf numFmtId="169" fontId="123" fillId="0" borderId="0" xfId="0" applyFont="1" applyFill="1" applyBorder="1" applyAlignment="1" applyProtection="1">
      <alignment horizontal="right" vertical="center" indent="1"/>
    </xf>
    <xf numFmtId="169" fontId="124" fillId="0" borderId="0" xfId="0" applyFont="1" applyFill="1" applyBorder="1" applyAlignment="1" applyProtection="1">
      <alignment horizontal="center"/>
    </xf>
    <xf numFmtId="169" fontId="52" fillId="0" borderId="71" xfId="0" applyNumberFormat="1" applyFont="1" applyFill="1" applyBorder="1" applyAlignment="1" applyProtection="1">
      <alignment horizontal="center" vertical="center"/>
    </xf>
    <xf numFmtId="169" fontId="23" fillId="0" borderId="21" xfId="0" applyNumberFormat="1" applyFont="1" applyFill="1" applyBorder="1" applyAlignment="1" applyProtection="1">
      <alignment vertical="center"/>
    </xf>
    <xf numFmtId="169" fontId="52" fillId="0" borderId="72" xfId="0" applyNumberFormat="1" applyFont="1" applyFill="1" applyBorder="1" applyAlignment="1" applyProtection="1">
      <alignment horizontal="center" vertical="center"/>
    </xf>
    <xf numFmtId="169" fontId="23" fillId="0" borderId="22" xfId="0" applyNumberFormat="1" applyFont="1" applyFill="1" applyBorder="1" applyAlignment="1" applyProtection="1">
      <alignment vertical="center"/>
    </xf>
    <xf numFmtId="169" fontId="52" fillId="0" borderId="73" xfId="0" applyNumberFormat="1" applyFont="1" applyFill="1" applyBorder="1" applyAlignment="1" applyProtection="1">
      <alignment horizontal="center" vertical="center"/>
    </xf>
    <xf numFmtId="169" fontId="23" fillId="0" borderId="28" xfId="0" applyNumberFormat="1" applyFont="1" applyFill="1" applyBorder="1" applyAlignment="1" applyProtection="1">
      <alignment vertical="center"/>
    </xf>
    <xf numFmtId="169" fontId="125" fillId="0" borderId="0" xfId="0" applyFont="1"/>
    <xf numFmtId="167" fontId="46" fillId="5" borderId="2" xfId="0" applyNumberFormat="1" applyFont="1" applyFill="1" applyBorder="1" applyAlignment="1" applyProtection="1">
      <alignment horizontal="right" vertical="center"/>
      <protection locked="0"/>
    </xf>
    <xf numFmtId="169" fontId="8" fillId="0" borderId="0" xfId="0" applyFont="1" applyFill="1"/>
    <xf numFmtId="3" fontId="8" fillId="0" borderId="0" xfId="0" applyNumberFormat="1" applyFont="1" applyFill="1" applyProtection="1"/>
    <xf numFmtId="3" fontId="14" fillId="0" borderId="55" xfId="1" applyNumberFormat="1" applyFont="1" applyFill="1" applyBorder="1" applyAlignment="1" applyProtection="1"/>
    <xf numFmtId="3" fontId="14" fillId="0" borderId="56" xfId="1" applyNumberFormat="1" applyFont="1" applyFill="1" applyBorder="1" applyAlignment="1" applyProtection="1"/>
    <xf numFmtId="1" fontId="126" fillId="13" borderId="2" xfId="0" applyNumberFormat="1" applyFont="1" applyFill="1" applyBorder="1" applyAlignment="1" applyProtection="1">
      <alignment vertical="center"/>
      <protection locked="0"/>
    </xf>
    <xf numFmtId="169" fontId="127" fillId="0" borderId="0" xfId="0" applyFont="1"/>
    <xf numFmtId="169" fontId="105" fillId="5" borderId="30" xfId="0" applyFont="1" applyFill="1" applyBorder="1" applyAlignment="1">
      <alignment horizontal="justify" vertical="center" wrapText="1"/>
    </xf>
    <xf numFmtId="169" fontId="105" fillId="5" borderId="31" xfId="0" applyFont="1" applyFill="1" applyBorder="1" applyAlignment="1">
      <alignment horizontal="justify" vertical="center" wrapText="1"/>
    </xf>
    <xf numFmtId="174" fontId="46" fillId="13" borderId="2" xfId="0" applyNumberFormat="1" applyFont="1" applyFill="1" applyBorder="1" applyAlignment="1" applyProtection="1">
      <alignment vertical="center"/>
      <protection locked="0"/>
    </xf>
    <xf numFmtId="3" fontId="21" fillId="0" borderId="2" xfId="0" applyNumberFormat="1" applyFont="1" applyBorder="1" applyAlignment="1" applyProtection="1">
      <alignment horizontal="center" vertical="center" wrapText="1"/>
    </xf>
    <xf numFmtId="174" fontId="21" fillId="21" borderId="2" xfId="0" applyNumberFormat="1" applyFont="1" applyFill="1" applyBorder="1" applyAlignment="1" applyProtection="1">
      <alignment horizontal="center" vertical="center" wrapText="1"/>
    </xf>
    <xf numFmtId="174" fontId="81" fillId="21" borderId="2" xfId="0" applyNumberFormat="1" applyFont="1" applyFill="1" applyBorder="1" applyAlignment="1" applyProtection="1">
      <alignment horizontal="center" vertical="center" wrapText="1"/>
    </xf>
    <xf numFmtId="167" fontId="46" fillId="13" borderId="2" xfId="0" applyNumberFormat="1" applyFont="1" applyFill="1" applyBorder="1" applyAlignment="1" applyProtection="1">
      <alignment horizontal="right" vertical="center"/>
      <protection locked="0"/>
    </xf>
    <xf numFmtId="0" fontId="110" fillId="0" borderId="0" xfId="0" applyNumberFormat="1" applyFont="1" applyAlignment="1" applyProtection="1">
      <alignment horizontal="left" vertical="center"/>
    </xf>
    <xf numFmtId="2" fontId="46" fillId="5" borderId="2" xfId="0" applyNumberFormat="1" applyFont="1" applyFill="1" applyBorder="1" applyAlignment="1" applyProtection="1">
      <alignment vertical="center"/>
      <protection locked="0"/>
    </xf>
    <xf numFmtId="4" fontId="46" fillId="0" borderId="2" xfId="0" applyNumberFormat="1" applyFont="1" applyFill="1" applyBorder="1" applyAlignment="1" applyProtection="1">
      <alignment vertical="center"/>
    </xf>
    <xf numFmtId="4" fontId="21" fillId="0" borderId="2" xfId="0" applyNumberFormat="1" applyFont="1" applyBorder="1" applyAlignment="1" applyProtection="1">
      <alignment horizontal="center" vertical="center" wrapText="1"/>
    </xf>
    <xf numFmtId="169" fontId="8" fillId="25" borderId="0" xfId="0" applyFont="1" applyFill="1"/>
    <xf numFmtId="169" fontId="14" fillId="25" borderId="0" xfId="0" applyNumberFormat="1" applyFont="1" applyFill="1"/>
    <xf numFmtId="169" fontId="14" fillId="25" borderId="0" xfId="0" applyFont="1" applyFill="1"/>
    <xf numFmtId="169" fontId="131" fillId="0" borderId="0" xfId="0" applyFont="1" applyAlignment="1">
      <alignment horizontal="center"/>
    </xf>
    <xf numFmtId="169" fontId="131" fillId="0" borderId="0" xfId="0" applyFont="1"/>
    <xf numFmtId="15" fontId="80" fillId="0" borderId="0" xfId="0" applyNumberFormat="1" applyFont="1" applyFill="1" applyBorder="1" applyAlignment="1" applyProtection="1">
      <alignment horizontal="center"/>
    </xf>
    <xf numFmtId="169" fontId="129" fillId="0" borderId="0" xfId="0" applyFont="1" applyFill="1" applyBorder="1" applyProtection="1"/>
    <xf numFmtId="167" fontId="116" fillId="13" borderId="2" xfId="0" applyNumberFormat="1" applyFont="1" applyFill="1" applyBorder="1" applyAlignment="1" applyProtection="1">
      <alignment vertical="center"/>
      <protection locked="0"/>
    </xf>
    <xf numFmtId="167" fontId="116" fillId="0" borderId="2" xfId="0" applyNumberFormat="1" applyFont="1" applyFill="1" applyBorder="1" applyAlignment="1" applyProtection="1">
      <alignment vertical="center"/>
      <protection locked="0"/>
    </xf>
    <xf numFmtId="167" fontId="46" fillId="0" borderId="2" xfId="0" applyNumberFormat="1" applyFont="1" applyFill="1" applyBorder="1" applyAlignment="1" applyProtection="1">
      <alignment vertical="center"/>
      <protection locked="0"/>
    </xf>
    <xf numFmtId="167" fontId="46" fillId="0" borderId="80" xfId="0" applyNumberFormat="1" applyFont="1" applyFill="1" applyBorder="1" applyAlignment="1" applyProtection="1">
      <alignment vertical="center"/>
      <protection locked="0"/>
    </xf>
    <xf numFmtId="169" fontId="27" fillId="5" borderId="0" xfId="0" applyFont="1" applyFill="1" applyBorder="1" applyAlignment="1" applyProtection="1">
      <alignment horizontal="right" vertical="top" wrapText="1"/>
      <protection locked="0"/>
    </xf>
    <xf numFmtId="169" fontId="23" fillId="5" borderId="0" xfId="0" applyFont="1" applyFill="1" applyBorder="1" applyAlignment="1" applyProtection="1">
      <alignment horizontal="right" vertical="top" wrapText="1"/>
      <protection locked="0"/>
    </xf>
    <xf numFmtId="43" fontId="10" fillId="16" borderId="0" xfId="4" applyFont="1" applyFill="1" applyBorder="1" applyAlignment="1">
      <alignment horizontal="center" vertical="center"/>
    </xf>
    <xf numFmtId="43" fontId="26" fillId="0" borderId="0" xfId="0" applyNumberFormat="1" applyFont="1" applyAlignment="1">
      <alignment horizontal="center"/>
    </xf>
    <xf numFmtId="169" fontId="0" fillId="0" borderId="0" xfId="0" applyAlignment="1"/>
    <xf numFmtId="169" fontId="100" fillId="0" borderId="0" xfId="0" applyFont="1" applyAlignment="1">
      <alignment horizontal="center"/>
    </xf>
    <xf numFmtId="169" fontId="101" fillId="0" borderId="0" xfId="0" applyFont="1" applyAlignment="1">
      <alignment horizontal="center"/>
    </xf>
    <xf numFmtId="169" fontId="66" fillId="5" borderId="29" xfId="0" applyFont="1" applyFill="1" applyBorder="1" applyAlignment="1">
      <alignment horizontal="center" vertical="center"/>
    </xf>
    <xf numFmtId="169" fontId="66" fillId="5" borderId="30" xfId="0" applyFont="1" applyFill="1" applyBorder="1" applyAlignment="1">
      <alignment horizontal="center" vertical="center"/>
    </xf>
    <xf numFmtId="169" fontId="66" fillId="5" borderId="31" xfId="0" applyFont="1" applyFill="1" applyBorder="1" applyAlignment="1">
      <alignment horizontal="center" vertical="center"/>
    </xf>
    <xf numFmtId="169" fontId="93" fillId="21" borderId="29" xfId="0" applyFont="1" applyFill="1" applyBorder="1" applyAlignment="1" applyProtection="1">
      <alignment horizontal="justify" vertical="center" wrapText="1"/>
      <protection locked="0"/>
    </xf>
    <xf numFmtId="169" fontId="93" fillId="21" borderId="30" xfId="0" applyFont="1" applyFill="1" applyBorder="1" applyAlignment="1" applyProtection="1">
      <alignment horizontal="justify" vertical="center" wrapText="1"/>
      <protection locked="0"/>
    </xf>
    <xf numFmtId="169" fontId="93" fillId="21" borderId="31" xfId="0" applyFont="1" applyFill="1" applyBorder="1" applyAlignment="1" applyProtection="1">
      <alignment horizontal="justify" vertical="center" wrapText="1"/>
      <protection locked="0"/>
    </xf>
    <xf numFmtId="169" fontId="93" fillId="0" borderId="29" xfId="0" applyFont="1" applyFill="1" applyBorder="1" applyAlignment="1" applyProtection="1">
      <alignment horizontal="justify" vertical="center" wrapText="1"/>
      <protection locked="0"/>
    </xf>
    <xf numFmtId="169" fontId="105" fillId="0" borderId="30" xfId="0" applyFont="1" applyFill="1" applyBorder="1" applyAlignment="1" applyProtection="1">
      <alignment horizontal="justify" vertical="center" wrapText="1"/>
      <protection locked="0"/>
    </xf>
    <xf numFmtId="169" fontId="105" fillId="0" borderId="31" xfId="0" applyFont="1" applyFill="1" applyBorder="1" applyAlignment="1" applyProtection="1">
      <alignment horizontal="justify" vertical="center" wrapText="1"/>
      <protection locked="0"/>
    </xf>
    <xf numFmtId="169" fontId="105" fillId="0" borderId="29" xfId="0" applyFont="1" applyBorder="1" applyAlignment="1" applyProtection="1">
      <alignment horizontal="justify" vertical="center" wrapText="1"/>
      <protection locked="0"/>
    </xf>
    <xf numFmtId="169" fontId="105" fillId="0" borderId="30" xfId="0" applyFont="1" applyBorder="1" applyAlignment="1" applyProtection="1">
      <alignment horizontal="justify" vertical="center" wrapText="1"/>
      <protection locked="0"/>
    </xf>
    <xf numFmtId="169" fontId="105" fillId="0" borderId="31" xfId="0" applyFont="1" applyBorder="1" applyAlignment="1" applyProtection="1">
      <alignment horizontal="justify" vertical="center" wrapText="1"/>
      <protection locked="0"/>
    </xf>
    <xf numFmtId="169" fontId="93" fillId="21" borderId="29" xfId="0" applyFont="1" applyFill="1" applyBorder="1" applyAlignment="1" applyProtection="1">
      <alignment horizontal="justify" vertical="top" wrapText="1"/>
      <protection locked="0"/>
    </xf>
    <xf numFmtId="169" fontId="93" fillId="21" borderId="30" xfId="0" applyFont="1" applyFill="1" applyBorder="1" applyAlignment="1" applyProtection="1">
      <alignment horizontal="justify" vertical="top" wrapText="1"/>
      <protection locked="0"/>
    </xf>
    <xf numFmtId="169" fontId="93" fillId="21" borderId="31" xfId="0" applyFont="1" applyFill="1" applyBorder="1" applyAlignment="1" applyProtection="1">
      <alignment horizontal="justify" vertical="top" wrapText="1"/>
      <protection locked="0"/>
    </xf>
    <xf numFmtId="169" fontId="105" fillId="21" borderId="30" xfId="0" applyFont="1" applyFill="1" applyBorder="1" applyAlignment="1" applyProtection="1">
      <alignment horizontal="justify" vertical="center" wrapText="1"/>
      <protection locked="0"/>
    </xf>
    <xf numFmtId="169" fontId="105" fillId="21" borderId="31" xfId="0" applyFont="1" applyFill="1" applyBorder="1" applyAlignment="1" applyProtection="1">
      <alignment horizontal="justify" vertical="center" wrapText="1"/>
      <protection locked="0"/>
    </xf>
    <xf numFmtId="169" fontId="130" fillId="21" borderId="29" xfId="0" applyFont="1" applyFill="1" applyBorder="1" applyAlignment="1" applyProtection="1">
      <alignment horizontal="justify" vertical="center" wrapText="1"/>
      <protection locked="0"/>
    </xf>
    <xf numFmtId="169" fontId="130" fillId="21" borderId="30" xfId="0" applyFont="1" applyFill="1" applyBorder="1" applyAlignment="1" applyProtection="1">
      <alignment horizontal="justify" vertical="center" wrapText="1"/>
      <protection locked="0"/>
    </xf>
    <xf numFmtId="169" fontId="130" fillId="21" borderId="31" xfId="0" applyFont="1" applyFill="1" applyBorder="1" applyAlignment="1" applyProtection="1">
      <alignment horizontal="justify" vertical="center" wrapText="1"/>
      <protection locked="0"/>
    </xf>
    <xf numFmtId="169" fontId="105" fillId="5" borderId="29" xfId="0" applyFont="1" applyFill="1" applyBorder="1" applyAlignment="1">
      <alignment horizontal="justify" vertical="center" wrapText="1"/>
    </xf>
    <xf numFmtId="169" fontId="105" fillId="5" borderId="30" xfId="0" applyFont="1" applyFill="1" applyBorder="1" applyAlignment="1">
      <alignment horizontal="justify" vertical="center" wrapText="1"/>
    </xf>
    <xf numFmtId="169" fontId="105" fillId="5" borderId="31" xfId="0" applyFont="1" applyFill="1" applyBorder="1" applyAlignment="1">
      <alignment horizontal="justify" vertical="center" wrapText="1"/>
    </xf>
    <xf numFmtId="169" fontId="66" fillId="5" borderId="29" xfId="0" applyFont="1" applyFill="1" applyBorder="1" applyAlignment="1">
      <alignment horizontal="center"/>
    </xf>
    <xf numFmtId="169" fontId="66" fillId="5" borderId="30" xfId="0" applyFont="1" applyFill="1" applyBorder="1" applyAlignment="1">
      <alignment horizontal="center"/>
    </xf>
    <xf numFmtId="169" fontId="66" fillId="5" borderId="31" xfId="0" applyFont="1" applyFill="1" applyBorder="1" applyAlignment="1">
      <alignment horizontal="center"/>
    </xf>
    <xf numFmtId="169" fontId="0" fillId="0" borderId="29" xfId="0" applyBorder="1" applyAlignment="1">
      <alignment horizontal="center" vertical="center" wrapText="1"/>
    </xf>
    <xf numFmtId="169" fontId="0" fillId="0" borderId="30" xfId="0" applyBorder="1" applyAlignment="1">
      <alignment horizontal="center" vertical="center" wrapText="1"/>
    </xf>
    <xf numFmtId="169" fontId="0" fillId="0" borderId="31" xfId="0" applyBorder="1" applyAlignment="1">
      <alignment horizontal="center" vertical="center" wrapText="1"/>
    </xf>
    <xf numFmtId="169" fontId="59" fillId="0" borderId="0" xfId="0" applyFont="1" applyAlignment="1">
      <alignment horizontal="center"/>
    </xf>
    <xf numFmtId="169" fontId="67" fillId="5" borderId="29" xfId="0" applyFont="1" applyFill="1" applyBorder="1" applyAlignment="1">
      <alignment horizontal="center" vertical="center" wrapText="1"/>
    </xf>
    <xf numFmtId="169" fontId="67" fillId="5" borderId="30" xfId="0" applyFont="1" applyFill="1" applyBorder="1" applyAlignment="1">
      <alignment horizontal="center" vertical="center"/>
    </xf>
    <xf numFmtId="169" fontId="67" fillId="5" borderId="31" xfId="0" applyFont="1" applyFill="1" applyBorder="1" applyAlignment="1">
      <alignment horizontal="center" vertical="center"/>
    </xf>
    <xf numFmtId="169" fontId="17" fillId="0" borderId="29" xfId="0" applyFont="1" applyBorder="1" applyAlignment="1">
      <alignment horizontal="center" vertical="center" wrapText="1"/>
    </xf>
    <xf numFmtId="169" fontId="17" fillId="0" borderId="30" xfId="0" applyFont="1" applyBorder="1" applyAlignment="1">
      <alignment horizontal="center" vertical="center" wrapText="1"/>
    </xf>
    <xf numFmtId="169" fontId="17" fillId="0" borderId="31" xfId="0" applyFont="1" applyBorder="1" applyAlignment="1">
      <alignment horizontal="center" vertical="center" wrapText="1"/>
    </xf>
    <xf numFmtId="169" fontId="66" fillId="5" borderId="29" xfId="0" applyFont="1" applyFill="1" applyBorder="1" applyAlignment="1">
      <alignment horizontal="center" wrapText="1"/>
    </xf>
    <xf numFmtId="169" fontId="66" fillId="5" borderId="30" xfId="0" applyFont="1" applyFill="1" applyBorder="1" applyAlignment="1">
      <alignment horizontal="center" wrapText="1"/>
    </xf>
    <xf numFmtId="169" fontId="66" fillId="5" borderId="31" xfId="0" applyFont="1" applyFill="1" applyBorder="1" applyAlignment="1">
      <alignment horizontal="center" wrapText="1"/>
    </xf>
    <xf numFmtId="169" fontId="45" fillId="0" borderId="112" xfId="0" applyFont="1" applyBorder="1" applyAlignment="1">
      <alignment horizontal="justify" wrapText="1"/>
    </xf>
    <xf numFmtId="169" fontId="45" fillId="0" borderId="111" xfId="0" applyFont="1" applyBorder="1" applyAlignment="1">
      <alignment horizontal="justify" wrapText="1"/>
    </xf>
    <xf numFmtId="169" fontId="45" fillId="0" borderId="113" xfId="0" applyFont="1" applyBorder="1" applyAlignment="1">
      <alignment horizontal="justify" wrapText="1"/>
    </xf>
    <xf numFmtId="169" fontId="45" fillId="0" borderId="29" xfId="0" applyFont="1" applyBorder="1" applyAlignment="1">
      <alignment horizontal="left" vertical="center" wrapText="1"/>
    </xf>
    <xf numFmtId="169" fontId="45" fillId="0" borderId="30" xfId="0" applyFont="1" applyBorder="1" applyAlignment="1">
      <alignment horizontal="left" vertical="center" wrapText="1"/>
    </xf>
    <xf numFmtId="169" fontId="45" fillId="0" borderId="31" xfId="0" applyFont="1" applyBorder="1" applyAlignment="1">
      <alignment horizontal="left" vertical="center" wrapText="1"/>
    </xf>
    <xf numFmtId="43" fontId="61" fillId="0" borderId="29" xfId="0" applyNumberFormat="1" applyFont="1" applyBorder="1" applyAlignment="1">
      <alignment horizontal="justify" vertical="center" wrapText="1"/>
    </xf>
    <xf numFmtId="169" fontId="61" fillId="0" borderId="30" xfId="0" applyFont="1" applyBorder="1" applyAlignment="1">
      <alignment horizontal="justify" vertical="center" wrapText="1"/>
    </xf>
    <xf numFmtId="169" fontId="61" fillId="0" borderId="31" xfId="0" applyFont="1" applyBorder="1" applyAlignment="1">
      <alignment horizontal="justify" vertical="center" wrapText="1"/>
    </xf>
    <xf numFmtId="169" fontId="45" fillId="0" borderId="29" xfId="0" applyFont="1" applyBorder="1" applyAlignment="1">
      <alignment horizontal="justify" vertical="center" wrapText="1"/>
    </xf>
    <xf numFmtId="169" fontId="62" fillId="0" borderId="30" xfId="0" applyFont="1" applyBorder="1" applyAlignment="1">
      <alignment horizontal="justify" vertical="center" wrapText="1"/>
    </xf>
    <xf numFmtId="169" fontId="62" fillId="0" borderId="31" xfId="0" applyFont="1" applyBorder="1" applyAlignment="1">
      <alignment horizontal="justify" vertical="center" wrapText="1"/>
    </xf>
    <xf numFmtId="169" fontId="93" fillId="0" borderId="114" xfId="0" applyFont="1" applyBorder="1" applyAlignment="1">
      <alignment horizontal="justify" vertical="center" wrapText="1"/>
    </xf>
    <xf numFmtId="169" fontId="93" fillId="0" borderId="75" xfId="0" applyFont="1" applyBorder="1" applyAlignment="1">
      <alignment horizontal="justify" vertical="center" wrapText="1"/>
    </xf>
    <xf numFmtId="169" fontId="93" fillId="0" borderId="77" xfId="0" applyFont="1" applyBorder="1" applyAlignment="1">
      <alignment horizontal="justify" vertical="center" wrapText="1"/>
    </xf>
    <xf numFmtId="169" fontId="93" fillId="0" borderId="29" xfId="0" applyFont="1" applyBorder="1" applyAlignment="1">
      <alignment horizontal="left" vertical="center" wrapText="1"/>
    </xf>
    <xf numFmtId="169" fontId="90" fillId="0" borderId="30" xfId="0" applyFont="1" applyBorder="1" applyAlignment="1">
      <alignment horizontal="left" vertical="center" wrapText="1"/>
    </xf>
    <xf numFmtId="169" fontId="90" fillId="0" borderId="31" xfId="0" applyFont="1" applyBorder="1" applyAlignment="1">
      <alignment horizontal="left" vertical="center" wrapText="1"/>
    </xf>
    <xf numFmtId="169" fontId="93" fillId="0" borderId="29" xfId="0" applyFont="1" applyBorder="1" applyAlignment="1">
      <alignment horizontal="justify" vertical="center" wrapText="1"/>
    </xf>
    <xf numFmtId="169" fontId="93" fillId="0" borderId="30" xfId="0" applyFont="1" applyBorder="1" applyAlignment="1">
      <alignment horizontal="justify" vertical="center" wrapText="1"/>
    </xf>
    <xf numFmtId="169" fontId="93" fillId="0" borderId="31" xfId="0" applyFont="1" applyBorder="1" applyAlignment="1">
      <alignment horizontal="justify" vertical="center" wrapText="1"/>
    </xf>
    <xf numFmtId="43" fontId="61" fillId="0" borderId="112" xfId="0" applyNumberFormat="1" applyFont="1" applyBorder="1" applyAlignment="1">
      <alignment horizontal="left" vertical="center" wrapText="1"/>
    </xf>
    <xf numFmtId="169" fontId="61" fillId="0" borderId="111" xfId="0" applyFont="1" applyBorder="1" applyAlignment="1">
      <alignment horizontal="left" vertical="center" wrapText="1"/>
    </xf>
    <xf numFmtId="169" fontId="61" fillId="0" borderId="113" xfId="0" applyFont="1" applyBorder="1" applyAlignment="1">
      <alignment horizontal="left" vertical="center" wrapText="1"/>
    </xf>
    <xf numFmtId="169" fontId="61" fillId="0" borderId="114" xfId="0" applyFont="1" applyBorder="1" applyAlignment="1">
      <alignment horizontal="left" vertical="center" wrapText="1"/>
    </xf>
    <xf numFmtId="169" fontId="61" fillId="0" borderId="75" xfId="0" applyFont="1" applyBorder="1" applyAlignment="1">
      <alignment horizontal="left" vertical="center" wrapText="1"/>
    </xf>
    <xf numFmtId="169" fontId="61" fillId="0" borderId="77" xfId="0" applyFont="1" applyBorder="1" applyAlignment="1">
      <alignment horizontal="left" vertical="center" wrapText="1"/>
    </xf>
    <xf numFmtId="169" fontId="62" fillId="0" borderId="114" xfId="0" applyFont="1" applyBorder="1" applyAlignment="1">
      <alignment horizontal="justify" vertical="center" wrapText="1"/>
    </xf>
    <xf numFmtId="169" fontId="62" fillId="0" borderId="75" xfId="0" applyFont="1" applyBorder="1" applyAlignment="1">
      <alignment horizontal="justify" vertical="center" wrapText="1"/>
    </xf>
    <xf numFmtId="169" fontId="62" fillId="0" borderId="77" xfId="0" applyFont="1" applyBorder="1" applyAlignment="1">
      <alignment horizontal="justify" vertical="center" wrapText="1"/>
    </xf>
    <xf numFmtId="169" fontId="45" fillId="0" borderId="112" xfId="0" applyFont="1" applyBorder="1" applyAlignment="1">
      <alignment horizontal="left" vertical="center" wrapText="1"/>
    </xf>
    <xf numFmtId="169" fontId="45" fillId="0" borderId="111" xfId="0" applyFont="1" applyBorder="1" applyAlignment="1">
      <alignment horizontal="left" vertical="center" wrapText="1"/>
    </xf>
    <xf numFmtId="169" fontId="45" fillId="0" borderId="113" xfId="0" applyFont="1" applyBorder="1" applyAlignment="1">
      <alignment horizontal="left" vertical="center" wrapText="1"/>
    </xf>
    <xf numFmtId="169" fontId="45" fillId="0" borderId="114" xfId="0" applyFont="1" applyBorder="1" applyAlignment="1">
      <alignment horizontal="left" vertical="center" wrapText="1"/>
    </xf>
    <xf numFmtId="169" fontId="45" fillId="0" borderId="75" xfId="0" applyFont="1" applyBorder="1" applyAlignment="1">
      <alignment horizontal="left" vertical="center" wrapText="1"/>
    </xf>
    <xf numFmtId="169" fontId="45" fillId="0" borderId="77" xfId="0" applyFont="1" applyBorder="1" applyAlignment="1">
      <alignment horizontal="left" vertical="center" wrapText="1"/>
    </xf>
    <xf numFmtId="169" fontId="45" fillId="0" borderId="30" xfId="0" applyFont="1" applyBorder="1" applyAlignment="1">
      <alignment horizontal="justify" vertical="center" wrapText="1"/>
    </xf>
    <xf numFmtId="169" fontId="45" fillId="0" borderId="31" xfId="0" applyFont="1" applyBorder="1" applyAlignment="1">
      <alignment horizontal="justify" vertical="center" wrapText="1"/>
    </xf>
    <xf numFmtId="169" fontId="0" fillId="0" borderId="0" xfId="0" applyBorder="1" applyAlignment="1">
      <alignment horizontal="center" wrapText="1"/>
    </xf>
    <xf numFmtId="169" fontId="60" fillId="6" borderId="29" xfId="0" applyFont="1" applyFill="1" applyBorder="1" applyAlignment="1">
      <alignment horizontal="center"/>
    </xf>
    <xf numFmtId="169" fontId="60" fillId="6" borderId="30" xfId="0" applyFont="1" applyFill="1" applyBorder="1" applyAlignment="1">
      <alignment horizontal="center"/>
    </xf>
    <xf numFmtId="169" fontId="60" fillId="6" borderId="31" xfId="0" applyFont="1" applyFill="1" applyBorder="1" applyAlignment="1">
      <alignment horizontal="center"/>
    </xf>
    <xf numFmtId="169" fontId="0" fillId="0" borderId="0" xfId="0" applyBorder="1" applyAlignment="1">
      <alignment horizontal="center"/>
    </xf>
    <xf numFmtId="169" fontId="62" fillId="0" borderId="29" xfId="0" applyFont="1" applyBorder="1" applyAlignment="1">
      <alignment horizontal="justify" vertical="center" wrapText="1"/>
    </xf>
    <xf numFmtId="43" fontId="10" fillId="17" borderId="0" xfId="12" applyFont="1" applyFill="1" applyAlignment="1" applyProtection="1">
      <alignment horizontal="center" vertical="center"/>
    </xf>
    <xf numFmtId="169" fontId="60" fillId="9" borderId="29" xfId="0" applyFont="1" applyFill="1" applyBorder="1" applyAlignment="1">
      <alignment horizontal="center"/>
    </xf>
    <xf numFmtId="169" fontId="60" fillId="9" borderId="30" xfId="0" applyFont="1" applyFill="1" applyBorder="1" applyAlignment="1">
      <alignment horizontal="center"/>
    </xf>
    <xf numFmtId="169" fontId="60" fillId="9" borderId="31" xfId="0" applyFont="1" applyFill="1" applyBorder="1" applyAlignment="1">
      <alignment horizontal="center"/>
    </xf>
    <xf numFmtId="169" fontId="61" fillId="0" borderId="30" xfId="0" applyFont="1" applyBorder="1" applyAlignment="1">
      <alignment horizontal="justify" vertical="center"/>
    </xf>
    <xf numFmtId="169" fontId="61" fillId="0" borderId="31" xfId="0" applyFont="1" applyBorder="1" applyAlignment="1">
      <alignment horizontal="justify" vertical="center"/>
    </xf>
    <xf numFmtId="9" fontId="62" fillId="0" borderId="29" xfId="19" applyFont="1" applyBorder="1" applyAlignment="1">
      <alignment horizontal="justify" vertical="center" wrapText="1"/>
    </xf>
    <xf numFmtId="9" fontId="62" fillId="0" borderId="30" xfId="19" applyFont="1" applyBorder="1" applyAlignment="1">
      <alignment horizontal="justify" vertical="center" wrapText="1"/>
    </xf>
    <xf numFmtId="9" fontId="62" fillId="0" borderId="31" xfId="19" applyFont="1" applyBorder="1" applyAlignment="1">
      <alignment horizontal="justify" vertical="center" wrapText="1"/>
    </xf>
    <xf numFmtId="169" fontId="0" fillId="0" borderId="111" xfId="0" applyBorder="1" applyAlignment="1">
      <alignment horizontal="center" wrapText="1"/>
    </xf>
    <xf numFmtId="43" fontId="61" fillId="0" borderId="29" xfId="0" applyNumberFormat="1" applyFont="1" applyBorder="1" applyAlignment="1">
      <alignment horizontal="left" vertical="center" wrapText="1"/>
    </xf>
    <xf numFmtId="169" fontId="61" fillId="0" borderId="30" xfId="0" applyFont="1" applyBorder="1" applyAlignment="1">
      <alignment horizontal="left" vertical="center" wrapText="1"/>
    </xf>
    <xf numFmtId="169" fontId="61" fillId="0" borderId="31" xfId="0" applyFont="1" applyBorder="1" applyAlignment="1">
      <alignment horizontal="left" vertical="center" wrapText="1"/>
    </xf>
    <xf numFmtId="169" fontId="61" fillId="0" borderId="30" xfId="0" applyFont="1" applyBorder="1" applyAlignment="1">
      <alignment horizontal="left" vertical="center"/>
    </xf>
    <xf numFmtId="169" fontId="61" fillId="0" borderId="31" xfId="0" applyFont="1" applyBorder="1" applyAlignment="1">
      <alignment horizontal="left" vertical="center"/>
    </xf>
    <xf numFmtId="169" fontId="0" fillId="0" borderId="111" xfId="0" applyBorder="1" applyAlignment="1">
      <alignment horizontal="center"/>
    </xf>
    <xf numFmtId="169" fontId="46" fillId="5" borderId="31" xfId="0" applyNumberFormat="1" applyFont="1" applyFill="1" applyBorder="1" applyAlignment="1" applyProtection="1">
      <alignment horizontal="center" vertical="center" wrapText="1"/>
      <protection locked="0"/>
    </xf>
    <xf numFmtId="49" fontId="46" fillId="7" borderId="31" xfId="0" applyNumberFormat="1" applyFont="1" applyFill="1" applyBorder="1" applyAlignment="1" applyProtection="1">
      <alignment horizontal="center" vertical="center" wrapText="1"/>
      <protection locked="0"/>
    </xf>
    <xf numFmtId="49" fontId="46" fillId="13" borderId="118" xfId="0" applyNumberFormat="1" applyFont="1" applyFill="1" applyBorder="1" applyAlignment="1" applyProtection="1">
      <alignment horizontal="center" vertical="center" wrapText="1"/>
      <protection locked="0"/>
    </xf>
    <xf numFmtId="49" fontId="46" fillId="13" borderId="119" xfId="0" applyNumberFormat="1" applyFont="1" applyFill="1" applyBorder="1" applyAlignment="1" applyProtection="1">
      <alignment horizontal="center" vertical="center" wrapText="1"/>
      <protection locked="0"/>
    </xf>
    <xf numFmtId="49" fontId="46" fillId="5" borderId="137" xfId="0" applyNumberFormat="1" applyFont="1" applyFill="1" applyBorder="1" applyAlignment="1" applyProtection="1">
      <alignment horizontal="justify" vertical="center" wrapText="1"/>
      <protection locked="0"/>
    </xf>
    <xf numFmtId="169" fontId="108" fillId="0" borderId="111" xfId="0" applyFont="1" applyBorder="1" applyAlignment="1">
      <alignment horizontal="justify" vertical="center" wrapText="1"/>
    </xf>
    <xf numFmtId="169" fontId="108" fillId="0" borderId="138" xfId="0" applyFont="1" applyBorder="1" applyAlignment="1">
      <alignment horizontal="justify" vertical="center" wrapText="1"/>
    </xf>
    <xf numFmtId="169" fontId="108" fillId="0" borderId="74" xfId="0" applyFont="1" applyBorder="1" applyAlignment="1">
      <alignment horizontal="justify" vertical="center" wrapText="1"/>
    </xf>
    <xf numFmtId="169" fontId="108" fillId="0" borderId="75" xfId="0" applyFont="1" applyBorder="1" applyAlignment="1">
      <alignment horizontal="justify" vertical="center" wrapText="1"/>
    </xf>
    <xf numFmtId="169" fontId="108" fillId="0" borderId="79" xfId="0" applyFont="1" applyBorder="1" applyAlignment="1">
      <alignment horizontal="justify" vertical="center" wrapText="1"/>
    </xf>
    <xf numFmtId="169" fontId="46" fillId="5" borderId="123" xfId="0" applyNumberFormat="1" applyFont="1" applyFill="1" applyBorder="1" applyAlignment="1" applyProtection="1">
      <alignment horizontal="center" vertical="center" wrapText="1"/>
      <protection locked="0"/>
    </xf>
    <xf numFmtId="49" fontId="46" fillId="7" borderId="227" xfId="0" applyNumberFormat="1" applyFont="1" applyFill="1" applyBorder="1" applyAlignment="1" applyProtection="1">
      <alignment horizontal="center" vertical="center" wrapText="1"/>
      <protection locked="0"/>
    </xf>
    <xf numFmtId="49" fontId="46" fillId="7" borderId="229" xfId="0" applyNumberFormat="1" applyFont="1" applyFill="1" applyBorder="1" applyAlignment="1" applyProtection="1">
      <alignment horizontal="center" vertical="center" wrapText="1"/>
      <protection locked="0"/>
    </xf>
    <xf numFmtId="0" fontId="46" fillId="7" borderId="123" xfId="0" applyNumberFormat="1" applyFont="1" applyFill="1" applyBorder="1" applyAlignment="1" applyProtection="1">
      <alignment horizontal="center" vertical="center" wrapText="1"/>
      <protection locked="0"/>
    </xf>
    <xf numFmtId="0" fontId="102" fillId="7" borderId="123" xfId="0" applyNumberFormat="1" applyFont="1" applyFill="1" applyBorder="1" applyAlignment="1" applyProtection="1">
      <alignment horizontal="center" vertical="center" wrapText="1"/>
      <protection locked="0"/>
    </xf>
    <xf numFmtId="169" fontId="0" fillId="2" borderId="142" xfId="0" applyFill="1" applyBorder="1" applyAlignment="1" applyProtection="1">
      <alignment horizontal="center" vertical="center" textRotation="90"/>
    </xf>
    <xf numFmtId="0" fontId="46" fillId="13" borderId="89" xfId="0" applyNumberFormat="1" applyFont="1" applyFill="1" applyBorder="1" applyAlignment="1" applyProtection="1">
      <alignment horizontal="center" vertical="center" wrapText="1"/>
      <protection locked="0"/>
    </xf>
    <xf numFmtId="0" fontId="102" fillId="13" borderId="76" xfId="0" applyNumberFormat="1" applyFont="1" applyFill="1" applyBorder="1" applyAlignment="1" applyProtection="1">
      <alignment horizontal="center" vertical="center" wrapText="1"/>
      <protection locked="0"/>
    </xf>
    <xf numFmtId="43" fontId="43" fillId="17" borderId="0" xfId="4"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69" fontId="86" fillId="0" borderId="0" xfId="0" applyFont="1" applyAlignment="1" applyProtection="1">
      <alignment horizontal="right"/>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49" fontId="0" fillId="0" borderId="31" xfId="0" applyNumberFormat="1" applyBorder="1" applyAlignment="1" applyProtection="1">
      <alignment horizontal="justify" wrapText="1"/>
      <protection locked="0"/>
    </xf>
    <xf numFmtId="169" fontId="115" fillId="0" borderId="88" xfId="0" applyFont="1" applyFill="1" applyBorder="1" applyAlignment="1" applyProtection="1">
      <alignment horizontal="right" wrapText="1"/>
    </xf>
    <xf numFmtId="169" fontId="115" fillId="0" borderId="131" xfId="0" applyFont="1" applyFill="1" applyBorder="1" applyAlignment="1" applyProtection="1">
      <alignment horizontal="right" wrapText="1"/>
    </xf>
    <xf numFmtId="170" fontId="98" fillId="0" borderId="2" xfId="20" applyNumberFormat="1" applyFont="1" applyFill="1" applyBorder="1" applyAlignment="1" applyProtection="1">
      <alignment horizontal="center"/>
      <protection locked="0"/>
    </xf>
    <xf numFmtId="170" fontId="106" fillId="0" borderId="2" xfId="20" applyNumberFormat="1" applyFill="1" applyBorder="1" applyAlignment="1" applyProtection="1">
      <alignment horizontal="center"/>
      <protection locked="0"/>
    </xf>
    <xf numFmtId="169" fontId="86" fillId="0" borderId="88" xfId="0" applyFont="1" applyBorder="1" applyAlignment="1" applyProtection="1">
      <alignment horizontal="right"/>
    </xf>
    <xf numFmtId="171" fontId="108" fillId="0" borderId="29" xfId="0" applyNumberFormat="1" applyFont="1" applyFill="1" applyBorder="1" applyAlignment="1" applyProtection="1">
      <alignment horizontal="center"/>
      <protection locked="0"/>
    </xf>
    <xf numFmtId="171" fontId="108" fillId="0" borderId="31" xfId="0" applyNumberFormat="1" applyFont="1" applyFill="1" applyBorder="1" applyAlignment="1" applyProtection="1">
      <alignment horizontal="center"/>
      <protection locked="0"/>
    </xf>
    <xf numFmtId="49" fontId="112" fillId="0" borderId="2" xfId="0" applyNumberFormat="1" applyFont="1" applyBorder="1" applyAlignment="1" applyProtection="1">
      <alignment horizontal="center"/>
      <protection locked="0"/>
    </xf>
    <xf numFmtId="49" fontId="0" fillId="0" borderId="30" xfId="0" applyNumberFormat="1" applyBorder="1" applyAlignment="1" applyProtection="1">
      <alignment horizontal="center"/>
      <protection locked="0"/>
    </xf>
    <xf numFmtId="169" fontId="86" fillId="0" borderId="0" xfId="0" applyFont="1" applyBorder="1" applyAlignment="1" applyProtection="1">
      <alignment horizontal="right"/>
    </xf>
    <xf numFmtId="169" fontId="86" fillId="0" borderId="131" xfId="0" applyFont="1" applyBorder="1" applyAlignment="1" applyProtection="1">
      <alignment horizontal="right"/>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69" fontId="52" fillId="0" borderId="124" xfId="0" applyFont="1" applyFill="1" applyBorder="1" applyAlignment="1" applyProtection="1">
      <alignment horizontal="center" vertical="center"/>
    </xf>
    <xf numFmtId="169" fontId="52" fillId="0" borderId="125" xfId="0" applyFont="1" applyFill="1" applyBorder="1" applyAlignment="1" applyProtection="1">
      <alignment horizontal="center" vertical="center"/>
    </xf>
    <xf numFmtId="169" fontId="52" fillId="0" borderId="126" xfId="0" applyFont="1" applyFill="1" applyBorder="1" applyAlignment="1" applyProtection="1">
      <alignment horizontal="center" vertical="center"/>
    </xf>
    <xf numFmtId="169" fontId="0" fillId="0" borderId="128" xfId="0" applyFill="1" applyBorder="1" applyAlignment="1" applyProtection="1">
      <alignment horizontal="center" vertical="center"/>
      <protection locked="0"/>
    </xf>
    <xf numFmtId="169" fontId="0" fillId="0" borderId="129" xfId="0" applyFill="1" applyBorder="1" applyAlignment="1" applyProtection="1">
      <alignment horizontal="center" vertical="center"/>
      <protection locked="0"/>
    </xf>
    <xf numFmtId="169" fontId="0" fillId="0" borderId="130" xfId="0" applyFill="1" applyBorder="1" applyAlignment="1" applyProtection="1">
      <alignment horizontal="center" vertical="center"/>
      <protection locked="0"/>
    </xf>
    <xf numFmtId="49" fontId="46" fillId="7" borderId="118" xfId="0" applyNumberFormat="1" applyFont="1" applyFill="1" applyBorder="1" applyAlignment="1" applyProtection="1">
      <alignment horizontal="center" vertical="center" wrapText="1"/>
      <protection locked="0"/>
    </xf>
    <xf numFmtId="49" fontId="46" fillId="7" borderId="119" xfId="0" applyNumberFormat="1" applyFont="1" applyFill="1" applyBorder="1" applyAlignment="1" applyProtection="1">
      <alignment horizontal="center" vertical="center" wrapText="1"/>
      <protection locked="0"/>
    </xf>
    <xf numFmtId="49" fontId="46" fillId="5" borderId="118" xfId="0" applyNumberFormat="1" applyFont="1" applyFill="1" applyBorder="1" applyAlignment="1" applyProtection="1">
      <alignment horizontal="center" vertical="center" wrapText="1"/>
      <protection locked="0"/>
    </xf>
    <xf numFmtId="49" fontId="46" fillId="5" borderId="119" xfId="0" applyNumberFormat="1" applyFont="1" applyFill="1" applyBorder="1" applyAlignment="1" applyProtection="1">
      <alignment horizontal="center" vertical="center" wrapText="1"/>
      <protection locked="0"/>
    </xf>
    <xf numFmtId="49" fontId="46" fillId="23" borderId="137" xfId="0" applyNumberFormat="1" applyFont="1" applyFill="1" applyBorder="1" applyAlignment="1" applyProtection="1">
      <alignment horizontal="justify" vertical="center" wrapText="1"/>
      <protection locked="0"/>
    </xf>
    <xf numFmtId="0" fontId="46" fillId="5" borderId="89" xfId="0" applyNumberFormat="1" applyFont="1" applyFill="1" applyBorder="1" applyAlignment="1" applyProtection="1">
      <alignment horizontal="center" vertical="center" wrapText="1"/>
      <protection locked="0"/>
    </xf>
    <xf numFmtId="0" fontId="102" fillId="5" borderId="76" xfId="0" applyNumberFormat="1" applyFont="1" applyFill="1" applyBorder="1" applyAlignment="1" applyProtection="1">
      <alignment horizontal="center" vertical="center" wrapText="1"/>
      <protection locked="0"/>
    </xf>
    <xf numFmtId="49" fontId="7" fillId="0" borderId="16" xfId="0" applyNumberFormat="1" applyFont="1" applyBorder="1" applyAlignment="1" applyProtection="1">
      <alignment horizontal="center"/>
    </xf>
    <xf numFmtId="49" fontId="7" fillId="0" borderId="33" xfId="0" applyNumberFormat="1" applyFont="1" applyBorder="1" applyAlignment="1" applyProtection="1">
      <alignment horizontal="center"/>
    </xf>
    <xf numFmtId="169" fontId="0" fillId="0" borderId="132" xfId="0" applyBorder="1" applyAlignment="1" applyProtection="1">
      <alignment horizontal="center"/>
    </xf>
    <xf numFmtId="169" fontId="0" fillId="0" borderId="13" xfId="0" applyBorder="1" applyAlignment="1" applyProtection="1">
      <alignment horizontal="center"/>
    </xf>
    <xf numFmtId="169" fontId="57" fillId="0" borderId="133" xfId="0" applyFont="1" applyBorder="1" applyAlignment="1" applyProtection="1">
      <alignment horizontal="right"/>
    </xf>
    <xf numFmtId="169" fontId="94" fillId="0" borderId="133" xfId="0" applyFont="1" applyBorder="1" applyAlignment="1"/>
    <xf numFmtId="43" fontId="7" fillId="0" borderId="134" xfId="0" applyNumberFormat="1" applyFont="1" applyBorder="1" applyAlignment="1" applyProtection="1">
      <alignment horizontal="center"/>
    </xf>
    <xf numFmtId="169" fontId="7" fillId="0" borderId="135" xfId="0" applyFont="1" applyBorder="1" applyAlignment="1" applyProtection="1">
      <alignment horizontal="center"/>
    </xf>
    <xf numFmtId="169" fontId="7" fillId="0" borderId="136" xfId="0" applyFont="1" applyBorder="1" applyAlignment="1" applyProtection="1">
      <alignment horizontal="center"/>
    </xf>
    <xf numFmtId="169" fontId="19" fillId="0" borderId="139" xfId="0" applyFont="1" applyBorder="1" applyAlignment="1" applyProtection="1">
      <alignment horizontal="center" wrapText="1"/>
    </xf>
    <xf numFmtId="169" fontId="19" fillId="0" borderId="140" xfId="0" applyFont="1" applyBorder="1" applyAlignment="1" applyProtection="1">
      <alignment horizontal="center" wrapText="1"/>
    </xf>
    <xf numFmtId="169" fontId="19" fillId="0" borderId="141" xfId="0" applyFont="1" applyBorder="1" applyAlignment="1" applyProtection="1">
      <alignment horizontal="center" wrapText="1"/>
    </xf>
    <xf numFmtId="169" fontId="0" fillId="5" borderId="29" xfId="0" applyFill="1" applyBorder="1" applyAlignment="1" applyProtection="1">
      <alignment horizontal="center"/>
    </xf>
    <xf numFmtId="169" fontId="0" fillId="5" borderId="31" xfId="0" applyFill="1" applyBorder="1" applyAlignment="1" applyProtection="1">
      <alignment horizontal="center"/>
    </xf>
    <xf numFmtId="43" fontId="8" fillId="19"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169" fontId="46" fillId="11" borderId="31" xfId="0" applyFont="1" applyFill="1" applyBorder="1" applyAlignment="1" applyProtection="1">
      <alignment horizontal="center" vertical="center" wrapText="1"/>
    </xf>
    <xf numFmtId="0" fontId="46" fillId="0" borderId="123" xfId="0" applyNumberFormat="1" applyFont="1" applyFill="1" applyBorder="1" applyAlignment="1" applyProtection="1">
      <alignment horizontal="center" vertical="center" wrapText="1"/>
    </xf>
    <xf numFmtId="0" fontId="46" fillId="0" borderId="127" xfId="0" applyNumberFormat="1" applyFont="1" applyFill="1" applyBorder="1" applyAlignment="1" applyProtection="1">
      <alignment horizontal="center" vertical="center" wrapText="1"/>
    </xf>
    <xf numFmtId="169" fontId="46" fillId="0" borderId="231" xfId="0" applyFont="1" applyFill="1" applyBorder="1" applyAlignment="1" applyProtection="1">
      <alignment horizontal="center" vertical="center" wrapText="1"/>
    </xf>
    <xf numFmtId="169" fontId="46" fillId="0" borderId="230" xfId="0" applyFont="1" applyFill="1" applyBorder="1" applyAlignment="1" applyProtection="1">
      <alignment horizontal="center" vertical="center" wrapText="1"/>
    </xf>
    <xf numFmtId="169" fontId="46" fillId="0" borderId="31" xfId="0" applyFont="1" applyFill="1" applyBorder="1" applyAlignment="1" applyProtection="1">
      <alignment horizontal="center" vertical="center" wrapText="1"/>
    </xf>
    <xf numFmtId="49" fontId="46" fillId="0" borderId="137" xfId="0" applyNumberFormat="1" applyFont="1" applyFill="1" applyBorder="1" applyAlignment="1" applyProtection="1">
      <alignment horizontal="justify" vertical="center" wrapText="1"/>
      <protection locked="0"/>
    </xf>
    <xf numFmtId="169" fontId="108" fillId="0" borderId="111" xfId="0" applyFont="1" applyFill="1" applyBorder="1" applyAlignment="1">
      <alignment horizontal="justify" vertical="center" wrapText="1"/>
    </xf>
    <xf numFmtId="169" fontId="108" fillId="0" borderId="138" xfId="0" applyFont="1" applyFill="1" applyBorder="1" applyAlignment="1">
      <alignment horizontal="justify" vertical="center" wrapText="1"/>
    </xf>
    <xf numFmtId="169" fontId="108" fillId="0" borderId="74" xfId="0" applyFont="1" applyFill="1" applyBorder="1" applyAlignment="1">
      <alignment horizontal="justify" vertical="center" wrapText="1"/>
    </xf>
    <xf numFmtId="169" fontId="108" fillId="0" borderId="75" xfId="0" applyFont="1" applyFill="1" applyBorder="1" applyAlignment="1">
      <alignment horizontal="justify" vertical="center" wrapText="1"/>
    </xf>
    <xf numFmtId="169" fontId="108" fillId="0" borderId="79" xfId="0" applyFont="1" applyFill="1" applyBorder="1" applyAlignment="1">
      <alignment horizontal="justify" vertical="center" wrapText="1"/>
    </xf>
    <xf numFmtId="0" fontId="46" fillId="11" borderId="123" xfId="0" applyNumberFormat="1" applyFont="1" applyFill="1" applyBorder="1" applyAlignment="1" applyProtection="1">
      <alignment horizontal="center" vertical="center" wrapText="1"/>
    </xf>
    <xf numFmtId="169" fontId="46" fillId="11" borderId="137" xfId="0" applyFont="1" applyFill="1" applyBorder="1" applyAlignment="1" applyProtection="1">
      <alignment horizontal="justify" vertical="center" wrapText="1"/>
    </xf>
    <xf numFmtId="169" fontId="46" fillId="11" borderId="111" xfId="0" applyFont="1" applyFill="1" applyBorder="1" applyAlignment="1" applyProtection="1">
      <alignment horizontal="justify" vertical="center" wrapText="1"/>
    </xf>
    <xf numFmtId="169" fontId="46" fillId="11" borderId="138" xfId="0" applyFont="1" applyFill="1" applyBorder="1" applyAlignment="1" applyProtection="1">
      <alignment horizontal="justify" vertical="center" wrapText="1"/>
    </xf>
    <xf numFmtId="169" fontId="46" fillId="11" borderId="74" xfId="0" applyFont="1" applyFill="1" applyBorder="1" applyAlignment="1" applyProtection="1">
      <alignment horizontal="justify" vertical="center" wrapText="1"/>
    </xf>
    <xf numFmtId="169" fontId="46" fillId="11" borderId="75" xfId="0" applyFont="1" applyFill="1" applyBorder="1" applyAlignment="1" applyProtection="1">
      <alignment horizontal="justify" vertical="center" wrapText="1"/>
    </xf>
    <xf numFmtId="169" fontId="46" fillId="11" borderId="79" xfId="0" applyFont="1" applyFill="1" applyBorder="1" applyAlignment="1" applyProtection="1">
      <alignment horizontal="justify" vertical="center" wrapText="1"/>
    </xf>
    <xf numFmtId="0" fontId="46" fillId="5" borderId="123" xfId="0" applyNumberFormat="1" applyFont="1" applyFill="1" applyBorder="1" applyAlignment="1" applyProtection="1">
      <alignment horizontal="center" vertical="center" wrapText="1"/>
      <protection locked="0"/>
    </xf>
    <xf numFmtId="0" fontId="102" fillId="5" borderId="123" xfId="0" applyNumberFormat="1" applyFont="1" applyFill="1" applyBorder="1" applyAlignment="1" applyProtection="1">
      <alignment horizontal="center" vertical="center" wrapText="1"/>
      <protection locked="0"/>
    </xf>
    <xf numFmtId="169" fontId="46" fillId="7" borderId="226" xfId="0" applyNumberFormat="1" applyFont="1" applyFill="1" applyBorder="1" applyAlignment="1" applyProtection="1">
      <alignment horizontal="center" vertical="center" wrapText="1"/>
      <protection locked="0"/>
    </xf>
    <xf numFmtId="169" fontId="46" fillId="7" borderId="228" xfId="0" applyNumberFormat="1" applyFont="1" applyFill="1" applyBorder="1" applyAlignment="1" applyProtection="1">
      <alignment horizontal="center" vertical="center" wrapText="1"/>
      <protection locked="0"/>
    </xf>
    <xf numFmtId="10" fontId="26" fillId="0" borderId="115" xfId="19" applyNumberFormat="1" applyFont="1" applyFill="1" applyBorder="1" applyAlignment="1" applyProtection="1">
      <alignment horizontal="center" vertical="center"/>
    </xf>
    <xf numFmtId="10" fontId="26" fillId="0" borderId="116" xfId="19" applyNumberFormat="1" applyFont="1" applyFill="1" applyBorder="1" applyAlignment="1" applyProtection="1">
      <alignment horizontal="center" vertical="center"/>
    </xf>
    <xf numFmtId="10" fontId="26" fillId="0" borderId="117" xfId="19" applyNumberFormat="1" applyFont="1" applyFill="1" applyBorder="1" applyAlignment="1" applyProtection="1">
      <alignment horizontal="center" vertical="center"/>
    </xf>
    <xf numFmtId="0" fontId="46" fillId="5" borderId="76" xfId="0" applyNumberFormat="1" applyFont="1" applyFill="1" applyBorder="1" applyAlignment="1" applyProtection="1">
      <alignment horizontal="center" vertical="center" wrapText="1"/>
      <protection locked="0"/>
    </xf>
    <xf numFmtId="49" fontId="46" fillId="23" borderId="118" xfId="0" applyNumberFormat="1" applyFont="1" applyFill="1" applyBorder="1" applyAlignment="1" applyProtection="1">
      <alignment horizontal="center" vertical="center" wrapText="1"/>
      <protection locked="0"/>
    </xf>
    <xf numFmtId="49" fontId="46" fillId="23" borderId="119" xfId="0" applyNumberFormat="1" applyFont="1" applyFill="1" applyBorder="1" applyAlignment="1" applyProtection="1">
      <alignment horizontal="center" vertical="center" wrapText="1"/>
      <protection locked="0"/>
    </xf>
    <xf numFmtId="0" fontId="46" fillId="23" borderId="89" xfId="0" applyNumberFormat="1" applyFont="1" applyFill="1" applyBorder="1" applyAlignment="1" applyProtection="1">
      <alignment horizontal="center" vertical="center" wrapText="1"/>
      <protection locked="0"/>
    </xf>
    <xf numFmtId="0" fontId="102" fillId="23" borderId="76" xfId="0" applyNumberFormat="1" applyFont="1" applyFill="1" applyBorder="1" applyAlignment="1" applyProtection="1">
      <alignment horizontal="center" vertical="center" wrapText="1"/>
      <protection locked="0"/>
    </xf>
    <xf numFmtId="169" fontId="0" fillId="18" borderId="120" xfId="0" applyFill="1" applyBorder="1" applyAlignment="1" applyProtection="1">
      <alignment horizontal="center"/>
    </xf>
    <xf numFmtId="169" fontId="0" fillId="18" borderId="121" xfId="0" applyFill="1" applyBorder="1" applyAlignment="1" applyProtection="1">
      <alignment horizontal="center"/>
    </xf>
    <xf numFmtId="169" fontId="0" fillId="18" borderId="122" xfId="0" applyFill="1" applyBorder="1" applyAlignment="1" applyProtection="1">
      <alignment horizontal="center"/>
    </xf>
    <xf numFmtId="43" fontId="113" fillId="17" borderId="0" xfId="4" applyFont="1" applyFill="1" applyAlignment="1" applyProtection="1">
      <alignment horizontal="center" vertical="center"/>
    </xf>
    <xf numFmtId="43" fontId="17" fillId="6" borderId="26" xfId="20" applyFont="1" applyFill="1" applyBorder="1" applyAlignment="1" applyProtection="1">
      <alignment horizontal="center"/>
    </xf>
    <xf numFmtId="43" fontId="26" fillId="6" borderId="0" xfId="15" applyFont="1" applyFill="1" applyAlignment="1" applyProtection="1">
      <alignment horizontal="center" vertical="center" wrapText="1"/>
    </xf>
    <xf numFmtId="172" fontId="17" fillId="6" borderId="26" xfId="20" applyNumberFormat="1" applyFont="1" applyFill="1" applyBorder="1" applyAlignment="1" applyProtection="1">
      <alignment horizontal="center" vertical="center"/>
    </xf>
    <xf numFmtId="43" fontId="1" fillId="0" borderId="26" xfId="20" applyFont="1" applyBorder="1" applyAlignment="1" applyProtection="1">
      <alignment horizontal="right"/>
    </xf>
    <xf numFmtId="43" fontId="1" fillId="0" borderId="26" xfId="20" applyFont="1" applyFill="1" applyBorder="1" applyAlignment="1" applyProtection="1">
      <alignment horizontal="right"/>
    </xf>
    <xf numFmtId="43" fontId="13" fillId="0" borderId="0" xfId="15" applyFont="1" applyFill="1" applyAlignment="1" applyProtection="1">
      <alignment horizontal="right" vertical="center"/>
    </xf>
    <xf numFmtId="43" fontId="17" fillId="6" borderId="0" xfId="15" applyFont="1" applyFill="1" applyAlignment="1" applyProtection="1">
      <alignment horizontal="center" vertical="center" wrapText="1"/>
    </xf>
    <xf numFmtId="43" fontId="88" fillId="16" borderId="26" xfId="20" applyFont="1" applyFill="1" applyBorder="1" applyAlignment="1" applyProtection="1">
      <alignment horizontal="center"/>
    </xf>
    <xf numFmtId="43" fontId="1" fillId="0" borderId="26" xfId="20" applyFont="1" applyFill="1" applyBorder="1" applyAlignment="1" applyProtection="1">
      <alignment horizontal="right" wrapText="1"/>
    </xf>
    <xf numFmtId="170" fontId="17" fillId="6" borderId="26" xfId="20" applyNumberFormat="1" applyFont="1" applyFill="1" applyBorder="1" applyAlignment="1" applyProtection="1">
      <alignment horizontal="center"/>
    </xf>
    <xf numFmtId="170" fontId="0" fillId="0" borderId="26" xfId="0" applyNumberFormat="1" applyBorder="1" applyAlignment="1"/>
    <xf numFmtId="43" fontId="28" fillId="0" borderId="0" xfId="0" applyNumberFormat="1" applyFont="1" applyFill="1" applyAlignment="1">
      <alignment wrapText="1"/>
    </xf>
    <xf numFmtId="169" fontId="0" fillId="0" borderId="0" xfId="0" applyFill="1" applyAlignment="1">
      <alignment wrapText="1"/>
    </xf>
    <xf numFmtId="43" fontId="28" fillId="0" borderId="0" xfId="0" applyNumberFormat="1" applyFont="1" applyAlignment="1">
      <alignment wrapText="1"/>
    </xf>
    <xf numFmtId="169" fontId="0" fillId="0" borderId="0" xfId="0" applyAlignment="1">
      <alignment wrapText="1"/>
    </xf>
    <xf numFmtId="169" fontId="58" fillId="0" borderId="0" xfId="0" applyFont="1" applyAlignment="1">
      <alignment horizontal="left" wrapText="1"/>
    </xf>
    <xf numFmtId="169" fontId="23" fillId="5" borderId="29" xfId="0" applyFont="1" applyFill="1" applyBorder="1" applyAlignment="1" applyProtection="1">
      <alignment horizontal="justify" vertical="center" wrapText="1"/>
      <protection locked="0"/>
    </xf>
    <xf numFmtId="169" fontId="108" fillId="0" borderId="30" xfId="0" applyFont="1" applyBorder="1" applyAlignment="1">
      <alignment horizontal="justify" vertical="center" wrapText="1"/>
    </xf>
    <xf numFmtId="169" fontId="108" fillId="0" borderId="31" xfId="0" applyFont="1" applyBorder="1" applyAlignment="1">
      <alignment horizontal="justify" vertical="center" wrapText="1"/>
    </xf>
    <xf numFmtId="169" fontId="23" fillId="5" borderId="30" xfId="0" applyFont="1" applyFill="1" applyBorder="1" applyAlignment="1" applyProtection="1">
      <alignment horizontal="justify" vertical="center" wrapText="1"/>
      <protection locked="0"/>
    </xf>
    <xf numFmtId="169" fontId="23" fillId="5" borderId="31" xfId="0" applyFont="1" applyFill="1" applyBorder="1" applyAlignment="1" applyProtection="1">
      <alignment horizontal="justify" vertical="center" wrapText="1"/>
      <protection locked="0"/>
    </xf>
    <xf numFmtId="169" fontId="0" fillId="0" borderId="128" xfId="0" applyFill="1" applyBorder="1" applyAlignment="1" applyProtection="1">
      <alignment horizontal="center" vertical="center"/>
    </xf>
    <xf numFmtId="169" fontId="0" fillId="0" borderId="129" xfId="0" applyFill="1" applyBorder="1" applyAlignment="1" applyProtection="1">
      <alignment horizontal="center" vertical="center"/>
    </xf>
    <xf numFmtId="169" fontId="0" fillId="0" borderId="130" xfId="0" applyFill="1" applyBorder="1" applyAlignment="1" applyProtection="1">
      <alignment horizontal="center" vertical="center"/>
    </xf>
    <xf numFmtId="43" fontId="7" fillId="0" borderId="0" xfId="0" applyNumberFormat="1" applyFont="1" applyAlignment="1">
      <alignment horizontal="center"/>
    </xf>
    <xf numFmtId="169" fontId="7" fillId="0" borderId="0" xfId="0" applyFont="1" applyBorder="1" applyAlignment="1">
      <alignment horizontal="center"/>
    </xf>
    <xf numFmtId="43" fontId="43" fillId="17" borderId="0" xfId="13" applyFont="1" applyFill="1" applyAlignment="1">
      <alignment horizontal="center" vertical="center"/>
    </xf>
    <xf numFmtId="43" fontId="8" fillId="16" borderId="0" xfId="20" applyFont="1" applyFill="1" applyBorder="1" applyAlignment="1" applyProtection="1">
      <alignment horizontal="center"/>
    </xf>
    <xf numFmtId="169" fontId="83" fillId="0" borderId="0" xfId="0" applyFont="1" applyAlignment="1">
      <alignment horizontal="center"/>
    </xf>
    <xf numFmtId="43" fontId="21" fillId="0" borderId="0" xfId="0" applyNumberFormat="1" applyFont="1" applyAlignment="1">
      <alignment horizontal="right"/>
    </xf>
    <xf numFmtId="43" fontId="21" fillId="0" borderId="0" xfId="0" applyNumberFormat="1" applyFont="1" applyAlignment="1">
      <alignment horizontal="left"/>
    </xf>
    <xf numFmtId="15" fontId="21" fillId="0" borderId="0" xfId="0" applyNumberFormat="1" applyFont="1" applyAlignment="1">
      <alignment horizontal="right"/>
    </xf>
    <xf numFmtId="169" fontId="0" fillId="0" borderId="143" xfId="0" applyBorder="1" applyAlignment="1" applyProtection="1">
      <alignment horizontal="center"/>
    </xf>
    <xf numFmtId="169" fontId="0" fillId="0" borderId="44" xfId="0" applyBorder="1" applyAlignment="1" applyProtection="1">
      <alignment horizontal="center"/>
    </xf>
    <xf numFmtId="169" fontId="89" fillId="0" borderId="144" xfId="0" applyFont="1" applyFill="1" applyBorder="1" applyAlignment="1" applyProtection="1">
      <alignment horizontal="left" wrapText="1"/>
    </xf>
    <xf numFmtId="169" fontId="89" fillId="0" borderId="145" xfId="0" applyFont="1" applyFill="1" applyBorder="1" applyAlignment="1" applyProtection="1">
      <alignment horizontal="left" wrapText="1"/>
    </xf>
    <xf numFmtId="43" fontId="30" fillId="0" borderId="0" xfId="0" applyNumberFormat="1" applyFont="1" applyAlignment="1" applyProtection="1">
      <alignment wrapText="1"/>
    </xf>
    <xf numFmtId="169" fontId="83" fillId="0" borderId="0" xfId="0" applyFont="1" applyAlignment="1" applyProtection="1">
      <alignment horizontal="center"/>
    </xf>
    <xf numFmtId="169" fontId="89" fillId="0" borderId="146" xfId="0" applyFont="1" applyFill="1" applyBorder="1" applyAlignment="1" applyProtection="1">
      <alignment horizontal="left" wrapText="1"/>
    </xf>
    <xf numFmtId="169" fontId="89" fillId="0" borderId="70" xfId="0" applyFont="1" applyFill="1" applyBorder="1" applyAlignment="1" applyProtection="1">
      <alignment horizontal="left" wrapText="1"/>
    </xf>
    <xf numFmtId="43" fontId="30" fillId="0" borderId="0" xfId="0" applyNumberFormat="1" applyFont="1" applyBorder="1" applyAlignment="1" applyProtection="1">
      <alignment wrapText="1"/>
    </xf>
    <xf numFmtId="43" fontId="82" fillId="0" borderId="120" xfId="0" applyNumberFormat="1" applyFont="1" applyBorder="1" applyAlignment="1" applyProtection="1">
      <alignment horizontal="center" vertical="center" wrapText="1"/>
    </xf>
    <xf numFmtId="43" fontId="82" fillId="0" borderId="121" xfId="0" applyNumberFormat="1" applyFont="1" applyBorder="1" applyAlignment="1" applyProtection="1">
      <alignment horizontal="center" vertical="center" wrapText="1"/>
    </xf>
    <xf numFmtId="43" fontId="82" fillId="0" borderId="122" xfId="0" applyNumberFormat="1" applyFont="1" applyBorder="1" applyAlignment="1" applyProtection="1">
      <alignment horizontal="center" vertical="center" wrapText="1"/>
    </xf>
    <xf numFmtId="169" fontId="108" fillId="0" borderId="30" xfId="0" applyFont="1" applyBorder="1" applyAlignment="1" applyProtection="1">
      <alignment horizontal="justify" vertical="center" wrapText="1"/>
      <protection locked="0"/>
    </xf>
    <xf numFmtId="169" fontId="108" fillId="0" borderId="31" xfId="0" applyFont="1" applyBorder="1" applyAlignment="1" applyProtection="1">
      <alignment horizontal="justify" vertical="center" wrapText="1"/>
      <protection locked="0"/>
    </xf>
    <xf numFmtId="169" fontId="135" fillId="5" borderId="29" xfId="0" applyFont="1" applyFill="1" applyBorder="1" applyAlignment="1" applyProtection="1">
      <alignment horizontal="justify" vertical="center" wrapText="1"/>
      <protection locked="0"/>
    </xf>
    <xf numFmtId="169" fontId="131" fillId="0" borderId="30" xfId="0" applyFont="1" applyBorder="1" applyAlignment="1" applyProtection="1">
      <alignment horizontal="justify" vertical="center" wrapText="1"/>
      <protection locked="0"/>
    </xf>
    <xf numFmtId="169" fontId="131" fillId="0" borderId="31" xfId="0" applyFont="1" applyBorder="1" applyAlignment="1" applyProtection="1">
      <alignment horizontal="justify" vertical="center" wrapText="1"/>
      <protection locked="0"/>
    </xf>
    <xf numFmtId="169" fontId="133" fillId="5" borderId="29" xfId="0" applyFont="1" applyFill="1" applyBorder="1" applyAlignment="1" applyProtection="1">
      <alignment horizontal="justify" vertical="center" wrapText="1"/>
      <protection locked="0"/>
    </xf>
    <xf numFmtId="169" fontId="134" fillId="0" borderId="30" xfId="0" applyFont="1" applyBorder="1" applyAlignment="1" applyProtection="1">
      <alignment horizontal="justify" vertical="center" wrapText="1"/>
      <protection locked="0"/>
    </xf>
    <xf numFmtId="169" fontId="134" fillId="0" borderId="31" xfId="0" applyFont="1" applyBorder="1" applyAlignment="1" applyProtection="1">
      <alignment horizontal="justify" vertical="center" wrapText="1"/>
      <protection locked="0"/>
    </xf>
    <xf numFmtId="43" fontId="114" fillId="17" borderId="0" xfId="4" applyFont="1" applyFill="1" applyAlignment="1" applyProtection="1">
      <alignment horizontal="center" vertical="center"/>
    </xf>
    <xf numFmtId="43" fontId="7" fillId="0" borderId="0" xfId="0" applyNumberFormat="1" applyFont="1" applyAlignment="1" applyProtection="1">
      <alignment horizontal="center" wrapText="1"/>
    </xf>
    <xf numFmtId="43" fontId="21" fillId="0" borderId="0" xfId="0" applyNumberFormat="1" applyFont="1" applyAlignment="1" applyProtection="1">
      <alignment horizontal="right"/>
    </xf>
    <xf numFmtId="15" fontId="21" fillId="0" borderId="0" xfId="0" applyNumberFormat="1" applyFont="1" applyAlignment="1" applyProtection="1">
      <alignment horizontal="right"/>
    </xf>
    <xf numFmtId="43" fontId="7" fillId="0" borderId="0" xfId="0" applyNumberFormat="1" applyFont="1" applyAlignment="1" applyProtection="1">
      <alignment horizontal="center"/>
    </xf>
    <xf numFmtId="43" fontId="21" fillId="0" borderId="0" xfId="0" applyNumberFormat="1" applyFont="1" applyAlignment="1" applyProtection="1">
      <alignment horizontal="left"/>
    </xf>
    <xf numFmtId="169" fontId="138" fillId="5" borderId="29" xfId="0" applyFont="1" applyFill="1" applyBorder="1" applyAlignment="1" applyProtection="1">
      <alignment horizontal="justify" vertical="top" wrapText="1"/>
      <protection locked="0"/>
    </xf>
    <xf numFmtId="169" fontId="139" fillId="0" borderId="30" xfId="0" applyFont="1" applyBorder="1" applyAlignment="1">
      <alignment horizontal="justify" vertical="top" wrapText="1"/>
    </xf>
    <xf numFmtId="169" fontId="139" fillId="0" borderId="31" xfId="0" applyFont="1" applyBorder="1" applyAlignment="1">
      <alignment horizontal="justify" vertical="top" wrapText="1"/>
    </xf>
    <xf numFmtId="169" fontId="138" fillId="5" borderId="30" xfId="0" applyFont="1" applyFill="1" applyBorder="1" applyAlignment="1" applyProtection="1">
      <alignment horizontal="justify" vertical="top" wrapText="1"/>
      <protection locked="0"/>
    </xf>
    <xf numFmtId="169" fontId="138" fillId="5" borderId="31" xfId="0" applyFont="1" applyFill="1" applyBorder="1" applyAlignment="1" applyProtection="1">
      <alignment horizontal="justify" vertical="top" wrapText="1"/>
      <protection locked="0"/>
    </xf>
    <xf numFmtId="43" fontId="21" fillId="0" borderId="0" xfId="0" applyNumberFormat="1" applyFont="1" applyAlignment="1" applyProtection="1">
      <alignment horizontal="right" wrapText="1"/>
    </xf>
    <xf numFmtId="173" fontId="138" fillId="0" borderId="30" xfId="0" applyNumberFormat="1" applyFont="1" applyBorder="1" applyAlignment="1" applyProtection="1">
      <alignment horizontal="justify" vertical="center" wrapText="1"/>
    </xf>
    <xf numFmtId="169" fontId="138" fillId="0" borderId="30" xfId="0" applyFont="1" applyBorder="1" applyAlignment="1" applyProtection="1">
      <alignment horizontal="justify" vertical="center" wrapText="1"/>
    </xf>
    <xf numFmtId="169" fontId="27" fillId="3" borderId="0" xfId="0" applyFont="1" applyFill="1" applyBorder="1" applyAlignment="1" applyProtection="1">
      <alignment horizontal="left"/>
    </xf>
    <xf numFmtId="169" fontId="27" fillId="3" borderId="0" xfId="0" applyFont="1" applyFill="1" applyBorder="1" applyAlignment="1" applyProtection="1">
      <alignment horizontal="left" vertical="center" wrapText="1"/>
    </xf>
    <xf numFmtId="169" fontId="81" fillId="0" borderId="29" xfId="0" applyFont="1" applyBorder="1" applyAlignment="1" applyProtection="1">
      <alignment horizontal="justify" vertical="center" wrapText="1"/>
    </xf>
    <xf numFmtId="169" fontId="81" fillId="0" borderId="30" xfId="0" applyFont="1" applyBorder="1" applyAlignment="1" applyProtection="1">
      <alignment horizontal="justify" vertical="center" wrapText="1"/>
    </xf>
    <xf numFmtId="169" fontId="81" fillId="0" borderId="31" xfId="0" applyFont="1" applyBorder="1" applyAlignment="1" applyProtection="1">
      <alignment horizontal="justify" vertical="center" wrapText="1"/>
    </xf>
    <xf numFmtId="175" fontId="21" fillId="0" borderId="29" xfId="19" applyNumberFormat="1" applyFont="1" applyBorder="1" applyAlignment="1" applyProtection="1">
      <alignment horizontal="center" vertical="center" wrapText="1"/>
    </xf>
    <xf numFmtId="175" fontId="21" fillId="0" borderId="30" xfId="19" applyNumberFormat="1" applyFont="1" applyBorder="1" applyAlignment="1" applyProtection="1">
      <alignment horizontal="center" vertical="center" wrapText="1"/>
    </xf>
    <xf numFmtId="175" fontId="21" fillId="0" borderId="31" xfId="19" applyNumberFormat="1" applyFont="1" applyBorder="1" applyAlignment="1" applyProtection="1">
      <alignment horizontal="center" vertical="center" wrapText="1"/>
    </xf>
    <xf numFmtId="169" fontId="81" fillId="0" borderId="2" xfId="0" applyFont="1" applyBorder="1" applyAlignment="1" applyProtection="1">
      <alignment horizontal="justify" vertical="center" wrapText="1"/>
    </xf>
    <xf numFmtId="9" fontId="21" fillId="0" borderId="29" xfId="19" applyFont="1" applyBorder="1" applyAlignment="1" applyProtection="1">
      <alignment horizontal="center" vertical="center" wrapText="1"/>
    </xf>
    <xf numFmtId="9" fontId="21" fillId="0" borderId="30" xfId="19" applyFont="1" applyBorder="1" applyAlignment="1" applyProtection="1">
      <alignment horizontal="center" vertical="center" wrapText="1"/>
    </xf>
    <xf numFmtId="9" fontId="21" fillId="0" borderId="31" xfId="19" applyFont="1" applyBorder="1" applyAlignment="1" applyProtection="1">
      <alignment horizontal="center" vertical="center" wrapText="1"/>
    </xf>
    <xf numFmtId="169" fontId="27" fillId="3" borderId="147" xfId="0" applyFont="1" applyFill="1" applyBorder="1" applyAlignment="1" applyProtection="1">
      <alignment horizontal="left"/>
      <protection locked="0"/>
    </xf>
    <xf numFmtId="169" fontId="27" fillId="3" borderId="0" xfId="0" applyFont="1" applyFill="1" applyBorder="1" applyAlignment="1" applyProtection="1">
      <alignment horizontal="left"/>
      <protection locked="0"/>
    </xf>
    <xf numFmtId="169" fontId="81" fillId="5" borderId="29" xfId="19" applyNumberFormat="1" applyFont="1" applyFill="1" applyBorder="1" applyAlignment="1" applyProtection="1">
      <alignment horizontal="justify" vertical="center" wrapText="1"/>
      <protection locked="0"/>
    </xf>
    <xf numFmtId="9" fontId="81" fillId="5" borderId="30" xfId="19" applyFont="1" applyFill="1" applyBorder="1" applyAlignment="1" applyProtection="1">
      <alignment horizontal="justify" vertical="center" wrapText="1"/>
      <protection locked="0"/>
    </xf>
    <xf numFmtId="9" fontId="81" fillId="5" borderId="31" xfId="19" applyFont="1" applyFill="1" applyBorder="1" applyAlignment="1" applyProtection="1">
      <alignment horizontal="justify" vertical="center" wrapText="1"/>
      <protection locked="0"/>
    </xf>
    <xf numFmtId="9" fontId="136" fillId="5" borderId="2" xfId="19" applyFont="1" applyFill="1" applyBorder="1" applyAlignment="1" applyProtection="1">
      <alignment horizontal="justify" vertical="center" wrapText="1"/>
      <protection locked="0"/>
    </xf>
    <xf numFmtId="9" fontId="81" fillId="5" borderId="2" xfId="19" applyFont="1" applyFill="1" applyBorder="1" applyAlignment="1" applyProtection="1">
      <alignment horizontal="justify" vertical="center" wrapText="1"/>
      <protection locked="0"/>
    </xf>
    <xf numFmtId="169" fontId="23" fillId="3" borderId="0" xfId="0" applyFont="1" applyFill="1" applyBorder="1" applyAlignment="1" applyProtection="1">
      <alignment horizontal="left"/>
    </xf>
    <xf numFmtId="9" fontId="81" fillId="5" borderId="29" xfId="19" applyFont="1" applyFill="1" applyBorder="1" applyAlignment="1" applyProtection="1">
      <alignment horizontal="justify" vertical="center" wrapText="1"/>
      <protection locked="0"/>
    </xf>
    <xf numFmtId="9" fontId="136" fillId="5" borderId="29" xfId="19" applyFont="1" applyFill="1" applyBorder="1" applyAlignment="1" applyProtection="1">
      <alignment horizontal="justify" vertical="center" wrapText="1"/>
      <protection locked="0"/>
    </xf>
    <xf numFmtId="169" fontId="26" fillId="0" borderId="75" xfId="0" applyFont="1" applyBorder="1" applyAlignment="1" applyProtection="1">
      <alignment horizontal="center"/>
    </xf>
    <xf numFmtId="169" fontId="27" fillId="0" borderId="2" xfId="0" applyFont="1" applyBorder="1" applyAlignment="1" applyProtection="1">
      <alignment horizontal="center" vertical="center" wrapText="1"/>
    </xf>
    <xf numFmtId="169" fontId="27" fillId="3" borderId="0" xfId="0" applyFont="1" applyFill="1" applyAlignment="1" applyProtection="1">
      <alignment horizontal="center" vertical="center" wrapText="1"/>
    </xf>
    <xf numFmtId="169" fontId="27" fillId="3" borderId="0" xfId="0" applyFont="1" applyFill="1" applyAlignment="1" applyProtection="1">
      <alignment horizontal="left"/>
      <protection locked="0"/>
    </xf>
    <xf numFmtId="169" fontId="27" fillId="3" borderId="27" xfId="0" applyFont="1" applyFill="1" applyBorder="1" applyAlignment="1" applyProtection="1">
      <alignment horizontal="left"/>
      <protection locked="0"/>
    </xf>
    <xf numFmtId="169" fontId="27" fillId="0" borderId="29" xfId="0" applyFont="1" applyBorder="1" applyAlignment="1" applyProtection="1">
      <alignment horizontal="center" vertical="center"/>
    </xf>
    <xf numFmtId="169" fontId="27" fillId="0" borderId="30" xfId="0" applyFont="1" applyBorder="1" applyAlignment="1" applyProtection="1">
      <alignment horizontal="center" vertical="center"/>
    </xf>
    <xf numFmtId="169" fontId="27" fillId="0" borderId="31" xfId="0" applyFont="1" applyBorder="1" applyAlignment="1" applyProtection="1">
      <alignment horizontal="center" vertical="center"/>
    </xf>
    <xf numFmtId="9" fontId="30" fillId="18" borderId="29" xfId="19" applyFont="1" applyFill="1" applyBorder="1" applyAlignment="1" applyProtection="1">
      <alignment horizontal="center" vertical="center" wrapText="1"/>
    </xf>
    <xf numFmtId="9" fontId="30" fillId="18" borderId="31" xfId="19" applyFont="1" applyFill="1" applyBorder="1" applyAlignment="1" applyProtection="1">
      <alignment horizontal="center" vertical="center" wrapText="1"/>
    </xf>
    <xf numFmtId="9" fontId="30" fillId="20" borderId="29" xfId="19" applyFont="1" applyFill="1" applyBorder="1" applyAlignment="1" applyProtection="1">
      <alignment horizontal="center" vertical="center" wrapText="1"/>
    </xf>
    <xf numFmtId="9" fontId="30" fillId="20" borderId="31" xfId="19" applyFont="1" applyFill="1" applyBorder="1" applyAlignment="1" applyProtection="1">
      <alignment horizontal="center" vertical="center" wrapText="1"/>
    </xf>
    <xf numFmtId="43" fontId="43" fillId="17" borderId="0" xfId="13" applyFont="1" applyFill="1" applyAlignment="1" applyProtection="1">
      <alignment horizontal="center" vertical="center"/>
    </xf>
    <xf numFmtId="43" fontId="83" fillId="0" borderId="0" xfId="0" applyNumberFormat="1" applyFont="1" applyAlignment="1" applyProtection="1">
      <alignment horizontal="center"/>
    </xf>
    <xf numFmtId="43" fontId="26" fillId="0" borderId="0" xfId="0" applyNumberFormat="1" applyFont="1" applyAlignment="1" applyProtection="1">
      <alignment horizontal="center"/>
    </xf>
    <xf numFmtId="43" fontId="8" fillId="16" borderId="0" xfId="21" applyFont="1" applyFill="1" applyBorder="1" applyAlignment="1" applyProtection="1">
      <alignment horizontal="center"/>
    </xf>
    <xf numFmtId="9" fontId="2" fillId="0" borderId="183" xfId="19" applyNumberFormat="1" applyFont="1" applyFill="1" applyBorder="1" applyAlignment="1" applyProtection="1">
      <alignment horizontal="justify" vertical="center" wrapText="1"/>
    </xf>
    <xf numFmtId="169" fontId="2" fillId="0" borderId="168" xfId="19" applyNumberFormat="1" applyFont="1" applyFill="1" applyBorder="1" applyAlignment="1" applyProtection="1">
      <alignment horizontal="justify" vertical="center" wrapText="1"/>
    </xf>
    <xf numFmtId="169" fontId="2" fillId="0" borderId="184" xfId="19" applyNumberFormat="1" applyFont="1" applyFill="1" applyBorder="1" applyAlignment="1" applyProtection="1">
      <alignment horizontal="justify" vertical="center" wrapText="1"/>
    </xf>
    <xf numFmtId="169" fontId="2" fillId="5" borderId="223" xfId="0" applyFont="1" applyFill="1" applyBorder="1" applyAlignment="1" applyProtection="1">
      <alignment horizontal="justify" vertical="top" wrapText="1"/>
      <protection locked="0"/>
    </xf>
    <xf numFmtId="169" fontId="108" fillId="0" borderId="224" xfId="0" applyFont="1" applyBorder="1" applyAlignment="1">
      <alignment horizontal="justify" vertical="top" wrapText="1"/>
    </xf>
    <xf numFmtId="169" fontId="108" fillId="0" borderId="225" xfId="0" applyFont="1" applyBorder="1" applyAlignment="1">
      <alignment horizontal="justify" vertical="top" wrapText="1"/>
    </xf>
    <xf numFmtId="169" fontId="42" fillId="5" borderId="185" xfId="0" applyFont="1" applyFill="1" applyBorder="1" applyAlignment="1" applyProtection="1">
      <alignment horizontal="center" vertical="center"/>
    </xf>
    <xf numFmtId="169" fontId="42" fillId="5" borderId="186" xfId="0" applyFont="1" applyFill="1" applyBorder="1" applyAlignment="1" applyProtection="1">
      <alignment horizontal="center" vertical="center"/>
    </xf>
    <xf numFmtId="169" fontId="42" fillId="5" borderId="187" xfId="0" applyFont="1" applyFill="1" applyBorder="1" applyAlignment="1" applyProtection="1">
      <alignment horizontal="center" vertical="center"/>
    </xf>
    <xf numFmtId="169" fontId="2" fillId="0" borderId="188" xfId="0" applyNumberFormat="1" applyFont="1" applyFill="1" applyBorder="1" applyAlignment="1" applyProtection="1">
      <alignment horizontal="justify" vertical="center" wrapText="1"/>
    </xf>
    <xf numFmtId="169" fontId="2" fillId="0" borderId="189" xfId="0" applyNumberFormat="1" applyFont="1" applyFill="1" applyBorder="1" applyAlignment="1" applyProtection="1">
      <alignment horizontal="justify" vertical="center" wrapText="1"/>
    </xf>
    <xf numFmtId="169" fontId="2" fillId="0" borderId="190" xfId="0" applyNumberFormat="1" applyFont="1" applyFill="1" applyBorder="1" applyAlignment="1" applyProtection="1">
      <alignment horizontal="justify" vertical="center" wrapText="1"/>
    </xf>
    <xf numFmtId="169" fontId="2" fillId="5" borderId="150" xfId="0" applyFont="1" applyFill="1" applyBorder="1" applyAlignment="1" applyProtection="1">
      <alignment horizontal="justify" vertical="top" wrapText="1"/>
      <protection locked="0"/>
    </xf>
    <xf numFmtId="169" fontId="108" fillId="0" borderId="82" xfId="0" applyFont="1" applyBorder="1" applyAlignment="1">
      <alignment horizontal="justify" vertical="top" wrapText="1"/>
    </xf>
    <xf numFmtId="169" fontId="108" fillId="0" borderId="151" xfId="0" applyFont="1" applyBorder="1" applyAlignment="1">
      <alignment horizontal="justify" vertical="top" wrapText="1"/>
    </xf>
    <xf numFmtId="169" fontId="2" fillId="0" borderId="183" xfId="19" applyNumberFormat="1" applyFont="1" applyFill="1" applyBorder="1" applyAlignment="1" applyProtection="1">
      <alignment horizontal="justify" vertical="center" wrapText="1"/>
    </xf>
    <xf numFmtId="169" fontId="96" fillId="6" borderId="176" xfId="0" applyFont="1" applyFill="1" applyBorder="1" applyAlignment="1" applyProtection="1">
      <alignment horizontal="center" vertical="center"/>
    </xf>
    <xf numFmtId="169" fontId="96" fillId="6" borderId="177" xfId="0" applyFont="1" applyFill="1" applyBorder="1" applyAlignment="1" applyProtection="1">
      <alignment horizontal="center" vertical="center"/>
    </xf>
    <xf numFmtId="169" fontId="96" fillId="6" borderId="178" xfId="0" applyFont="1" applyFill="1" applyBorder="1" applyAlignment="1" applyProtection="1">
      <alignment horizontal="center" vertical="center"/>
    </xf>
    <xf numFmtId="169" fontId="2" fillId="0" borderId="30" xfId="0" applyNumberFormat="1" applyFont="1" applyFill="1" applyBorder="1" applyAlignment="1" applyProtection="1">
      <alignment horizontal="justify" vertical="center" wrapText="1"/>
    </xf>
    <xf numFmtId="169" fontId="2" fillId="0" borderId="173" xfId="0" applyNumberFormat="1" applyFont="1" applyFill="1" applyBorder="1" applyAlignment="1" applyProtection="1">
      <alignment horizontal="justify" vertical="center" wrapText="1"/>
    </xf>
    <xf numFmtId="169" fontId="2" fillId="0" borderId="181" xfId="0" applyNumberFormat="1" applyFont="1" applyFill="1" applyBorder="1" applyAlignment="1" applyProtection="1">
      <alignment horizontal="justify" vertical="center" wrapText="1"/>
    </xf>
    <xf numFmtId="169" fontId="2" fillId="0" borderId="182" xfId="0" applyNumberFormat="1" applyFont="1" applyFill="1" applyBorder="1" applyAlignment="1" applyProtection="1">
      <alignment horizontal="justify" vertical="center" wrapText="1"/>
    </xf>
    <xf numFmtId="169" fontId="120" fillId="0" borderId="0" xfId="0" applyFont="1" applyFill="1" applyBorder="1" applyAlignment="1" applyProtection="1">
      <alignment horizontal="center"/>
    </xf>
    <xf numFmtId="169" fontId="120" fillId="0" borderId="167" xfId="0" applyFont="1" applyFill="1" applyBorder="1" applyAlignment="1" applyProtection="1">
      <alignment horizontal="center"/>
    </xf>
    <xf numFmtId="169" fontId="2" fillId="0" borderId="152" xfId="0" applyNumberFormat="1" applyFont="1" applyFill="1" applyBorder="1" applyAlignment="1" applyProtection="1">
      <alignment horizontal="justify" vertical="center" wrapText="1"/>
    </xf>
    <xf numFmtId="169" fontId="2" fillId="0" borderId="153" xfId="0" applyNumberFormat="1" applyFont="1" applyFill="1" applyBorder="1" applyAlignment="1" applyProtection="1">
      <alignment horizontal="justify" vertical="center" wrapText="1"/>
    </xf>
    <xf numFmtId="169" fontId="54" fillId="2" borderId="4" xfId="0" applyFont="1" applyFill="1" applyBorder="1" applyAlignment="1" applyProtection="1">
      <alignment horizontal="center" vertical="center"/>
    </xf>
    <xf numFmtId="169" fontId="83" fillId="0" borderId="0" xfId="0" applyFont="1" applyBorder="1" applyAlignment="1" applyProtection="1">
      <alignment horizontal="center"/>
    </xf>
    <xf numFmtId="49" fontId="2" fillId="9" borderId="179"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80" xfId="0" applyNumberFormat="1" applyFont="1" applyFill="1" applyBorder="1" applyAlignment="1" applyProtection="1">
      <alignment horizontal="center" vertical="center"/>
      <protection locked="0"/>
    </xf>
    <xf numFmtId="169" fontId="2" fillId="6" borderId="163" xfId="0" applyFont="1" applyFill="1" applyBorder="1" applyAlignment="1" applyProtection="1">
      <alignment horizontal="center" vertical="center" wrapText="1"/>
      <protection locked="0"/>
    </xf>
    <xf numFmtId="169" fontId="2" fillId="6" borderId="164" xfId="0" applyFont="1" applyFill="1" applyBorder="1" applyAlignment="1" applyProtection="1">
      <alignment horizontal="center" vertical="center" wrapText="1"/>
      <protection locked="0"/>
    </xf>
    <xf numFmtId="169" fontId="2" fillId="6" borderId="165" xfId="0" applyFont="1" applyFill="1" applyBorder="1" applyAlignment="1" applyProtection="1">
      <alignment horizontal="center" vertical="center" wrapText="1"/>
      <protection locked="0"/>
    </xf>
    <xf numFmtId="169" fontId="42" fillId="9" borderId="154" xfId="0" applyFont="1" applyFill="1" applyBorder="1" applyAlignment="1" applyProtection="1">
      <alignment horizontal="center" vertical="center"/>
    </xf>
    <xf numFmtId="169" fontId="42" fillId="9" borderId="155" xfId="0" applyFont="1" applyFill="1" applyBorder="1" applyAlignment="1" applyProtection="1">
      <alignment horizontal="center" vertical="center"/>
    </xf>
    <xf numFmtId="169" fontId="42" fillId="9" borderId="156" xfId="0" applyFont="1" applyFill="1" applyBorder="1" applyAlignment="1" applyProtection="1">
      <alignment horizontal="center" vertical="center"/>
    </xf>
    <xf numFmtId="169" fontId="2" fillId="6" borderId="157" xfId="0" applyFont="1" applyFill="1" applyBorder="1" applyAlignment="1" applyProtection="1">
      <alignment horizontal="center" vertical="center" wrapText="1"/>
      <protection locked="0"/>
    </xf>
    <xf numFmtId="169" fontId="2" fillId="6" borderId="158" xfId="0" applyFont="1" applyFill="1" applyBorder="1" applyAlignment="1" applyProtection="1">
      <alignment horizontal="center" vertical="center" wrapText="1"/>
      <protection locked="0"/>
    </xf>
    <xf numFmtId="169" fontId="2" fillId="6" borderId="159" xfId="0" applyFont="1" applyFill="1" applyBorder="1" applyAlignment="1" applyProtection="1">
      <alignment horizontal="center" vertical="center" wrapText="1"/>
      <protection locked="0"/>
    </xf>
    <xf numFmtId="169" fontId="2" fillId="6" borderId="160" xfId="0" applyFont="1" applyFill="1" applyBorder="1" applyAlignment="1" applyProtection="1">
      <alignment horizontal="center" vertical="center" wrapText="1"/>
      <protection locked="0"/>
    </xf>
    <xf numFmtId="169" fontId="2" fillId="6" borderId="161" xfId="0" applyFont="1" applyFill="1" applyBorder="1" applyAlignment="1" applyProtection="1">
      <alignment horizontal="center" vertical="center" wrapText="1"/>
      <protection locked="0"/>
    </xf>
    <xf numFmtId="169" fontId="2" fillId="6" borderId="162" xfId="0" applyFont="1" applyFill="1" applyBorder="1" applyAlignment="1" applyProtection="1">
      <alignment horizontal="center" vertical="center" wrapText="1"/>
      <protection locked="0"/>
    </xf>
    <xf numFmtId="169" fontId="120" fillId="0" borderId="166" xfId="0" applyFont="1" applyFill="1" applyBorder="1" applyAlignment="1" applyProtection="1">
      <alignment horizontal="center"/>
    </xf>
    <xf numFmtId="169" fontId="53" fillId="0" borderId="0" xfId="0" applyFont="1" applyFill="1" applyBorder="1" applyAlignment="1" applyProtection="1">
      <alignment horizontal="center"/>
    </xf>
    <xf numFmtId="169" fontId="53" fillId="0" borderId="166" xfId="0" applyFont="1" applyFill="1" applyBorder="1" applyAlignment="1" applyProtection="1">
      <alignment horizontal="center"/>
    </xf>
    <xf numFmtId="49" fontId="2" fillId="9" borderId="170" xfId="0" applyNumberFormat="1" applyFont="1" applyFill="1" applyBorder="1" applyAlignment="1" applyProtection="1">
      <alignment horizontal="center" vertical="center"/>
      <protection locked="0"/>
    </xf>
    <xf numFmtId="49" fontId="2" fillId="9" borderId="171" xfId="0" applyNumberFormat="1" applyFont="1" applyFill="1" applyBorder="1" applyAlignment="1" applyProtection="1">
      <alignment horizontal="center" vertical="center"/>
      <protection locked="0"/>
    </xf>
    <xf numFmtId="49" fontId="2" fillId="9" borderId="172" xfId="0" applyNumberFormat="1" applyFont="1" applyFill="1" applyBorder="1" applyAlignment="1" applyProtection="1">
      <alignment horizontal="center" vertical="center"/>
      <protection locked="0"/>
    </xf>
    <xf numFmtId="169" fontId="2" fillId="0" borderId="169" xfId="0" applyNumberFormat="1" applyFont="1" applyFill="1" applyBorder="1" applyAlignment="1" applyProtection="1">
      <alignment horizontal="justify" vertical="center" wrapText="1"/>
    </xf>
    <xf numFmtId="169" fontId="96" fillId="6" borderId="174" xfId="0" applyFont="1" applyFill="1" applyBorder="1" applyAlignment="1" applyProtection="1">
      <alignment horizontal="center" vertical="center"/>
    </xf>
    <xf numFmtId="169" fontId="96" fillId="6" borderId="175" xfId="0" applyFont="1" applyFill="1" applyBorder="1" applyAlignment="1" applyProtection="1">
      <alignment horizontal="center" vertical="center"/>
    </xf>
    <xf numFmtId="169" fontId="108" fillId="0" borderId="175" xfId="0" applyFont="1" applyBorder="1" applyAlignment="1">
      <alignment horizontal="center" vertical="center"/>
    </xf>
    <xf numFmtId="169" fontId="2" fillId="0" borderId="148" xfId="0" applyNumberFormat="1" applyFont="1" applyFill="1" applyBorder="1" applyAlignment="1" applyProtection="1">
      <alignment horizontal="justify" vertical="center" wrapText="1"/>
    </xf>
    <xf numFmtId="169" fontId="2" fillId="0" borderId="149" xfId="0" applyNumberFormat="1" applyFont="1" applyFill="1" applyBorder="1" applyAlignment="1" applyProtection="1">
      <alignment horizontal="justify" vertical="center" wrapText="1"/>
    </xf>
    <xf numFmtId="169" fontId="2" fillId="0" borderId="6" xfId="0" applyNumberFormat="1" applyFont="1" applyFill="1" applyBorder="1" applyAlignment="1" applyProtection="1">
      <alignment horizontal="justify" vertical="center" wrapText="1"/>
    </xf>
    <xf numFmtId="169" fontId="2" fillId="0" borderId="180" xfId="0" applyNumberFormat="1" applyFont="1" applyFill="1" applyBorder="1" applyAlignment="1" applyProtection="1">
      <alignment horizontal="justify" vertical="center" wrapText="1"/>
    </xf>
    <xf numFmtId="169" fontId="108" fillId="5" borderId="112" xfId="0" applyFont="1" applyFill="1" applyBorder="1" applyAlignment="1" applyProtection="1">
      <alignment horizontal="justify" vertical="top" wrapText="1"/>
      <protection locked="0"/>
    </xf>
    <xf numFmtId="169" fontId="108" fillId="5" borderId="111" xfId="0" applyFont="1" applyFill="1" applyBorder="1" applyAlignment="1" applyProtection="1">
      <alignment horizontal="justify" vertical="top" wrapText="1"/>
      <protection locked="0"/>
    </xf>
    <xf numFmtId="169" fontId="108" fillId="5" borderId="113" xfId="0" applyFont="1" applyFill="1" applyBorder="1" applyAlignment="1" applyProtection="1">
      <alignment horizontal="justify" vertical="top" wrapText="1"/>
      <protection locked="0"/>
    </xf>
    <xf numFmtId="169" fontId="108" fillId="5" borderId="114" xfId="0" applyFont="1" applyFill="1" applyBorder="1" applyAlignment="1" applyProtection="1">
      <alignment horizontal="justify" vertical="top" wrapText="1"/>
      <protection locked="0"/>
    </xf>
    <xf numFmtId="169" fontId="108" fillId="5" borderId="75" xfId="0" applyFont="1" applyFill="1" applyBorder="1" applyAlignment="1" applyProtection="1">
      <alignment horizontal="justify" vertical="top" wrapText="1"/>
      <protection locked="0"/>
    </xf>
    <xf numFmtId="169" fontId="108" fillId="5" borderId="77" xfId="0" applyFont="1" applyFill="1" applyBorder="1" applyAlignment="1" applyProtection="1">
      <alignment horizontal="justify" vertical="top" wrapText="1"/>
      <protection locked="0"/>
    </xf>
    <xf numFmtId="169" fontId="52" fillId="4" borderId="5" xfId="18" applyNumberFormat="1" applyFont="1" applyFill="1" applyBorder="1" applyAlignment="1">
      <alignment horizontal="center" vertical="center" wrapText="1"/>
    </xf>
    <xf numFmtId="169" fontId="52" fillId="4" borderId="220" xfId="18" applyNumberFormat="1" applyFont="1" applyFill="1" applyBorder="1" applyAlignment="1">
      <alignment horizontal="center" vertical="center" wrapText="1"/>
    </xf>
    <xf numFmtId="169" fontId="52" fillId="4" borderId="210" xfId="18" applyNumberFormat="1" applyFont="1" applyFill="1" applyBorder="1" applyAlignment="1">
      <alignment horizontal="center" vertical="center" wrapText="1"/>
    </xf>
    <xf numFmtId="169" fontId="14" fillId="0" borderId="197" xfId="0" applyFont="1" applyFill="1" applyBorder="1" applyAlignment="1" applyProtection="1">
      <alignment horizontal="left"/>
      <protection locked="0"/>
    </xf>
    <xf numFmtId="169" fontId="14" fillId="0" borderId="191" xfId="0" applyFont="1" applyFill="1" applyBorder="1" applyAlignment="1" applyProtection="1">
      <alignment horizontal="left"/>
      <protection locked="0"/>
    </xf>
    <xf numFmtId="169" fontId="14" fillId="0" borderId="198" xfId="0" applyFont="1" applyFill="1" applyBorder="1" applyAlignment="1" applyProtection="1">
      <alignment horizontal="left"/>
      <protection locked="0"/>
    </xf>
    <xf numFmtId="169" fontId="14" fillId="0" borderId="199" xfId="0" applyFont="1" applyFill="1" applyBorder="1" applyAlignment="1" applyProtection="1">
      <alignment horizontal="left"/>
      <protection locked="0"/>
    </xf>
    <xf numFmtId="169" fontId="26" fillId="0" borderId="0" xfId="0" applyFont="1" applyAlignment="1">
      <alignment horizontal="center"/>
    </xf>
    <xf numFmtId="169" fontId="52" fillId="4" borderId="194" xfId="18" applyNumberFormat="1" applyFont="1" applyFill="1" applyBorder="1" applyAlignment="1">
      <alignment horizontal="center" vertical="center" wrapText="1"/>
    </xf>
    <xf numFmtId="169" fontId="52" fillId="4" borderId="195" xfId="18" applyNumberFormat="1" applyFont="1" applyFill="1" applyBorder="1" applyAlignment="1">
      <alignment horizontal="center" vertical="center" wrapText="1"/>
    </xf>
    <xf numFmtId="169" fontId="52" fillId="4" borderId="196" xfId="18" applyNumberFormat="1" applyFont="1" applyFill="1" applyBorder="1" applyAlignment="1">
      <alignment horizontal="center" vertical="center" wrapText="1"/>
    </xf>
    <xf numFmtId="169" fontId="14" fillId="0" borderId="191" xfId="0" applyFont="1" applyBorder="1" applyAlignment="1" applyProtection="1">
      <alignment horizontal="left"/>
      <protection locked="0"/>
    </xf>
    <xf numFmtId="43" fontId="8" fillId="16" borderId="0" xfId="22" applyFont="1" applyFill="1" applyBorder="1" applyAlignment="1" applyProtection="1">
      <alignment horizontal="center"/>
      <protection locked="0"/>
    </xf>
    <xf numFmtId="169" fontId="14" fillId="0" borderId="22" xfId="0" applyFont="1" applyFill="1" applyBorder="1" applyAlignment="1" applyProtection="1">
      <alignment horizontal="left"/>
      <protection locked="0"/>
    </xf>
    <xf numFmtId="169" fontId="14" fillId="0" borderId="193" xfId="0" applyFont="1" applyFill="1" applyBorder="1" applyAlignment="1" applyProtection="1">
      <alignment horizontal="left"/>
      <protection locked="0"/>
    </xf>
    <xf numFmtId="169" fontId="14" fillId="0" borderId="192" xfId="0" applyFont="1" applyFill="1" applyBorder="1" applyAlignment="1" applyProtection="1">
      <alignment horizontal="left"/>
      <protection locked="0"/>
    </xf>
    <xf numFmtId="169" fontId="14" fillId="0" borderId="208" xfId="0" applyFont="1" applyBorder="1" applyAlignment="1" applyProtection="1">
      <alignment horizontal="left"/>
      <protection locked="0"/>
    </xf>
    <xf numFmtId="169" fontId="14" fillId="0" borderId="22" xfId="0" applyFont="1" applyBorder="1" applyAlignment="1" applyProtection="1">
      <alignment horizontal="left"/>
      <protection locked="0"/>
    </xf>
    <xf numFmtId="169" fontId="14" fillId="0" borderId="197" xfId="0" applyFont="1" applyBorder="1" applyAlignment="1" applyProtection="1">
      <alignment horizontal="left"/>
      <protection locked="0"/>
    </xf>
    <xf numFmtId="169" fontId="71" fillId="4" borderId="110" xfId="0" applyFont="1" applyFill="1" applyBorder="1" applyAlignment="1">
      <alignment horizontal="center" vertical="center" textRotation="90"/>
    </xf>
    <xf numFmtId="169" fontId="0" fillId="4" borderId="68" xfId="0" applyFill="1" applyBorder="1" applyAlignment="1">
      <alignment horizontal="center" vertical="center" textRotation="90"/>
    </xf>
    <xf numFmtId="169" fontId="0" fillId="4" borderId="78" xfId="0" applyFill="1" applyBorder="1" applyAlignment="1">
      <alignment horizontal="center" vertical="center" textRotation="90"/>
    </xf>
    <xf numFmtId="169" fontId="14" fillId="0" borderId="217" xfId="0" applyFont="1" applyFill="1" applyBorder="1" applyAlignment="1" applyProtection="1">
      <alignment horizontal="justify" vertical="center" wrapText="1"/>
      <protection locked="0"/>
    </xf>
    <xf numFmtId="169" fontId="14" fillId="0" borderId="214" xfId="0" applyFont="1" applyFill="1" applyBorder="1" applyAlignment="1" applyProtection="1">
      <alignment horizontal="justify" vertical="center" wrapText="1"/>
      <protection locked="0"/>
    </xf>
    <xf numFmtId="169" fontId="14" fillId="0" borderId="218" xfId="0" applyFont="1" applyFill="1" applyBorder="1" applyAlignment="1" applyProtection="1">
      <alignment horizontal="justify" vertical="center" wrapText="1"/>
      <protection locked="0"/>
    </xf>
    <xf numFmtId="169" fontId="14" fillId="0" borderId="219" xfId="0" applyFont="1" applyFill="1" applyBorder="1" applyAlignment="1" applyProtection="1">
      <alignment horizontal="justify" vertical="center" wrapText="1"/>
      <protection locked="0"/>
    </xf>
    <xf numFmtId="169" fontId="14" fillId="0" borderId="171" xfId="0" applyFont="1" applyFill="1" applyBorder="1" applyAlignment="1" applyProtection="1">
      <alignment horizontal="justify" vertical="center" wrapText="1"/>
      <protection locked="0"/>
    </xf>
    <xf numFmtId="169" fontId="14" fillId="0" borderId="207" xfId="0" applyFont="1" applyFill="1" applyBorder="1" applyAlignment="1" applyProtection="1">
      <alignment horizontal="justify" vertical="center" wrapText="1"/>
      <protection locked="0"/>
    </xf>
    <xf numFmtId="169" fontId="14" fillId="0" borderId="168" xfId="0" applyFont="1" applyFill="1" applyBorder="1" applyAlignment="1" applyProtection="1">
      <alignment horizontal="left" vertical="center" wrapText="1"/>
      <protection locked="0"/>
    </xf>
    <xf numFmtId="169" fontId="14" fillId="0" borderId="200" xfId="0" applyFont="1" applyFill="1" applyBorder="1" applyAlignment="1" applyProtection="1">
      <alignment horizontal="left" vertical="center" wrapText="1"/>
      <protection locked="0"/>
    </xf>
    <xf numFmtId="169" fontId="14" fillId="0" borderId="201" xfId="0" applyFont="1" applyFill="1" applyBorder="1" applyAlignment="1" applyProtection="1">
      <alignment horizontal="left" vertical="center" wrapText="1"/>
      <protection locked="0"/>
    </xf>
    <xf numFmtId="169" fontId="14" fillId="0" borderId="202" xfId="0" applyFont="1" applyFill="1" applyBorder="1" applyAlignment="1" applyProtection="1">
      <alignment horizontal="left" vertical="center" wrapText="1"/>
      <protection locked="0"/>
    </xf>
    <xf numFmtId="169" fontId="14" fillId="0" borderId="208" xfId="0" applyFont="1" applyFill="1" applyBorder="1" applyAlignment="1" applyProtection="1">
      <alignment horizontal="left"/>
      <protection locked="0"/>
    </xf>
    <xf numFmtId="169" fontId="14" fillId="0" borderId="221" xfId="0" applyFont="1" applyFill="1" applyBorder="1" applyAlignment="1" applyProtection="1">
      <alignment horizontal="justify" vertical="center" wrapText="1"/>
      <protection locked="0"/>
    </xf>
    <xf numFmtId="169" fontId="14" fillId="0" borderId="204" xfId="0" applyFont="1" applyFill="1" applyBorder="1" applyAlignment="1" applyProtection="1">
      <alignment horizontal="justify" vertical="center" wrapText="1"/>
      <protection locked="0"/>
    </xf>
    <xf numFmtId="169" fontId="14" fillId="0" borderId="205" xfId="0" applyFont="1" applyFill="1" applyBorder="1" applyAlignment="1" applyProtection="1">
      <alignment horizontal="justify" vertical="center" wrapText="1"/>
      <protection locked="0"/>
    </xf>
    <xf numFmtId="169" fontId="14" fillId="0" borderId="199" xfId="0" applyFont="1" applyBorder="1" applyAlignment="1" applyProtection="1">
      <alignment horizontal="left"/>
      <protection locked="0"/>
    </xf>
    <xf numFmtId="169" fontId="14" fillId="0" borderId="213" xfId="0" applyFont="1" applyFill="1" applyBorder="1" applyAlignment="1" applyProtection="1">
      <alignment horizontal="left" vertical="top" wrapText="1"/>
      <protection locked="0"/>
    </xf>
    <xf numFmtId="169" fontId="14" fillId="0" borderId="214" xfId="0" applyFont="1" applyFill="1" applyBorder="1" applyAlignment="1" applyProtection="1">
      <alignment horizontal="left" vertical="top" wrapText="1"/>
      <protection locked="0"/>
    </xf>
    <xf numFmtId="169" fontId="14" fillId="0" borderId="215" xfId="0" applyFont="1" applyFill="1" applyBorder="1" applyAlignment="1" applyProtection="1">
      <alignment horizontal="left" vertical="top" wrapText="1"/>
      <protection locked="0"/>
    </xf>
    <xf numFmtId="169" fontId="14" fillId="0" borderId="206" xfId="0" applyFont="1" applyFill="1" applyBorder="1" applyAlignment="1" applyProtection="1">
      <alignment horizontal="left" vertical="top" wrapText="1"/>
      <protection locked="0"/>
    </xf>
    <xf numFmtId="169" fontId="14" fillId="0" borderId="171" xfId="0" applyFont="1" applyFill="1" applyBorder="1" applyAlignment="1" applyProtection="1">
      <alignment horizontal="left" vertical="top" wrapText="1"/>
      <protection locked="0"/>
    </xf>
    <xf numFmtId="169" fontId="14" fillId="0" borderId="216" xfId="0" applyFont="1" applyFill="1" applyBorder="1" applyAlignment="1" applyProtection="1">
      <alignment horizontal="left" vertical="top" wrapText="1"/>
      <protection locked="0"/>
    </xf>
    <xf numFmtId="169" fontId="14" fillId="0" borderId="209" xfId="0" applyFont="1" applyFill="1" applyBorder="1" applyAlignment="1" applyProtection="1">
      <alignment horizontal="left"/>
      <protection locked="0"/>
    </xf>
    <xf numFmtId="169" fontId="14" fillId="0" borderId="192" xfId="0" applyFont="1" applyBorder="1" applyAlignment="1" applyProtection="1">
      <alignment horizontal="left"/>
      <protection locked="0"/>
    </xf>
    <xf numFmtId="169" fontId="14" fillId="0" borderId="209" xfId="0" applyFont="1" applyBorder="1" applyAlignment="1" applyProtection="1">
      <alignment horizontal="left"/>
      <protection locked="0"/>
    </xf>
    <xf numFmtId="169" fontId="14" fillId="0" borderId="193" xfId="0" applyFont="1" applyBorder="1" applyAlignment="1" applyProtection="1">
      <alignment horizontal="left"/>
      <protection locked="0"/>
    </xf>
    <xf numFmtId="169" fontId="14" fillId="0" borderId="211" xfId="0" applyFont="1" applyFill="1" applyBorder="1" applyAlignment="1" applyProtection="1">
      <alignment horizontal="left"/>
      <protection locked="0"/>
    </xf>
    <xf numFmtId="169" fontId="14" fillId="0" borderId="168" xfId="0" applyFont="1" applyFill="1" applyBorder="1" applyAlignment="1" applyProtection="1">
      <alignment horizontal="left"/>
      <protection locked="0"/>
    </xf>
    <xf numFmtId="169" fontId="14" fillId="0" borderId="200" xfId="0" applyFont="1" applyFill="1" applyBorder="1" applyAlignment="1" applyProtection="1">
      <alignment horizontal="left"/>
      <protection locked="0"/>
    </xf>
    <xf numFmtId="169" fontId="14" fillId="0" borderId="212" xfId="0" applyFont="1" applyFill="1" applyBorder="1" applyAlignment="1" applyProtection="1">
      <alignment horizontal="left"/>
      <protection locked="0"/>
    </xf>
    <xf numFmtId="169" fontId="14" fillId="0" borderId="201" xfId="0" applyFont="1" applyFill="1" applyBorder="1" applyAlignment="1" applyProtection="1">
      <alignment horizontal="left"/>
      <protection locked="0"/>
    </xf>
    <xf numFmtId="169" fontId="14" fillId="0" borderId="202" xfId="0" applyFont="1" applyFill="1" applyBorder="1" applyAlignment="1" applyProtection="1">
      <alignment horizontal="left"/>
      <protection locked="0"/>
    </xf>
    <xf numFmtId="169" fontId="14" fillId="0" borderId="198" xfId="0" applyFont="1" applyBorder="1" applyAlignment="1" applyProtection="1">
      <alignment horizontal="left"/>
      <protection locked="0"/>
    </xf>
    <xf numFmtId="169" fontId="14" fillId="0" borderId="203" xfId="0" applyFont="1" applyFill="1" applyBorder="1" applyAlignment="1" applyProtection="1">
      <alignment horizontal="left" vertical="top" wrapText="1"/>
      <protection locked="0"/>
    </xf>
    <xf numFmtId="169" fontId="14" fillId="0" borderId="204" xfId="0" applyFont="1" applyFill="1" applyBorder="1" applyAlignment="1" applyProtection="1">
      <alignment horizontal="left" vertical="top" wrapText="1"/>
      <protection locked="0"/>
    </xf>
    <xf numFmtId="169" fontId="14" fillId="0" borderId="205" xfId="0" applyFont="1" applyFill="1" applyBorder="1" applyAlignment="1" applyProtection="1">
      <alignment horizontal="left" vertical="top" wrapText="1"/>
      <protection locked="0"/>
    </xf>
    <xf numFmtId="169" fontId="14" fillId="0" borderId="207" xfId="0" applyFont="1" applyFill="1" applyBorder="1" applyAlignment="1" applyProtection="1">
      <alignment horizontal="left" vertical="top" wrapText="1"/>
      <protection locked="0"/>
    </xf>
    <xf numFmtId="43" fontId="10" fillId="17" borderId="0" xfId="4" applyFont="1" applyFill="1" applyAlignment="1">
      <alignment horizontal="center" vertic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datelor'!$D$78</c:f>
              <c:strCache>
                <c:ptCount val="1"/>
                <c:pt idx="0">
                  <c:v>6</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datelor'!$D$78:$D$79</c:f>
              <c:numCache>
                <c:formatCode>[$$-409]#,##0_);\([$$-409]#,##0\)</c:formatCode>
                <c:ptCount val="2"/>
                <c:pt idx="0" formatCode="#,##0">
                  <c:v>6</c:v>
                </c:pt>
              </c:numCache>
            </c:numRef>
          </c:val>
        </c:ser>
        <c:dLbls>
          <c:showLegendKey val="0"/>
          <c:showVal val="0"/>
          <c:showCatName val="0"/>
          <c:showSerName val="0"/>
          <c:showPercent val="0"/>
          <c:showBubbleSize val="0"/>
        </c:dLbls>
        <c:gapWidth val="79"/>
        <c:overlap val="100"/>
        <c:axId val="275812440"/>
        <c:axId val="275811656"/>
      </c:barChart>
      <c:catAx>
        <c:axId val="275812440"/>
        <c:scaling>
          <c:orientation val="minMax"/>
        </c:scaling>
        <c:delete val="1"/>
        <c:axPos val="l"/>
        <c:numFmt formatCode="General" sourceLinked="1"/>
        <c:majorTickMark val="out"/>
        <c:minorTickMark val="none"/>
        <c:tickLblPos val="none"/>
        <c:crossAx val="275811656"/>
        <c:crosses val="autoZero"/>
        <c:auto val="1"/>
        <c:lblAlgn val="ctr"/>
        <c:lblOffset val="100"/>
        <c:noMultiLvlLbl val="0"/>
      </c:catAx>
      <c:valAx>
        <c:axId val="27581165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o-RO"/>
          </a:p>
        </c:txPr>
        <c:crossAx val="275812440"/>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ro-RO"/>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val>
            <c:numRef>
              <c:f>'Introducerea datelor'!$H$120:$S$120</c:f>
              <c:numCache>
                <c:formatCode>0.0</c:formatCode>
                <c:ptCount val="12"/>
                <c:pt idx="0">
                  <c:v>59</c:v>
                </c:pt>
                <c:pt idx="1">
                  <c:v>59</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val>
            <c:numRef>
              <c:f>'Introducerea datelor'!$H$121:$S$121</c:f>
              <c:numCache>
                <c:formatCode>0.0</c:formatCode>
                <c:ptCount val="12"/>
                <c:pt idx="0">
                  <c:v>65.3</c:v>
                </c:pt>
                <c:pt idx="1">
                  <c:v>65.5</c:v>
                </c:pt>
              </c:numCache>
            </c:numRef>
          </c:val>
        </c:ser>
        <c:dLbls>
          <c:showLegendKey val="0"/>
          <c:showVal val="0"/>
          <c:showCatName val="0"/>
          <c:showSerName val="0"/>
          <c:showPercent val="0"/>
          <c:showBubbleSize val="0"/>
        </c:dLbls>
        <c:gapWidth val="150"/>
        <c:axId val="309658976"/>
        <c:axId val="309659368"/>
      </c:barChart>
      <c:catAx>
        <c:axId val="30965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09659368"/>
        <c:crosses val="autoZero"/>
        <c:auto val="1"/>
        <c:lblAlgn val="ctr"/>
        <c:lblOffset val="100"/>
        <c:tickLblSkip val="1"/>
        <c:tickMarkSkip val="1"/>
        <c:noMultiLvlLbl val="0"/>
      </c:catAx>
      <c:valAx>
        <c:axId val="309659368"/>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09658976"/>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datelor'!$G$115</c:f>
              <c:strCache>
                <c:ptCount val="1"/>
              </c:strCache>
            </c:strRef>
          </c:tx>
          <c:spPr>
            <a:solidFill>
              <a:srgbClr val="0066CC"/>
            </a:solidFill>
            <a:ln w="25400">
              <a:noFill/>
            </a:ln>
          </c:spPr>
          <c:invertIfNegative val="0"/>
          <c:val>
            <c:numRef>
              <c:f>'Introducerea datelor'!$H$115:$S$115</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datelor'!$G$116</c:f>
              <c:strCache>
                <c:ptCount val="1"/>
                <c:pt idx="0">
                  <c:v>Ținta</c:v>
                </c:pt>
              </c:strCache>
            </c:strRef>
          </c:tx>
          <c:spPr>
            <a:solidFill>
              <a:srgbClr val="00CCFF"/>
            </a:solidFill>
            <a:ln w="12700">
              <a:solidFill>
                <a:srgbClr val="000000"/>
              </a:solidFill>
              <a:prstDash val="solid"/>
            </a:ln>
          </c:spPr>
          <c:invertIfNegative val="0"/>
          <c:dPt>
            <c:idx val="0"/>
            <c:invertIfNegative val="0"/>
            <c:bubble3D val="0"/>
            <c:spPr>
              <a:solidFill>
                <a:srgbClr val="0070C0"/>
              </a:solidFill>
              <a:ln w="12700">
                <a:solidFill>
                  <a:srgbClr val="000000"/>
                </a:solidFill>
                <a:prstDash val="solid"/>
              </a:ln>
            </c:spPr>
          </c:dPt>
          <c:val>
            <c:numRef>
              <c:f>'Introducerea datelor'!$H$116:$S$116</c:f>
              <c:numCache>
                <c:formatCode>0.0</c:formatCode>
                <c:ptCount val="12"/>
                <c:pt idx="0">
                  <c:v>10</c:v>
                </c:pt>
                <c:pt idx="1">
                  <c:v>10</c:v>
                </c:pt>
              </c:numCache>
            </c:numRef>
          </c:val>
        </c:ser>
        <c:ser>
          <c:idx val="2"/>
          <c:order val="2"/>
          <c:tx>
            <c:strRef>
              <c:f>'Introducerea datelor'!$G$117</c:f>
              <c:strCache>
                <c:ptCount val="1"/>
                <c:pt idx="0">
                  <c:v>Rezultat</c:v>
                </c:pt>
              </c:strCache>
            </c:strRef>
          </c:tx>
          <c:spPr>
            <a:solidFill>
              <a:srgbClr val="00B0F0"/>
            </a:solidFill>
            <a:ln w="12700"/>
          </c:spPr>
          <c:invertIfNegative val="0"/>
          <c:dPt>
            <c:idx val="0"/>
            <c:invertIfNegative val="0"/>
            <c:bubble3D val="0"/>
            <c:spPr>
              <a:solidFill>
                <a:srgbClr val="00B0F0"/>
              </a:solidFill>
              <a:ln w="12700">
                <a:prstDash val="solid"/>
              </a:ln>
            </c:spPr>
          </c:dPt>
          <c:val>
            <c:numRef>
              <c:f>'Introducerea datelor'!$H$117:$S$117</c:f>
              <c:numCache>
                <c:formatCode>0.0</c:formatCode>
                <c:ptCount val="12"/>
                <c:pt idx="0" formatCode="0.00">
                  <c:v>9.9600000000000009</c:v>
                </c:pt>
                <c:pt idx="1">
                  <c:v>10.130000000000001</c:v>
                </c:pt>
              </c:numCache>
            </c:numRef>
          </c:val>
        </c:ser>
        <c:dLbls>
          <c:showLegendKey val="0"/>
          <c:showVal val="0"/>
          <c:showCatName val="0"/>
          <c:showSerName val="0"/>
          <c:showPercent val="0"/>
          <c:showBubbleSize val="0"/>
        </c:dLbls>
        <c:gapWidth val="150"/>
        <c:axId val="309655056"/>
        <c:axId val="309655448"/>
      </c:barChart>
      <c:catAx>
        <c:axId val="309655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09655448"/>
        <c:crosses val="autoZero"/>
        <c:auto val="1"/>
        <c:lblAlgn val="ctr"/>
        <c:lblOffset val="100"/>
        <c:tickLblSkip val="1"/>
        <c:tickMarkSkip val="1"/>
        <c:noMultiLvlLbl val="0"/>
      </c:catAx>
      <c:valAx>
        <c:axId val="30965544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0965505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3093788.06</c:v>
                </c:pt>
                <c:pt idx="1">
                  <c:v>4897770.05</c:v>
                </c:pt>
                <c:pt idx="2">
                  <c:v>0</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2488378</c:v>
                </c:pt>
                <c:pt idx="1">
                  <c:v>3863104</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09654664"/>
        <c:axId val="309660152"/>
      </c:areaChart>
      <c:catAx>
        <c:axId val="309654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09660152"/>
        <c:crosses val="autoZero"/>
        <c:auto val="1"/>
        <c:lblAlgn val="ctr"/>
        <c:lblOffset val="100"/>
        <c:tickLblSkip val="8"/>
        <c:tickMarkSkip val="1"/>
        <c:noMultiLvlLbl val="0"/>
      </c:catAx>
      <c:valAx>
        <c:axId val="30966015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096546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datelor'!$C$83</c:f>
              <c:numCache>
                <c:formatCode>#,##0</c:formatCode>
                <c:ptCount val="1"/>
                <c:pt idx="0">
                  <c:v>1</c:v>
                </c:pt>
              </c:numCache>
            </c:numRef>
          </c:val>
        </c:ser>
        <c:dLbls>
          <c:showLegendKey val="0"/>
          <c:showVal val="0"/>
          <c:showCatName val="0"/>
          <c:showSerName val="0"/>
          <c:showPercent val="0"/>
          <c:showBubbleSize val="0"/>
        </c:dLbls>
        <c:gapWidth val="150"/>
        <c:overlap val="-20"/>
        <c:axId val="275810088"/>
        <c:axId val="275812048"/>
      </c:barChart>
      <c:catAx>
        <c:axId val="275810088"/>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o-RO"/>
          </a:p>
        </c:txPr>
        <c:crossAx val="275812048"/>
        <c:crosses val="autoZero"/>
        <c:auto val="0"/>
        <c:lblAlgn val="ctr"/>
        <c:lblOffset val="100"/>
        <c:tickMarkSkip val="1"/>
        <c:noMultiLvlLbl val="0"/>
      </c:catAx>
      <c:valAx>
        <c:axId val="275812048"/>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o-RO"/>
          </a:p>
        </c:txPr>
        <c:crossAx val="275810088"/>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ro-RO"/>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datelor'!$D$70</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datelor'!$D$71:$D$72</c:f>
              <c:numCache>
                <c:formatCode>0</c:formatCode>
                <c:ptCount val="2"/>
                <c:pt idx="0">
                  <c:v>2</c:v>
                </c:pt>
              </c:numCache>
            </c:numRef>
          </c:val>
        </c:ser>
        <c:ser>
          <c:idx val="1"/>
          <c:order val="1"/>
          <c:tx>
            <c:strRef>
              <c:f>'Introducerea datelor'!$E$70</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datelor'!$E$71:$E$72</c:f>
              <c:numCache>
                <c:formatCode>0</c:formatCode>
                <c:ptCount val="2"/>
                <c:pt idx="0">
                  <c:v>1</c:v>
                </c:pt>
              </c:numCache>
            </c:numRef>
          </c:val>
        </c:ser>
        <c:ser>
          <c:idx val="2"/>
          <c:order val="2"/>
          <c:tx>
            <c:strRef>
              <c:f>'Introducerea datelor'!$F$70</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datelor'!$F$71:$F$72</c:f>
              <c:numCache>
                <c:formatCode>0</c:formatCode>
                <c:ptCount val="2"/>
              </c:numCache>
            </c:numRef>
          </c:val>
        </c:ser>
        <c:dLbls>
          <c:showLegendKey val="0"/>
          <c:showVal val="0"/>
          <c:showCatName val="0"/>
          <c:showSerName val="0"/>
          <c:showPercent val="0"/>
          <c:showBubbleSize val="0"/>
        </c:dLbls>
        <c:gapWidth val="70"/>
        <c:overlap val="100"/>
        <c:axId val="308678608"/>
        <c:axId val="308680960"/>
      </c:barChart>
      <c:catAx>
        <c:axId val="3086786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08680960"/>
        <c:crosses val="autoZero"/>
        <c:auto val="1"/>
        <c:lblAlgn val="ctr"/>
        <c:lblOffset val="100"/>
        <c:tickLblSkip val="1"/>
        <c:tickMarkSkip val="1"/>
        <c:noMultiLvlLbl val="0"/>
      </c:catAx>
      <c:valAx>
        <c:axId val="30868096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08678608"/>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datelor'!$D$87</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datelor'!$D$88:$D$89</c:f>
              <c:numCache>
                <c:formatCode>0</c:formatCode>
                <c:ptCount val="2"/>
                <c:pt idx="0">
                  <c:v>0</c:v>
                </c:pt>
                <c:pt idx="1">
                  <c:v>3</c:v>
                </c:pt>
              </c:numCache>
            </c:numRef>
          </c:val>
        </c:ser>
        <c:ser>
          <c:idx val="2"/>
          <c:order val="1"/>
          <c:tx>
            <c:strRef>
              <c:f>'Introducerea datelor'!$E$87</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datelor'!$E$88:$E$89</c:f>
              <c:numCache>
                <c:formatCode>#,##0</c:formatCode>
                <c:ptCount val="2"/>
                <c:pt idx="0" formatCode="0">
                  <c:v>0</c:v>
                </c:pt>
                <c:pt idx="1">
                  <c:v>0</c:v>
                </c:pt>
              </c:numCache>
            </c:numRef>
          </c:val>
        </c:ser>
        <c:dLbls>
          <c:showLegendKey val="0"/>
          <c:showVal val="0"/>
          <c:showCatName val="0"/>
          <c:showSerName val="0"/>
          <c:showPercent val="0"/>
          <c:showBubbleSize val="0"/>
        </c:dLbls>
        <c:gapWidth val="101"/>
        <c:overlap val="100"/>
        <c:axId val="308682136"/>
        <c:axId val="308675472"/>
      </c:barChart>
      <c:catAx>
        <c:axId val="3086821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08675472"/>
        <c:crosses val="autoZero"/>
        <c:auto val="1"/>
        <c:lblAlgn val="ctr"/>
        <c:lblOffset val="100"/>
        <c:noMultiLvlLbl val="0"/>
      </c:catAx>
      <c:valAx>
        <c:axId val="30867547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08682136"/>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ro-RO"/>
          </a:p>
        </c:txPr>
      </c:legendEntry>
      <c:legendEntry>
        <c:idx val="1"/>
        <c:txPr>
          <a:bodyPr/>
          <a:lstStyle/>
          <a:p>
            <a:pPr>
              <a:defRPr sz="620" b="0" i="0" u="none" strike="noStrike" baseline="0">
                <a:solidFill>
                  <a:srgbClr val="000000"/>
                </a:solidFill>
                <a:latin typeface="Calibri"/>
                <a:ea typeface="Calibri"/>
                <a:cs typeface="Calibri"/>
              </a:defRPr>
            </a:pPr>
            <a:endParaRPr lang="ro-RO"/>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datelor'!$B$97</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datelor'!$C$97:$N$97</c:f>
              <c:numCache>
                <c:formatCode>#,##0</c:formatCode>
                <c:ptCount val="12"/>
                <c:pt idx="0">
                  <c:v>2475363.62</c:v>
                </c:pt>
                <c:pt idx="1">
                  <c:v>3946824.56</c:v>
                </c:pt>
                <c:pt idx="2">
                  <c:v>3946824.56</c:v>
                </c:pt>
                <c:pt idx="3">
                  <c:v>3946824.56</c:v>
                </c:pt>
                <c:pt idx="4">
                  <c:v>3946824.56</c:v>
                </c:pt>
                <c:pt idx="5">
                  <c:v>3946824.56</c:v>
                </c:pt>
                <c:pt idx="6">
                  <c:v>3946824.56</c:v>
                </c:pt>
                <c:pt idx="7">
                  <c:v>3946824.56</c:v>
                </c:pt>
                <c:pt idx="8">
                  <c:v>3946824.56</c:v>
                </c:pt>
                <c:pt idx="9">
                  <c:v>3946824.56</c:v>
                </c:pt>
                <c:pt idx="10">
                  <c:v>3946824.56</c:v>
                </c:pt>
                <c:pt idx="11">
                  <c:v>3946824.56</c:v>
                </c:pt>
              </c:numCache>
            </c:numRef>
          </c:val>
          <c:smooth val="0"/>
        </c:ser>
        <c:ser>
          <c:idx val="1"/>
          <c:order val="1"/>
          <c:tx>
            <c:strRef>
              <c:f>'Introducerea datelor'!$B$98</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datelor'!$C$98:$N$98</c:f>
              <c:numCache>
                <c:formatCode>#,##0</c:formatCode>
                <c:ptCount val="12"/>
                <c:pt idx="0">
                  <c:v>87919.039999999994</c:v>
                </c:pt>
                <c:pt idx="1">
                  <c:v>565154.68000000005</c:v>
                </c:pt>
                <c:pt idx="2">
                  <c:v>565154.68000000005</c:v>
                </c:pt>
                <c:pt idx="3">
                  <c:v>565154.68000000005</c:v>
                </c:pt>
                <c:pt idx="4">
                  <c:v>565154.68000000005</c:v>
                </c:pt>
                <c:pt idx="5">
                  <c:v>565154.68000000005</c:v>
                </c:pt>
                <c:pt idx="6">
                  <c:v>565154.68000000005</c:v>
                </c:pt>
                <c:pt idx="7">
                  <c:v>565154.68000000005</c:v>
                </c:pt>
                <c:pt idx="8">
                  <c:v>565154.68000000005</c:v>
                </c:pt>
                <c:pt idx="9">
                  <c:v>565154.68000000005</c:v>
                </c:pt>
                <c:pt idx="10">
                  <c:v>565154.68000000005</c:v>
                </c:pt>
                <c:pt idx="11">
                  <c:v>565154.68000000005</c:v>
                </c:pt>
              </c:numCache>
            </c:numRef>
          </c:val>
          <c:smooth val="0"/>
        </c:ser>
        <c:ser>
          <c:idx val="2"/>
          <c:order val="2"/>
          <c:tx>
            <c:strRef>
              <c:f>'Introducerea datelor'!$B$99</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datelor'!$C$99:$N$99</c:f>
              <c:numCache>
                <c:formatCode>#,##0</c:formatCode>
                <c:ptCount val="12"/>
                <c:pt idx="0">
                  <c:v>1387405.1</c:v>
                </c:pt>
                <c:pt idx="1">
                  <c:v>1852770.71</c:v>
                </c:pt>
                <c:pt idx="2">
                  <c:v>1852770.71</c:v>
                </c:pt>
                <c:pt idx="3">
                  <c:v>1852770.71</c:v>
                </c:pt>
                <c:pt idx="4">
                  <c:v>1852770.71</c:v>
                </c:pt>
                <c:pt idx="5">
                  <c:v>1852770.71</c:v>
                </c:pt>
                <c:pt idx="6">
                  <c:v>1852770.71</c:v>
                </c:pt>
                <c:pt idx="7">
                  <c:v>1852770.71</c:v>
                </c:pt>
                <c:pt idx="8">
                  <c:v>1852770.71</c:v>
                </c:pt>
                <c:pt idx="9">
                  <c:v>1852770.71</c:v>
                </c:pt>
                <c:pt idx="10">
                  <c:v>1852770.71</c:v>
                </c:pt>
                <c:pt idx="11">
                  <c:v>1852770.71</c:v>
                </c:pt>
              </c:numCache>
            </c:numRef>
          </c:val>
          <c:smooth val="0"/>
        </c:ser>
        <c:dLbls>
          <c:showLegendKey val="0"/>
          <c:showVal val="0"/>
          <c:showCatName val="0"/>
          <c:showSerName val="0"/>
          <c:showPercent val="0"/>
          <c:showBubbleSize val="0"/>
        </c:dLbls>
        <c:marker val="1"/>
        <c:smooth val="0"/>
        <c:axId val="308681744"/>
        <c:axId val="308682528"/>
      </c:lineChart>
      <c:catAx>
        <c:axId val="308681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08682528"/>
        <c:crosses val="autoZero"/>
        <c:auto val="1"/>
        <c:lblAlgn val="ctr"/>
        <c:lblOffset val="100"/>
        <c:tickLblSkip val="1"/>
        <c:tickMarkSkip val="1"/>
        <c:noMultiLvlLbl val="0"/>
      </c:catAx>
      <c:valAx>
        <c:axId val="308682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08681744"/>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chemeClr val="accent2">
                <a:lumMod val="40000"/>
                <a:lumOff val="60000"/>
              </a:schemeClr>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3093788.06</c:v>
                </c:pt>
                <c:pt idx="1">
                  <c:v>4897770.05</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2488378</c:v>
                </c:pt>
                <c:pt idx="1">
                  <c:v>3863104</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08679784"/>
        <c:axId val="308675864"/>
      </c:barChart>
      <c:catAx>
        <c:axId val="30867978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308675864"/>
        <c:crosses val="autoZero"/>
        <c:auto val="1"/>
        <c:lblAlgn val="ctr"/>
        <c:lblOffset val="100"/>
        <c:tickLblSkip val="1"/>
        <c:tickMarkSkip val="1"/>
        <c:noMultiLvlLbl val="0"/>
      </c:catAx>
      <c:valAx>
        <c:axId val="3086758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30867978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ro-RO"/>
          </a:p>
        </c:txPr>
      </c:legendEntry>
      <c:legendEntry>
        <c:idx val="1"/>
        <c:txPr>
          <a:bodyPr/>
          <a:lstStyle/>
          <a:p>
            <a:pPr>
              <a:defRPr sz="620" b="0" i="0" u="none" strike="noStrike" baseline="0">
                <a:solidFill>
                  <a:srgbClr val="000000"/>
                </a:solidFill>
                <a:latin typeface="Arial"/>
                <a:ea typeface="Arial"/>
                <a:cs typeface="Arial"/>
              </a:defRPr>
            </a:pPr>
            <a:endParaRPr lang="ro-RO"/>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datelor'!$C$51:$C$54</c:f>
              <c:numCache>
                <c:formatCode>#,##0</c:formatCode>
                <c:ptCount val="4"/>
                <c:pt idx="0">
                  <c:v>2488378</c:v>
                </c:pt>
                <c:pt idx="1">
                  <c:v>1705801</c:v>
                </c:pt>
                <c:pt idx="2">
                  <c:v>35465</c:v>
                </c:pt>
                <c:pt idx="3">
                  <c:v>21802</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datelor'!$D$51:$D$54</c:f>
              <c:numCache>
                <c:formatCode>#,##0</c:formatCode>
                <c:ptCount val="4"/>
                <c:pt idx="0">
                  <c:v>1374726</c:v>
                </c:pt>
                <c:pt idx="1">
                  <c:v>672505.97</c:v>
                </c:pt>
                <c:pt idx="2">
                  <c:v>30317.29</c:v>
                </c:pt>
                <c:pt idx="3">
                  <c:v>28075.27</c:v>
                </c:pt>
              </c:numCache>
            </c:numRef>
          </c:val>
        </c:ser>
        <c:dLbls>
          <c:showLegendKey val="0"/>
          <c:showVal val="0"/>
          <c:showCatName val="0"/>
          <c:showSerName val="0"/>
          <c:showPercent val="0"/>
          <c:showBubbleSize val="0"/>
        </c:dLbls>
        <c:gapWidth val="150"/>
        <c:overlap val="100"/>
        <c:axId val="308676256"/>
        <c:axId val="308676648"/>
      </c:barChart>
      <c:catAx>
        <c:axId val="3086762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308676648"/>
        <c:crossesAt val="0"/>
        <c:auto val="1"/>
        <c:lblAlgn val="ctr"/>
        <c:lblOffset val="100"/>
        <c:noMultiLvlLbl val="0"/>
      </c:catAx>
      <c:valAx>
        <c:axId val="308676648"/>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30867625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datelor'!$C$39:$C$42</c:f>
              <c:numCache>
                <c:formatCode>#,##0</c:formatCode>
                <c:ptCount val="4"/>
                <c:pt idx="0">
                  <c:v>1304050.08</c:v>
                </c:pt>
                <c:pt idx="1">
                  <c:v>3249061.5</c:v>
                </c:pt>
                <c:pt idx="2">
                  <c:v>170448.94</c:v>
                </c:pt>
                <c:pt idx="3">
                  <c:v>174209.53</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datelor'!$D$39:$D$42</c:f>
              <c:numCache>
                <c:formatCode>#,##0</c:formatCode>
                <c:ptCount val="4"/>
                <c:pt idx="0">
                  <c:v>472719.12</c:v>
                </c:pt>
                <c:pt idx="1">
                  <c:v>1692441.52</c:v>
                </c:pt>
                <c:pt idx="2">
                  <c:v>92202.16</c:v>
                </c:pt>
                <c:pt idx="3">
                  <c:v>168270.07</c:v>
                </c:pt>
              </c:numCache>
            </c:numRef>
          </c:val>
        </c:ser>
        <c:dLbls>
          <c:showLegendKey val="0"/>
          <c:showVal val="0"/>
          <c:showCatName val="0"/>
          <c:showSerName val="0"/>
          <c:showPercent val="0"/>
          <c:showBubbleSize val="0"/>
        </c:dLbls>
        <c:gapWidth val="150"/>
        <c:axId val="308677040"/>
        <c:axId val="308678216"/>
      </c:barChart>
      <c:catAx>
        <c:axId val="308677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08678216"/>
        <c:crosses val="autoZero"/>
        <c:auto val="1"/>
        <c:lblAlgn val="ctr"/>
        <c:lblOffset val="100"/>
        <c:tickMarkSkip val="1"/>
        <c:noMultiLvlLbl val="0"/>
      </c:catAx>
      <c:valAx>
        <c:axId val="3086782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0867704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22</c:v>
                </c:pt>
                <c:pt idx="1">
                  <c:v>22</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27.2</c:v>
                </c:pt>
                <c:pt idx="1">
                  <c:v>25.3</c:v>
                </c:pt>
              </c:numCache>
            </c:numRef>
          </c:val>
        </c:ser>
        <c:dLbls>
          <c:showLegendKey val="0"/>
          <c:showVal val="0"/>
          <c:showCatName val="0"/>
          <c:showSerName val="0"/>
          <c:showPercent val="0"/>
          <c:showBubbleSize val="0"/>
        </c:dLbls>
        <c:gapWidth val="150"/>
        <c:axId val="309657408"/>
        <c:axId val="309658584"/>
      </c:barChart>
      <c:catAx>
        <c:axId val="30965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09658584"/>
        <c:crosses val="autoZero"/>
        <c:auto val="1"/>
        <c:lblAlgn val="ctr"/>
        <c:lblOffset val="100"/>
        <c:tickLblSkip val="1"/>
        <c:tickMarkSkip val="1"/>
        <c:noMultiLvlLbl val="0"/>
      </c:catAx>
      <c:valAx>
        <c:axId val="3096585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09657408"/>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5</xdr:col>
      <xdr:colOff>1016000</xdr:colOff>
      <xdr:row>34</xdr:row>
      <xdr:rowOff>177800</xdr:rowOff>
    </xdr:from>
    <xdr:to>
      <xdr:col>5</xdr:col>
      <xdr:colOff>1028700</xdr:colOff>
      <xdr:row>44</xdr:row>
      <xdr:rowOff>152400</xdr:rowOff>
    </xdr:to>
    <xdr:cxnSp macro="">
      <xdr:nvCxnSpPr>
        <xdr:cNvPr id="2305189" name="AutoShape 100"/>
        <xdr:cNvCxnSpPr>
          <a:cxnSpLocks noChangeShapeType="1"/>
        </xdr:cNvCxnSpPr>
      </xdr:nvCxnSpPr>
      <xdr:spPr bwMode="auto">
        <a:xfrm>
          <a:off x="8458200" y="6527800"/>
          <a:ext cx="12700" cy="36703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45</xdr:row>
      <xdr:rowOff>88900</xdr:rowOff>
    </xdr:from>
    <xdr:to>
      <xdr:col>5</xdr:col>
      <xdr:colOff>25400</xdr:colOff>
      <xdr:row>45</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673100</xdr:colOff>
      <xdr:row>34</xdr:row>
      <xdr:rowOff>139700</xdr:rowOff>
    </xdr:from>
    <xdr:to>
      <xdr:col>5</xdr:col>
      <xdr:colOff>1028700</xdr:colOff>
      <xdr:row>34</xdr:row>
      <xdr:rowOff>177800</xdr:rowOff>
    </xdr:to>
    <xdr:cxnSp macro="">
      <xdr:nvCxnSpPr>
        <xdr:cNvPr id="4" name="Straight Arrow Connector 3"/>
        <xdr:cNvCxnSpPr/>
      </xdr:nvCxnSpPr>
      <xdr:spPr bwMode="auto">
        <a:xfrm flipH="1" flipV="1">
          <a:off x="5588000" y="6489700"/>
          <a:ext cx="2882900" cy="381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xdr:col>
      <xdr:colOff>673100</xdr:colOff>
      <xdr:row>33</xdr:row>
      <xdr:rowOff>177800</xdr:rowOff>
    </xdr:from>
    <xdr:to>
      <xdr:col>3</xdr:col>
      <xdr:colOff>685800</xdr:colOff>
      <xdr:row>34</xdr:row>
      <xdr:rowOff>165100</xdr:rowOff>
    </xdr:to>
    <xdr:cxnSp macro="">
      <xdr:nvCxnSpPr>
        <xdr:cNvPr id="6" name="Straight Arrow Connector 5"/>
        <xdr:cNvCxnSpPr/>
      </xdr:nvCxnSpPr>
      <xdr:spPr bwMode="auto">
        <a:xfrm flipV="1">
          <a:off x="5588000" y="6324600"/>
          <a:ext cx="12700" cy="1905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10</xdr:col>
      <xdr:colOff>764071</xdr:colOff>
      <xdr:row>20</xdr:row>
      <xdr:rowOff>38100</xdr:rowOff>
    </xdr:to>
    <xdr:grpSp>
      <xdr:nvGrpSpPr>
        <xdr:cNvPr id="1591155" name="Group 489"/>
        <xdr:cNvGrpSpPr>
          <a:grpSpLocks/>
        </xdr:cNvGrpSpPr>
      </xdr:nvGrpSpPr>
      <xdr:grpSpPr bwMode="auto">
        <a:xfrm>
          <a:off x="4145032" y="5800725"/>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11308660"/>
          <a:ext cx="3961986" cy="2374624"/>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119126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119126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119126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119126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8" r="C42" connectionId="0">
    <xmlCellPr id="1" uniqueName="1">
      <xmlPr mapId="43" xpath="/ns1:Root/ns1:F2/ns1:Environ__Community_TB_care__Cumulative_Budget__in___" xmlDataType="double"/>
    </xmlCellPr>
  </singleXmlCell>
  <singleXmlCell id="469" r="D42" connectionId="0">
    <xmlCellPr id="1" uniqueName="1">
      <xmlPr mapId="43" xpath="/ns1:Root/ns1:F2/ns1:Environ__Community_TB_care__Cumulative_Expenditures__in___" xmlDataType="double"/>
    </xmlCellPr>
  </singleXmlCell>
  <singleXmlCell id="470" r="C43" connectionId="0">
    <xmlCellPr id="1" uniqueName="1">
      <xmlPr mapId="43" xpath="/ns1:Root/ns1:F2/ns1:_Cumulative_Budget__in____1" xmlDataType="string"/>
    </xmlCellPr>
  </singleXmlCell>
  <singleXmlCell id="471" r="D43" connectionId="0">
    <xmlCellPr id="1" uniqueName="1">
      <xmlPr mapId="43" xpath="/ns1:Root/ns1:F2/ns1:_Cumulative_Expenditures__in____1" xmlDataType="string"/>
    </xmlCellPr>
  </singleXmlCell>
  <singleXmlCell id="472" r="C44" connectionId="0">
    <xmlCellPr id="1" uniqueName="1">
      <xmlPr mapId="43" xpath="/ns1:Root/ns1:F2/ns1:_Cumulative_Budget__in____2" xmlDataType="string"/>
    </xmlCellPr>
  </singleXmlCell>
  <singleXmlCell id="473" r="D44" connectionId="0">
    <xmlCellPr id="1" uniqueName="1">
      <xmlPr mapId="43" xpath="/ns1:Root/ns1:F2/ns1:_Cumulative_Expenditures__in____2" xmlDataType="string"/>
    </xmlCellPr>
  </singleXmlCell>
  <singleXmlCell id="474" r="C45" connectionId="0">
    <xmlCellPr id="1" uniqueName="1">
      <xmlPr mapId="43" xpath="/ns1:Root/ns1:F2/ns1:_Cumulative_Budget__in___" xmlDataType="string"/>
    </xmlCellPr>
  </singleXmlCell>
  <singleXmlCell id="475" r="D45" connectionId="0">
    <xmlCellPr id="1" uniqueName="1">
      <xmlPr mapId="43" xpath="/ns1:Root/ns1:F2/ns1:_Cumulative_Expenditures__in___" xmlDataType="string"/>
    </xmlCellPr>
  </singleXmlCell>
  <singleXmlCell id="476" r="C51" connectionId="0">
    <xmlCellPr id="1" uniqueName="1">
      <xmlPr mapId="43" xpath="/ns1:Root/ns1:F3/ns1:Disbursed_by_Global_Fund_Prior_to_reporting_period__in___" xmlDataType="double"/>
    </xmlCellPr>
  </singleXmlCell>
  <singleXmlCell id="477" r="D51" connectionId="0">
    <xmlCellPr id="1" uniqueName="1">
      <xmlPr mapId="43" xpath="/ns1:Root/ns1:F3/ns1:Disbursed_by_Global_Fund_Reporting_period__in___" xmlDataType="double"/>
    </xmlCellPr>
  </singleXmlCell>
  <singleXmlCell id="478" r="C52" connectionId="0">
    <xmlCellPr id="1" uniqueName="1">
      <xmlPr mapId="43" xpath="/ns1:Root/ns1:F3/ns1:PR_expenditure_and_disbursement_Prior_to_reporting_period__in___" xmlDataType="double"/>
    </xmlCellPr>
  </singleXmlCell>
  <singleXmlCell id="479" r="D52" connectionId="0">
    <xmlCellPr id="1" uniqueName="1">
      <xmlPr mapId="43" xpath="/ns1:Root/ns1:F3/ns1:PR_expenditure_and_disbursement_Reporting_period__in___" xmlDataType="double"/>
    </xmlCellPr>
  </singleXmlCell>
  <singleXmlCell id="480" r="C53" connectionId="0">
    <xmlCellPr id="1" uniqueName="1">
      <xmlPr mapId="43" xpath="/ns1:Root/ns1:F3/ns1:Disbursed_to_SRs_Prior_to_reporting_period__in___" xmlDataType="double"/>
    </xmlCellPr>
  </singleXmlCell>
  <singleXmlCell id="481" r="D53" connectionId="0">
    <xmlCellPr id="1" uniqueName="1">
      <xmlPr mapId="43" xpath="/ns1:Root/ns1:F3/ns1:Disbursed_to_SRs_Reporting_period__in___" xmlDataType="double"/>
    </xmlCellPr>
  </singleXmlCell>
  <singleXmlCell id="482" r="C54" connectionId="0">
    <xmlCellPr id="1" uniqueName="1">
      <xmlPr mapId="43" xpath="/ns1:Root/ns1:F3/ns1:SR_expenditures_Prior_to_reporting_period__in___" xmlDataType="double"/>
    </xmlCellPr>
  </singleXmlCell>
  <singleXmlCell id="483" r="D54" connectionId="0">
    <xmlCellPr id="1" uniqueName="1">
      <xmlPr mapId="43" xpath="/ns1:Root/ns1:F3/ns1:SR_expenditures_Reporting_period__in___" xmlDataType="double"/>
    </xmlCellPr>
  </singleXmlCell>
  <singleXmlCell id="484" r="C61" connectionId="0">
    <xmlCellPr id="1" uniqueName="1">
      <xmlPr mapId="43" xpath="/ns1:Root/ns1:F4/ns1:Days_taken_to_submit_acceptable_PU_DR_to_LFA_Expected__days_" xmlDataType="double"/>
    </xmlCellPr>
  </singleXmlCell>
  <singleXmlCell id="485" r="D61" connectionId="0">
    <xmlCellPr id="1" uniqueName="1">
      <xmlPr mapId="43" xpath="/ns1:Root/ns1:F4/ns1:Days_taken_to_submit_acceptable_PU_DR_to_LFA_Actual__days_" xmlDataType="double"/>
    </xmlCellPr>
  </singleXmlCell>
  <singleXmlCell id="486" r="C62" connectionId="0">
    <xmlCellPr id="1" uniqueName="1">
      <xmlPr mapId="43" xpath="/ns1:Root/ns1:F4/ns1:Days_taken_for_disbursement_to_reach_PR_Expected__days_" xmlDataType="double"/>
    </xmlCellPr>
  </singleXmlCell>
  <singleXmlCell id="487" r="D62" connectionId="0">
    <xmlCellPr id="1" uniqueName="1">
      <xmlPr mapId="43" xpath="/ns1:Root/ns1:F4/ns1:Days_taken_for_disbursement_to_reach_PR_Actual__days_" xmlDataType="double"/>
    </xmlCellPr>
  </singleXmlCell>
  <singleXmlCell id="488" r="C63" connectionId="0">
    <xmlCellPr id="1" uniqueName="1">
      <xmlPr mapId="43" xpath="/ns1:Root/ns1:F4/ns1:Days_taken_for_disbursement_to_reach_SRs__Expected__days_" xmlDataType="double"/>
    </xmlCellPr>
  </singleXmlCell>
  <singleXmlCell id="489" r="D63" connectionId="0">
    <xmlCellPr id="1" uniqueName="1">
      <xmlPr mapId="43" xpath="/ns1:Root/ns1:F4/ns1:Days_taken_for_disbursement_to_reach_SRs__Actual__days_" xmlDataType="double"/>
    </xmlCellPr>
  </singleXmlCell>
  <singleXmlCell id="490" r="B71" connectionId="0">
    <xmlCellPr id="1" uniqueName="1">
      <xmlPr mapId="43" xpath="/ns1:Root/ns1:M1/ns1:Conditions_precedents__CPs__" xmlDataType="string"/>
    </xmlCellPr>
  </singleXmlCell>
  <singleXmlCell id="491" r="D71" connectionId="0">
    <xmlCellPr id="1" uniqueName="1">
      <xmlPr mapId="43" xpath="/ns1:Root/ns1:M1/ns1:Conditions_precedents__CPs__Fulfilled" xmlDataType="double"/>
    </xmlCellPr>
  </singleXmlCell>
  <singleXmlCell id="492" r="E71" connectionId="0">
    <xmlCellPr id="1" uniqueName="1">
      <xmlPr mapId="43" xpath="/ns1:Root/ns1:M1/ns1:Conditions_precedents__CPs__Not_fulfilled__but_within_deadline" xmlDataType="double"/>
    </xmlCellPr>
  </singleXmlCell>
  <singleXmlCell id="493" r="F71" connectionId="0">
    <xmlCellPr id="1" uniqueName="1">
      <xmlPr mapId="43" xpath="/ns1:Root/ns1:M1/ns1:Conditions_precedents__CPs__Not_fulfilled__and_past_the_deadline" xmlDataType="double"/>
    </xmlCellPr>
  </singleXmlCell>
  <singleXmlCell id="494" r="B72" connectionId="0">
    <xmlCellPr id="1" uniqueName="1">
      <xmlPr mapId="43" xpath="/ns1:Root/ns1:M1/ns1:Time_Bound_Actions__TBAs__" xmlDataType="string"/>
    </xmlCellPr>
  </singleXmlCell>
  <singleXmlCell id="495" r="D72" connectionId="0">
    <xmlCellPr id="1" uniqueName="1">
      <xmlPr mapId="43" xpath="/ns1:Root/ns1:M1/ns1:Time_Bound_Actions__TBAs__Fulfilled" xmlDataType="double"/>
    </xmlCellPr>
  </singleXmlCell>
  <singleXmlCell id="496" r="E72" connectionId="0">
    <xmlCellPr id="1" uniqueName="1">
      <xmlPr mapId="43" xpath="/ns1:Root/ns1:M1/ns1:Time_Bound_Actions__TBAs__Not_fulfilled__but_within_deadline" xmlDataType="string"/>
    </xmlCellPr>
  </singleXmlCell>
  <singleXmlCell id="497" r="F72" connectionId="0">
    <xmlCellPr id="1" uniqueName="1">
      <xmlPr mapId="43" xpath="/ns1:Root/ns1:M1/ns1:Time_Bound_Actions__TBAs__Not_fulfilled__and_past_the_deadline" xmlDataType="double"/>
    </xmlCellPr>
  </singleXmlCell>
  <singleXmlCell id="498" r="C78" connectionId="0">
    <xmlCellPr id="1" uniqueName="1">
      <xmlPr mapId="43" xpath="/ns1:Root/ns1:M2/ns1:PMU_Planned" xmlDataType="double"/>
    </xmlCellPr>
  </singleXmlCell>
  <singleXmlCell id="499" r="D78" connectionId="0">
    <xmlCellPr id="1" uniqueName="1">
      <xmlPr mapId="43" xpath="/ns1:Root/ns1:M2/ns1:PMU_Filled" xmlDataType="double"/>
    </xmlCellPr>
  </singleXmlCell>
  <singleXmlCell id="500" r="C83" connectionId="0">
    <xmlCellPr id="1" uniqueName="1">
      <xmlPr mapId="43" xpath="/ns1:Root/ns1:M3/ns1:SRs_Identified" xmlDataType="double"/>
    </xmlCellPr>
  </singleXmlCell>
  <singleXmlCell id="501" r="D83" connectionId="0">
    <xmlCellPr id="1" uniqueName="1">
      <xmlPr mapId="43" xpath="/ns1:Root/ns1:M3/ns1:SRs_Assessed" xmlDataType="double"/>
    </xmlCellPr>
  </singleXmlCell>
  <singleXmlCell id="502" r="E83" connectionId="0">
    <xmlCellPr id="1" uniqueName="1">
      <xmlPr mapId="43" xpath="/ns1:Root/ns1:M3/ns1:SRs_Approved" xmlDataType="double"/>
    </xmlCellPr>
  </singleXmlCell>
  <singleXmlCell id="503" r="F83" connectionId="0">
    <xmlCellPr id="1" uniqueName="1">
      <xmlPr mapId="43" xpath="/ns1:Root/ns1:M3/ns1:SRs_Signed" xmlDataType="double"/>
    </xmlCellPr>
  </singleXmlCell>
  <singleXmlCell id="504" r="G83" connectionId="0">
    <xmlCellPr id="1" uniqueName="1">
      <xmlPr mapId="43" xpath="/ns1:Root/ns1:M3/ns1:SRs_Receiving_Funding" xmlDataType="double"/>
    </xmlCellPr>
  </singleXmlCell>
  <singleXmlCell id="506" r="C88" connectionId="0">
    <xmlCellPr id="1" uniqueName="1">
      <xmlPr mapId="43" xpath="/ns1:Root/ns1:M4/ns1:SSR_to_SR__IR_____Expected" xmlDataType="string"/>
    </xmlCellPr>
  </singleXmlCell>
  <singleXmlCell id="507" r="D88" connectionId="0">
    <xmlCellPr id="1" uniqueName="1">
      <xmlPr mapId="43" xpath="/ns1:Root/ns1:M4/ns1:SSR_to_SR__IR____Received" xmlDataType="string"/>
    </xmlCellPr>
  </singleXmlCell>
  <singleXmlCell id="509" r="C89" connectionId="0">
    <xmlCellPr id="1" uniqueName="1">
      <xmlPr mapId="43" xpath="/ns1:Root/ns1:M4/ns1:SRs__IRs__to_PR____Expected" xmlDataType="double"/>
    </xmlCellPr>
  </singleXmlCell>
  <singleXmlCell id="510" r="D89" connectionId="0">
    <xmlCellPr id="1" uniqueName="1">
      <xmlPr mapId="43" xpath="/ns1:Root/ns1:M4/ns1:SRs__IRs__to_PR___Received" xmlDataType="double"/>
    </xmlCellPr>
  </singleXmlCell>
  <singleXmlCell id="511" r="C94" connectionId="0">
    <xmlCellPr id="1" uniqueName="1">
      <xmlPr mapId="43" xpath="/ns1:Root/ns1:M5/ns1:Budget_Approved__P1" xmlDataType="double"/>
    </xmlCellPr>
  </singleXmlCell>
  <singleXmlCell id="512" r="D94" connectionId="0">
    <xmlCellPr id="1" uniqueName="1">
      <xmlPr mapId="43" xpath="/ns1:Root/ns1:M5/ns1:Budget_Approved__P2" xmlDataType="double"/>
    </xmlCellPr>
  </singleXmlCell>
  <singleXmlCell id="513" r="E94" connectionId="0">
    <xmlCellPr id="1" uniqueName="1">
      <xmlPr mapId="43" xpath="/ns1:Root/ns1:M5/ns1:Budget_Approved__P3" xmlDataType="double"/>
    </xmlCellPr>
  </singleXmlCell>
  <singleXmlCell id="514" r="F94" connectionId="0">
    <xmlCellPr id="1" uniqueName="1">
      <xmlPr mapId="43" xpath="/ns1:Root/ns1:M5/ns1:Budget_Approved__P4" xmlDataType="double"/>
    </xmlCellPr>
  </singleXmlCell>
  <singleXmlCell id="515" r="G94" connectionId="0">
    <xmlCellPr id="1" uniqueName="1">
      <xmlPr mapId="43" xpath="/ns1:Root/ns1:M5/ns1:Budget_Approved__P5" xmlDataType="double"/>
    </xmlCellPr>
  </singleXmlCell>
  <singleXmlCell id="516" r="H94" connectionId="0">
    <xmlCellPr id="1" uniqueName="1">
      <xmlPr mapId="43" xpath="/ns1:Root/ns1:M5/ns1:Budget_Approved__P6" xmlDataType="double"/>
    </xmlCellPr>
  </singleXmlCell>
  <singleXmlCell id="517" r="I94" connectionId="0">
    <xmlCellPr id="1" uniqueName="1">
      <xmlPr mapId="43" xpath="/ns1:Root/ns1:M5/ns1:Budget_Approved__P7" xmlDataType="double"/>
    </xmlCellPr>
  </singleXmlCell>
  <singleXmlCell id="518" r="J94" connectionId="0">
    <xmlCellPr id="1" uniqueName="1">
      <xmlPr mapId="43" xpath="/ns1:Root/ns1:M5/ns1:Budget_Approved__P8" xmlDataType="double"/>
    </xmlCellPr>
  </singleXmlCell>
  <singleXmlCell id="519" r="K94" connectionId="0">
    <xmlCellPr id="1" uniqueName="1">
      <xmlPr mapId="43" xpath="/ns1:Root/ns1:M5/ns1:Budget_Approved__P9" xmlDataType="double"/>
    </xmlCellPr>
  </singleXmlCell>
  <singleXmlCell id="520" r="L94" connectionId="0">
    <xmlCellPr id="1" uniqueName="1">
      <xmlPr mapId="43" xpath="/ns1:Root/ns1:M5/ns1:Budget_Approved__P10" xmlDataType="double"/>
    </xmlCellPr>
  </singleXmlCell>
  <singleXmlCell id="521" r="M94" connectionId="0">
    <xmlCellPr id="1" uniqueName="1">
      <xmlPr mapId="43" xpath="/ns1:Root/ns1:M5/ns1:Budget_Approved__P11" xmlDataType="double"/>
    </xmlCellPr>
  </singleXmlCell>
  <singleXmlCell id="522" r="N94" connectionId="0">
    <xmlCellPr id="1" uniqueName="1">
      <xmlPr mapId="43" xpath="/ns1:Root/ns1:M5/ns1:Budget_Approved__P12" xmlDataType="double"/>
    </xmlCellPr>
  </singleXmlCell>
  <singleXmlCell id="523" r="C95" connectionId="0">
    <xmlCellPr id="1" uniqueName="1">
      <xmlPr mapId="43" xpath="/ns1:Root/ns1:M5/ns1:Obligations_P1" xmlDataType="double"/>
    </xmlCellPr>
  </singleXmlCell>
  <singleXmlCell id="524" r="D95" connectionId="0">
    <xmlCellPr id="1" uniqueName="1">
      <xmlPr mapId="43" xpath="/ns1:Root/ns1:M5/ns1:Obligations_P2" xmlDataType="double"/>
    </xmlCellPr>
  </singleXmlCell>
  <singleXmlCell id="525" r="E95" connectionId="0">
    <xmlCellPr id="1" uniqueName="1">
      <xmlPr mapId="43" xpath="/ns1:Root/ns1:M5/ns1:Obligations_P3" xmlDataType="double"/>
    </xmlCellPr>
  </singleXmlCell>
  <singleXmlCell id="526" r="F95" connectionId="0">
    <xmlCellPr id="1" uniqueName="1">
      <xmlPr mapId="43" xpath="/ns1:Root/ns1:M5/ns1:Obligations_P4" xmlDataType="double"/>
    </xmlCellPr>
  </singleXmlCell>
  <singleXmlCell id="527" r="G95" connectionId="0">
    <xmlCellPr id="1" uniqueName="1">
      <xmlPr mapId="43" xpath="/ns1:Root/ns1:M5/ns1:Obligations_P5" xmlDataType="double"/>
    </xmlCellPr>
  </singleXmlCell>
  <singleXmlCell id="528" r="H95" connectionId="0">
    <xmlCellPr id="1" uniqueName="1">
      <xmlPr mapId="43" xpath="/ns1:Root/ns1:M5/ns1:Obligations_P6" xmlDataType="double"/>
    </xmlCellPr>
  </singleXmlCell>
  <singleXmlCell id="529" r="I95" connectionId="0">
    <xmlCellPr id="1" uniqueName="1">
      <xmlPr mapId="43" xpath="/ns1:Root/ns1:M5/ns1:Obligations_P7" xmlDataType="double"/>
    </xmlCellPr>
  </singleXmlCell>
  <singleXmlCell id="530" r="J95" connectionId="0">
    <xmlCellPr id="1" uniqueName="1">
      <xmlPr mapId="43" xpath="/ns1:Root/ns1:M5/ns1:Obligations_P8" xmlDataType="double"/>
    </xmlCellPr>
  </singleXmlCell>
  <singleXmlCell id="531" r="K95" connectionId="0">
    <xmlCellPr id="1" uniqueName="1">
      <xmlPr mapId="43" xpath="/ns1:Root/ns1:M5/ns1:Obligations_P9" xmlDataType="double"/>
    </xmlCellPr>
  </singleXmlCell>
  <singleXmlCell id="532" r="L95" connectionId="0">
    <xmlCellPr id="1" uniqueName="1">
      <xmlPr mapId="43" xpath="/ns1:Root/ns1:M5/ns1:Obligations_P10" xmlDataType="double"/>
    </xmlCellPr>
  </singleXmlCell>
  <singleXmlCell id="533" r="M95" connectionId="0">
    <xmlCellPr id="1" uniqueName="1">
      <xmlPr mapId="43" xpath="/ns1:Root/ns1:M5/ns1:Obligations_P11" xmlDataType="double"/>
    </xmlCellPr>
  </singleXmlCell>
  <singleXmlCell id="534" r="N95" connectionId="0">
    <xmlCellPr id="1" uniqueName="1">
      <xmlPr mapId="43" xpath="/ns1:Root/ns1:M5/ns1:Obligations_P12" xmlDataType="double"/>
    </xmlCellPr>
  </singleXmlCell>
  <singleXmlCell id="535" r="C96" connectionId="0">
    <xmlCellPr id="1" uniqueName="1">
      <xmlPr mapId="43" xpath="/ns1:Root/ns1:M5/ns1:Expenditures_P1" xmlDataType="double"/>
    </xmlCellPr>
  </singleXmlCell>
  <singleXmlCell id="536" r="D96" connectionId="0">
    <xmlCellPr id="1" uniqueName="1">
      <xmlPr mapId="43" xpath="/ns1:Root/ns1:M5/ns1:Expenditures_P2" xmlDataType="double"/>
    </xmlCellPr>
  </singleXmlCell>
  <singleXmlCell id="537" r="E96" connectionId="0">
    <xmlCellPr id="1" uniqueName="1">
      <xmlPr mapId="43" xpath="/ns1:Root/ns1:M5/ns1:Expenditures_P3" xmlDataType="double"/>
    </xmlCellPr>
  </singleXmlCell>
  <singleXmlCell id="538" r="F96" connectionId="0">
    <xmlCellPr id="1" uniqueName="1">
      <xmlPr mapId="43" xpath="/ns1:Root/ns1:M5/ns1:Expenditures_P4" xmlDataType="double"/>
    </xmlCellPr>
  </singleXmlCell>
  <singleXmlCell id="539" r="G96" connectionId="0">
    <xmlCellPr id="1" uniqueName="1">
      <xmlPr mapId="43" xpath="/ns1:Root/ns1:M5/ns1:Expenditures_P5" xmlDataType="double"/>
    </xmlCellPr>
  </singleXmlCell>
  <singleXmlCell id="540" r="H96" connectionId="0">
    <xmlCellPr id="1" uniqueName="1">
      <xmlPr mapId="43" xpath="/ns1:Root/ns1:M5/ns1:Expenditures_P6" xmlDataType="double"/>
    </xmlCellPr>
  </singleXmlCell>
  <singleXmlCell id="541" r="I96" connectionId="0">
    <xmlCellPr id="1" uniqueName="1">
      <xmlPr mapId="43" xpath="/ns1:Root/ns1:M5/ns1:Expenditures_P7" xmlDataType="double"/>
    </xmlCellPr>
  </singleXmlCell>
  <singleXmlCell id="542" r="J96" connectionId="0">
    <xmlCellPr id="1" uniqueName="1">
      <xmlPr mapId="43" xpath="/ns1:Root/ns1:M5/ns1:Expenditures_P8" xmlDataType="double"/>
    </xmlCellPr>
  </singleXmlCell>
  <singleXmlCell id="543" r="K96" connectionId="0">
    <xmlCellPr id="1" uniqueName="1">
      <xmlPr mapId="43" xpath="/ns1:Root/ns1:M5/ns1:Expenditures_P9" xmlDataType="double"/>
    </xmlCellPr>
  </singleXmlCell>
  <singleXmlCell id="544" r="L96" connectionId="0">
    <xmlCellPr id="1" uniqueName="1">
      <xmlPr mapId="43" xpath="/ns1:Root/ns1:M5/ns1:Expenditures_P10" xmlDataType="double"/>
    </xmlCellPr>
  </singleXmlCell>
  <singleXmlCell id="545" r="M96" connectionId="0">
    <xmlCellPr id="1" uniqueName="1">
      <xmlPr mapId="43" xpath="/ns1:Root/ns1:M5/ns1:Expenditures_P11" xmlDataType="double"/>
    </xmlCellPr>
  </singleXmlCell>
  <singleXmlCell id="546" r="N96" connectionId="0">
    <xmlCellPr id="1" uniqueName="1">
      <xmlPr mapId="43" xpath="/ns1:Root/ns1:M5/ns1:Expenditures_P12" xmlDataType="double"/>
    </xmlCellPr>
  </singleXmlCell>
  <singleXmlCell id="547" r="C107" connectionId="0">
    <xmlCellPr id="1" uniqueName="1">
      <xmlPr mapId="43" xpath="/ns1:Root/ns1:M6/ns1:HIV___AIDS_Products" xmlDataType="string"/>
    </xmlCellPr>
  </singleXmlCell>
  <singleXmlCell id="548" r="D107" connectionId="0">
    <xmlCellPr id="1" uniqueName="1">
      <xmlPr mapId="43" xpath="/ns1:Root/ns1:M6/ns1:HIV___AIDS__1__Number_of_tablets_per_patient_per_day__Review_country_treatment_guidelines_" xmlDataType="double"/>
    </xmlCellPr>
  </singleXmlCell>
  <singleXmlCell id="549" r="F107" connectionId="0">
    <xmlCellPr id="1" uniqueName="1">
      <xmlPr mapId="43" xpath="/ns1:Root/ns1:M6/ns1:HIV___AIDS__3__Total_patients_in_treatment" xmlDataType="double"/>
    </xmlCellPr>
  </singleXmlCell>
  <singleXmlCell id="550" r="H107" connectionId="0">
    <xmlCellPr id="1" uniqueName="1">
      <xmlPr mapId="43" xpath="/ns1:Root/ns1:M6/ns1:HIV___AIDS__5__Current_stock_in_central_warehouse__that_does_not_expire_within_the_next_3_months_" xmlDataType="double"/>
    </xmlCellPr>
  </singleXmlCell>
  <singleXmlCell id="551" r="J107" connectionId="0">
    <xmlCellPr id="1" uniqueName="1">
      <xmlPr mapId="43" xpath="/ns1:Root/ns1:M6/ns1:HIV___AIDS__7__Level_of_safety_stock__expressed_in_months_and_defined_by_country__" xmlDataType="double"/>
    </xmlCellPr>
  </singleXmlCell>
  <singleXmlCell id="552" r="C108" connectionId="0">
    <xmlCellPr id="1" uniqueName="1">
      <xmlPr mapId="43" xpath="/ns1:Root/ns1:M6/ns1:_Products_1" xmlDataType="string"/>
    </xmlCellPr>
  </singleXmlCell>
  <singleXmlCell id="553" r="D108" connectionId="0">
    <xmlCellPr id="1" uniqueName="1">
      <xmlPr mapId="43" xpath="/ns1:Root/ns1:M6/ns1:__1__Number_of_tablets_per_patient_per_day__Review_country_treatment_guidelines__1" xmlDataType="double"/>
    </xmlCellPr>
  </singleXmlCell>
  <singleXmlCell id="554" r="F108" connectionId="0">
    <xmlCellPr id="1" uniqueName="1">
      <xmlPr mapId="43" xpath="/ns1:Root/ns1:M6/ns1:__3__Total_patients_in_treatment_1" xmlDataType="double"/>
    </xmlCellPr>
  </singleXmlCell>
  <singleXmlCell id="555" r="H108" connectionId="0">
    <xmlCellPr id="1" uniqueName="1">
      <xmlPr mapId="43" xpath="/ns1:Root/ns1:M6/ns1:__5__Current_stock_in_central_warehouse__that_does_not_expire_within_the_next_3_months__1" xmlDataType="double"/>
    </xmlCellPr>
  </singleXmlCell>
  <singleXmlCell id="556" r="J108" connectionId="0">
    <xmlCellPr id="1" uniqueName="1">
      <xmlPr mapId="43" xpath="/ns1:Root/ns1:M6/ns1:__7__Level_of_safety_stock__expressed_in_months_and_defined_by_country___1" xmlDataType="double"/>
    </xmlCellPr>
  </singleXmlCell>
  <singleXmlCell id="557" r="C109" connectionId="0">
    <xmlCellPr id="1" uniqueName="1">
      <xmlPr mapId="43" xpath="/ns1:Root/ns1:M6/ns1:_Products_2" xmlDataType="string"/>
    </xmlCellPr>
  </singleXmlCell>
  <singleXmlCell id="558" r="D109" connectionId="0">
    <xmlCellPr id="1" uniqueName="1">
      <xmlPr mapId="43" xpath="/ns1:Root/ns1:M6/ns1:__1__Number_of_tablets_per_patient_per_day__Review_country_treatment_guidelines__2" xmlDataType="double"/>
    </xmlCellPr>
  </singleXmlCell>
  <singleXmlCell id="559" r="F109" connectionId="0">
    <xmlCellPr id="1" uniqueName="1">
      <xmlPr mapId="43" xpath="/ns1:Root/ns1:M6/ns1:__3__Total_patients_in_treatment_2" xmlDataType="double"/>
    </xmlCellPr>
  </singleXmlCell>
  <singleXmlCell id="560" r="H109" connectionId="0">
    <xmlCellPr id="1" uniqueName="1">
      <xmlPr mapId="43" xpath="/ns1:Root/ns1:M6/ns1:__5__Current_stock_in_central_warehouse__that_does_not_expire_within_the_next_3_months__2" xmlDataType="double"/>
    </xmlCellPr>
  </singleXmlCell>
  <singleXmlCell id="561" r="J109" connectionId="0">
    <xmlCellPr id="1" uniqueName="1">
      <xmlPr mapId="43" xpath="/ns1:Root/ns1:M6/ns1:__7__Level_of_safety_stock__expressed_in_months_and_defined_by_country___2" xmlDataType="double"/>
    </xmlCellPr>
  </singleXmlCell>
  <singleXmlCell id="562" r="C110" connectionId="0">
    <xmlCellPr id="1" uniqueName="1">
      <xmlPr mapId="43" xpath="/ns1:Root/ns1:M6/ns1:_Products" xmlDataType="string"/>
    </xmlCellPr>
  </singleXmlCell>
  <singleXmlCell id="563" r="D110" connectionId="0">
    <xmlCellPr id="1" uniqueName="1">
      <xmlPr mapId="43" xpath="/ns1:Root/ns1:M6/ns1:__1__Number_of_tablets_per_patient_per_day__Review_country_treatment_guidelines_" xmlDataType="double"/>
    </xmlCellPr>
  </singleXmlCell>
  <singleXmlCell id="564" r="F110" connectionId="0">
    <xmlCellPr id="1" uniqueName="1">
      <xmlPr mapId="43" xpath="/ns1:Root/ns1:M6/ns1:__3__Total_patients_in_treatment" xmlDataType="double"/>
    </xmlCellPr>
  </singleXmlCell>
  <singleXmlCell id="565" r="H110" connectionId="0">
    <xmlCellPr id="1" uniqueName="1">
      <xmlPr mapId="43" xpath="/ns1:Root/ns1:M6/ns1:__5__Current_stock_in_central_warehouse__that_does_not_expire_within_the_next_3_months_" xmlDataType="double"/>
    </xmlCellPr>
  </singleXmlCell>
  <singleXmlCell id="566" r="J110" connectionId="0">
    <xmlCellPr id="1" uniqueName="1">
      <xmlPr mapId="43" xpath="/ns1:Root/ns1:M6/ns1:__7__Level_of_safety_stock__expressed_in_months_and_defined_by_country__" xmlDataType="double"/>
    </xmlCellPr>
  </singleXmlCell>
  <singleXmlCell id="567" r="H116" connectionId="0">
    <xmlCellPr id="1" uniqueName="1">
      <xmlPr mapId="43" xpath="/ns1:Root/ns1:Prog/ns1:Target_P1_1" xmlDataType="double"/>
    </xmlCellPr>
  </singleXmlCell>
  <singleXmlCell id="568" r="I116" connectionId="0">
    <xmlCellPr id="1" uniqueName="1">
      <xmlPr mapId="43" xpath="/ns1:Root/ns1:Prog/ns1:Target_P2_1" xmlDataType="double"/>
    </xmlCellPr>
  </singleXmlCell>
  <singleXmlCell id="569" r="J116" connectionId="0">
    <xmlCellPr id="1" uniqueName="1">
      <xmlPr mapId="43" xpath="/ns1:Root/ns1:Prog/ns1:Target_P3_1" xmlDataType="double"/>
    </xmlCellPr>
  </singleXmlCell>
  <singleXmlCell id="570" r="K116" connectionId="0">
    <xmlCellPr id="1" uniqueName="1">
      <xmlPr mapId="43" xpath="/ns1:Root/ns1:Prog/ns1:Target_P4_1" xmlDataType="double"/>
    </xmlCellPr>
  </singleXmlCell>
  <singleXmlCell id="571" r="L116" connectionId="0">
    <xmlCellPr id="1" uniqueName="1">
      <xmlPr mapId="43" xpath="/ns1:Root/ns1:Prog/ns1:Target_P5_1" xmlDataType="double"/>
    </xmlCellPr>
  </singleXmlCell>
  <singleXmlCell id="572" r="M116" connectionId="0">
    <xmlCellPr id="1" uniqueName="1">
      <xmlPr mapId="43" xpath="/ns1:Root/ns1:Prog/ns1:Target_P6_1" xmlDataType="double"/>
    </xmlCellPr>
  </singleXmlCell>
  <singleXmlCell id="573" r="N116" connectionId="0">
    <xmlCellPr id="1" uniqueName="1">
      <xmlPr mapId="43" xpath="/ns1:Root/ns1:Prog/ns1:Target_P7_1" xmlDataType="double"/>
    </xmlCellPr>
  </singleXmlCell>
  <singleXmlCell id="574" r="O116" connectionId="0">
    <xmlCellPr id="1" uniqueName="1">
      <xmlPr mapId="43" xpath="/ns1:Root/ns1:Prog/ns1:Target_P8_1" xmlDataType="double"/>
    </xmlCellPr>
  </singleXmlCell>
  <singleXmlCell id="575" r="P116" connectionId="0">
    <xmlCellPr id="1" uniqueName="1">
      <xmlPr mapId="43" xpath="/ns1:Root/ns1:Prog/ns1:Target_P9_1" xmlDataType="double"/>
    </xmlCellPr>
  </singleXmlCell>
  <singleXmlCell id="576" r="Q116" connectionId="0">
    <xmlCellPr id="1" uniqueName="1">
      <xmlPr mapId="43" xpath="/ns1:Root/ns1:Prog/ns1:Target_P10_1" xmlDataType="double"/>
    </xmlCellPr>
  </singleXmlCell>
  <singleXmlCell id="577" r="R116" connectionId="0">
    <xmlCellPr id="1" uniqueName="1">
      <xmlPr mapId="43" xpath="/ns1:Root/ns1:Prog/ns1:Target_P11_1" xmlDataType="double"/>
    </xmlCellPr>
  </singleXmlCell>
  <singleXmlCell id="578" r="S116" connectionId="0">
    <xmlCellPr id="1" uniqueName="1">
      <xmlPr mapId="43" xpath="/ns1:Root/ns1:Prog/ns1:Target_P12_1" xmlDataType="double"/>
    </xmlCellPr>
  </singleXmlCell>
  <singleXmlCell id="579" r="H117" connectionId="0">
    <xmlCellPr id="1" uniqueName="1">
      <xmlPr mapId="43" xpath="/ns1:Root/ns1:Prog/ns1:Achieved__P1_1" xmlDataType="double"/>
    </xmlCellPr>
  </singleXmlCell>
  <singleXmlCell id="580" r="I117" connectionId="0">
    <xmlCellPr id="1" uniqueName="1">
      <xmlPr mapId="43" xpath="/ns1:Root/ns1:Prog/ns1:Achieved__P2_1" xmlDataType="double"/>
    </xmlCellPr>
  </singleXmlCell>
  <singleXmlCell id="581" r="J117" connectionId="0">
    <xmlCellPr id="1" uniqueName="1">
      <xmlPr mapId="43" xpath="/ns1:Root/ns1:Prog/ns1:Achieved__P3_1" xmlDataType="double"/>
    </xmlCellPr>
  </singleXmlCell>
  <singleXmlCell id="582" r="K117" connectionId="0">
    <xmlCellPr id="1" uniqueName="1">
      <xmlPr mapId="43" xpath="/ns1:Root/ns1:Prog/ns1:Achieved__P4_1" xmlDataType="double"/>
    </xmlCellPr>
  </singleXmlCell>
  <singleXmlCell id="583" r="L117" connectionId="0">
    <xmlCellPr id="1" uniqueName="1">
      <xmlPr mapId="43" xpath="/ns1:Root/ns1:Prog/ns1:Achieved__P5_1" xmlDataType="string"/>
    </xmlCellPr>
  </singleXmlCell>
  <singleXmlCell id="584" r="M117" connectionId="0">
    <xmlCellPr id="1" uniqueName="1">
      <xmlPr mapId="43" xpath="/ns1:Root/ns1:Prog/ns1:Achieved__P6_1" xmlDataType="string"/>
    </xmlCellPr>
  </singleXmlCell>
  <singleXmlCell id="585" r="N117" connectionId="0">
    <xmlCellPr id="1" uniqueName="1">
      <xmlPr mapId="43" xpath="/ns1:Root/ns1:Prog/ns1:Achieved__P7_1" xmlDataType="string"/>
    </xmlCellPr>
  </singleXmlCell>
  <singleXmlCell id="586" r="O117" connectionId="0">
    <xmlCellPr id="1" uniqueName="1">
      <xmlPr mapId="43" xpath="/ns1:Root/ns1:Prog/ns1:Achieved__P8_1" xmlDataType="string"/>
    </xmlCellPr>
  </singleXmlCell>
  <singleXmlCell id="587" r="P117" connectionId="0">
    <xmlCellPr id="1" uniqueName="1">
      <xmlPr mapId="43" xpath="/ns1:Root/ns1:Prog/ns1:Achieved__P9_1" xmlDataType="string"/>
    </xmlCellPr>
  </singleXmlCell>
  <singleXmlCell id="588" r="Q117" connectionId="0">
    <xmlCellPr id="1" uniqueName="1">
      <xmlPr mapId="43" xpath="/ns1:Root/ns1:Prog/ns1:Achieved__P10_1" xmlDataType="string"/>
    </xmlCellPr>
  </singleXmlCell>
  <singleXmlCell id="589" r="R117" connectionId="0">
    <xmlCellPr id="1" uniqueName="1">
      <xmlPr mapId="43" xpath="/ns1:Root/ns1:Prog/ns1:Achieved__P11_1" xmlDataType="string"/>
    </xmlCellPr>
  </singleXmlCell>
  <singleXmlCell id="590" r="S117" connectionId="0">
    <xmlCellPr id="1" uniqueName="1">
      <xmlPr mapId="43" xpath="/ns1:Root/ns1:Prog/ns1:Achieved__P12_1" xmlDataType="string"/>
    </xmlCellPr>
  </singleXmlCell>
  <singleXmlCell id="599" r="Q118" connectionId="0">
    <xmlCellPr id="1" uniqueName="1">
      <xmlPr mapId="43" xpath="/ns1:Root/ns1:Prog/ns1:Target_P10_2" xmlDataType="double"/>
    </xmlCellPr>
  </singleXmlCell>
  <singleXmlCell id="600" r="R118" connectionId="0">
    <xmlCellPr id="1" uniqueName="1">
      <xmlPr mapId="43" xpath="/ns1:Root/ns1:Prog/ns1:Target_P11_2" xmlDataType="double"/>
    </xmlCellPr>
  </singleXmlCell>
  <singleXmlCell id="601" r="S118" connectionId="0">
    <xmlCellPr id="1" uniqueName="1">
      <xmlPr mapId="43" xpath="/ns1:Root/ns1:Prog/ns1:Target_P12_2" xmlDataType="double"/>
    </xmlCellPr>
  </singleXmlCell>
  <singleXmlCell id="611" r="Q119" connectionId="0">
    <xmlCellPr id="1" uniqueName="1">
      <xmlPr mapId="43" xpath="/ns1:Root/ns1:Prog/ns1:Achieved__P10_2" xmlDataType="string"/>
    </xmlCellPr>
  </singleXmlCell>
  <singleXmlCell id="612" r="R119" connectionId="0">
    <xmlCellPr id="1" uniqueName="1">
      <xmlPr mapId="43" xpath="/ns1:Root/ns1:Prog/ns1:Achieved__P11_2" xmlDataType="string"/>
    </xmlCellPr>
  </singleXmlCell>
  <singleXmlCell id="613" r="S119" connectionId="0">
    <xmlCellPr id="1" uniqueName="1">
      <xmlPr mapId="43" xpath="/ns1:Root/ns1:Prog/ns1:Achieved__P12_2" xmlDataType="string"/>
    </xmlCellPr>
  </singleXmlCell>
  <singleXmlCell id="614" r="H120" connectionId="0">
    <xmlCellPr id="1" uniqueName="1">
      <xmlPr mapId="43" xpath="/ns1:Root/ns1:Prog/ns1:Target_P1_3" xmlDataType="double"/>
    </xmlCellPr>
  </singleXmlCell>
  <singleXmlCell id="615" r="I120" connectionId="0">
    <xmlCellPr id="1" uniqueName="1">
      <xmlPr mapId="43" xpath="/ns1:Root/ns1:Prog/ns1:Target_P2_3" xmlDataType="double"/>
    </xmlCellPr>
  </singleXmlCell>
  <singleXmlCell id="616" r="J120" connectionId="0">
    <xmlCellPr id="1" uniqueName="1">
      <xmlPr mapId="43" xpath="/ns1:Root/ns1:Prog/ns1:Target_P3_3" xmlDataType="double"/>
    </xmlCellPr>
  </singleXmlCell>
  <singleXmlCell id="617" r="K120" connectionId="0">
    <xmlCellPr id="1" uniqueName="1">
      <xmlPr mapId="43" xpath="/ns1:Root/ns1:Prog/ns1:Target_P4_3" xmlDataType="double"/>
    </xmlCellPr>
  </singleXmlCell>
  <singleXmlCell id="618" r="L120" connectionId="0">
    <xmlCellPr id="1" uniqueName="1">
      <xmlPr mapId="43" xpath="/ns1:Root/ns1:Prog/ns1:Target_P5_3" xmlDataType="double"/>
    </xmlCellPr>
  </singleXmlCell>
  <singleXmlCell id="619" r="M120" connectionId="0">
    <xmlCellPr id="1" uniqueName="1">
      <xmlPr mapId="43" xpath="/ns1:Root/ns1:Prog/ns1:Target_P6_3" xmlDataType="double"/>
    </xmlCellPr>
  </singleXmlCell>
  <singleXmlCell id="620" r="N120" connectionId="0">
    <xmlCellPr id="1" uniqueName="1">
      <xmlPr mapId="43" xpath="/ns1:Root/ns1:Prog/ns1:Target_P7_3" xmlDataType="double"/>
    </xmlCellPr>
  </singleXmlCell>
  <singleXmlCell id="621" r="O120" connectionId="0">
    <xmlCellPr id="1" uniqueName="1">
      <xmlPr mapId="43" xpath="/ns1:Root/ns1:Prog/ns1:Target_P8_3" xmlDataType="double"/>
    </xmlCellPr>
  </singleXmlCell>
  <singleXmlCell id="622" r="P120" connectionId="0">
    <xmlCellPr id="1" uniqueName="1">
      <xmlPr mapId="43" xpath="/ns1:Root/ns1:Prog/ns1:Target_P9_3" xmlDataType="double"/>
    </xmlCellPr>
  </singleXmlCell>
  <singleXmlCell id="623" r="Q120" connectionId="0">
    <xmlCellPr id="1" uniqueName="1">
      <xmlPr mapId="43" xpath="/ns1:Root/ns1:Prog/ns1:Target_P10_3" xmlDataType="string"/>
    </xmlCellPr>
  </singleXmlCell>
  <singleXmlCell id="624" r="R120" connectionId="0">
    <xmlCellPr id="1" uniqueName="1">
      <xmlPr mapId="43" xpath="/ns1:Root/ns1:Prog/ns1:Target_P11_3" xmlDataType="string"/>
    </xmlCellPr>
  </singleXmlCell>
  <singleXmlCell id="625" r="S120" connectionId="0">
    <xmlCellPr id="1" uniqueName="1">
      <xmlPr mapId="43" xpath="/ns1:Root/ns1:Prog/ns1:Target_P12_3" xmlDataType="double"/>
    </xmlCellPr>
  </singleXmlCell>
  <singleXmlCell id="626" r="H121" connectionId="0">
    <xmlCellPr id="1" uniqueName="1">
      <xmlPr mapId="43" xpath="/ns1:Root/ns1:Prog/ns1:Achieved__P1_3" xmlDataType="string"/>
    </xmlCellPr>
  </singleXmlCell>
  <singleXmlCell id="627" r="I121" connectionId="0">
    <xmlCellPr id="1" uniqueName="1">
      <xmlPr mapId="43" xpath="/ns1:Root/ns1:Prog/ns1:Achieved__P2_3" xmlDataType="double"/>
    </xmlCellPr>
  </singleXmlCell>
  <singleXmlCell id="628" r="J121" connectionId="0">
    <xmlCellPr id="1" uniqueName="1">
      <xmlPr mapId="43" xpath="/ns1:Root/ns1:Prog/ns1:Achieved__P3_3" xmlDataType="string"/>
    </xmlCellPr>
  </singleXmlCell>
  <singleXmlCell id="629" r="K121" connectionId="0">
    <xmlCellPr id="1" uniqueName="1">
      <xmlPr mapId="43" xpath="/ns1:Root/ns1:Prog/ns1:Achieved__P4_3" xmlDataType="double"/>
    </xmlCellPr>
  </singleXmlCell>
  <singleXmlCell id="630" r="L121" connectionId="0">
    <xmlCellPr id="1" uniqueName="1">
      <xmlPr mapId="43" xpath="/ns1:Root/ns1:Prog/ns1:Achieved__P5_3" xmlDataType="string"/>
    </xmlCellPr>
  </singleXmlCell>
  <singleXmlCell id="631" r="M121" connectionId="0">
    <xmlCellPr id="1" uniqueName="1">
      <xmlPr mapId="43" xpath="/ns1:Root/ns1:Prog/ns1:Achieved__P6_3" xmlDataType="string"/>
    </xmlCellPr>
  </singleXmlCell>
  <singleXmlCell id="632" r="N121" connectionId="0">
    <xmlCellPr id="1" uniqueName="1">
      <xmlPr mapId="43" xpath="/ns1:Root/ns1:Prog/ns1:Achieved__P7_3" xmlDataType="string"/>
    </xmlCellPr>
  </singleXmlCell>
  <singleXmlCell id="633" r="O121" connectionId="0">
    <xmlCellPr id="1" uniqueName="1">
      <xmlPr mapId="43" xpath="/ns1:Root/ns1:Prog/ns1:Achieved__P8_3" xmlDataType="string"/>
    </xmlCellPr>
  </singleXmlCell>
  <singleXmlCell id="634" r="P121" connectionId="0">
    <xmlCellPr id="1" uniqueName="1">
      <xmlPr mapId="43" xpath="/ns1:Root/ns1:Prog/ns1:Achieved__P9_3" xmlDataType="string"/>
    </xmlCellPr>
  </singleXmlCell>
  <singleXmlCell id="635" r="Q121" connectionId="0">
    <xmlCellPr id="1" uniqueName="1">
      <xmlPr mapId="43" xpath="/ns1:Root/ns1:Prog/ns1:Achieved__P10_3" xmlDataType="string"/>
    </xmlCellPr>
  </singleXmlCell>
  <singleXmlCell id="636" r="R121" connectionId="0">
    <xmlCellPr id="1" uniqueName="1">
      <xmlPr mapId="43" xpath="/ns1:Root/ns1:Prog/ns1:Achieved__P11_3" xmlDataType="string"/>
    </xmlCellPr>
  </singleXmlCell>
  <singleXmlCell id="637" r="S121" connectionId="0">
    <xmlCellPr id="1" uniqueName="1">
      <xmlPr mapId="43" xpath="/ns1:Root/ns1:Prog/ns1:Achieved__P12_3"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710" r="H126" connectionId="0">
    <xmlCellPr id="1" uniqueName="1">
      <xmlPr mapId="43" xpath="/ns1:Root/ns1:Prog/ns1:Target_P1_7" xmlDataType="double"/>
    </xmlCellPr>
  </singleXmlCell>
  <singleXmlCell id="711" r="I126" connectionId="0">
    <xmlCellPr id="1" uniqueName="1">
      <xmlPr mapId="43" xpath="/ns1:Root/ns1:Prog/ns1:Target_P2_7" xmlDataType="double"/>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O126" connectionId="0">
    <xmlCellPr id="1" uniqueName="1">
      <xmlPr mapId="43" xpath="/ns1:Root/ns1:Prog/ns1:Target_P8_7" xmlDataType="double"/>
    </xmlCellPr>
  </singleXmlCell>
  <singleXmlCell id="718" r="P126" connectionId="0">
    <xmlCellPr id="1" uniqueName="1">
      <xmlPr mapId="43" xpath="/ns1:Root/ns1:Prog/ns1:Target_P9_7" xmlDataType="double"/>
    </xmlCellPr>
  </singleXmlCell>
  <singleXmlCell id="719" r="Q126" connectionId="0">
    <xmlCellPr id="1" uniqueName="1">
      <xmlPr mapId="43" xpath="/ns1:Root/ns1:Prog/ns1:Target_P10_7" xmlDataType="double"/>
    </xmlCellPr>
  </singleXmlCell>
  <singleXmlCell id="720" r="R126" connectionId="0">
    <xmlCellPr id="1" uniqueName="1">
      <xmlPr mapId="43" xpath="/ns1:Root/ns1:Prog/ns1:Target_P11_7" xmlDataType="double"/>
    </xmlCellPr>
  </singleXmlCell>
  <singleXmlCell id="721" r="S126" connectionId="0">
    <xmlCellPr id="1" uniqueName="1">
      <xmlPr mapId="43" xpath="/ns1:Root/ns1:Prog/ns1:Target_P12_7" xmlDataType="double"/>
    </xmlCellPr>
  </singleXmlCell>
  <singleXmlCell id="722" r="H127" connectionId="0">
    <xmlCellPr id="1" uniqueName="1">
      <xmlPr mapId="43" xpath="/ns1:Root/ns1:Prog/ns1:Achieved__P1_7" xmlDataType="double"/>
    </xmlCellPr>
  </singleXmlCell>
  <singleXmlCell id="723" r="I127" connectionId="0">
    <xmlCellPr id="1" uniqueName="1">
      <xmlPr mapId="43" xpath="/ns1:Root/ns1:Prog/ns1:Achieved__P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O127" connectionId="0">
    <xmlCellPr id="1" uniqueName="1">
      <xmlPr mapId="43" xpath="/ns1:Root/ns1:Prog/ns1:Achieved__P8_7" xmlDataType="string"/>
    </xmlCellPr>
  </singleXmlCell>
  <singleXmlCell id="730" r="P127" connectionId="0">
    <xmlCellPr id="1" uniqueName="1">
      <xmlPr mapId="43" xpath="/ns1:Root/ns1:Prog/ns1:Achieved__P9_7" xmlDataType="string"/>
    </xmlCellPr>
  </singleXmlCell>
  <singleXmlCell id="731" r="Q127" connectionId="0">
    <xmlCellPr id="1" uniqueName="1">
      <xmlPr mapId="43" xpath="/ns1:Root/ns1:Prog/ns1:Achieved__P10_7" xmlDataType="string"/>
    </xmlCellPr>
  </singleXmlCell>
  <singleXmlCell id="732" r="R127" connectionId="0">
    <xmlCellPr id="1" uniqueName="1">
      <xmlPr mapId="43" xpath="/ns1:Root/ns1:Prog/ns1:Achieved__P11_7" xmlDataType="string"/>
    </xmlCellPr>
  </singleXmlCell>
  <singleXmlCell id="733" r="S127" connectionId="0">
    <xmlCellPr id="1" uniqueName="1">
      <xmlPr mapId="43" xpath="/ns1:Root/ns1:Prog/ns1:Achieved__P12_7" xmlDataType="string"/>
    </xmlCellPr>
  </singleXmlCell>
  <singleXmlCell id="734" r="H130" connectionId="0">
    <xmlCellPr id="1" uniqueName="1">
      <xmlPr mapId="43" xpath="/ns1:Root/ns1:Prog/ns1:Target_P1_8" xmlDataType="string"/>
    </xmlCellPr>
  </singleXmlCell>
  <singleXmlCell id="735" r="I130" connectionId="0">
    <xmlCellPr id="1" uniqueName="1">
      <xmlPr mapId="43" xpath="/ns1:Root/ns1:Prog/ns1:Target_P2_8" xmlDataType="double"/>
    </xmlCellPr>
  </singleXmlCell>
  <singleXmlCell id="736" r="J130" connectionId="0">
    <xmlCellPr id="1" uniqueName="1">
      <xmlPr mapId="43" xpath="/ns1:Root/ns1:Prog/ns1:Target_P3_8" xmlDataType="string"/>
    </xmlCellPr>
  </singleXmlCell>
  <singleXmlCell id="737" r="K130" connectionId="0">
    <xmlCellPr id="1" uniqueName="1">
      <xmlPr mapId="43" xpath="/ns1:Root/ns1:Prog/ns1:Target_P4_8" xmlDataType="double"/>
    </xmlCellPr>
  </singleXmlCell>
  <singleXmlCell id="738" r="L130" connectionId="0">
    <xmlCellPr id="1" uniqueName="1">
      <xmlPr mapId="43" xpath="/ns1:Root/ns1:Prog/ns1:Target_P5_8" xmlDataType="string"/>
    </xmlCellPr>
  </singleXmlCell>
  <singleXmlCell id="739" r="M130" connectionId="0">
    <xmlCellPr id="1" uniqueName="1">
      <xmlPr mapId="43" xpath="/ns1:Root/ns1:Prog/ns1:Target_P6_8" xmlDataType="double"/>
    </xmlCellPr>
  </singleXmlCell>
  <singleXmlCell id="740" r="N130" connectionId="0">
    <xmlCellPr id="1" uniqueName="1">
      <xmlPr mapId="43" xpath="/ns1:Root/ns1:Prog/ns1:Target_P7_8" xmlDataType="string"/>
    </xmlCellPr>
  </singleXmlCell>
  <singleXmlCell id="741" r="O130" connectionId="0">
    <xmlCellPr id="1" uniqueName="1">
      <xmlPr mapId="43" xpath="/ns1:Root/ns1:Prog/ns1:Target_P8_8" xmlDataType="double"/>
    </xmlCellPr>
  </singleXmlCell>
  <singleXmlCell id="742" r="P130" connectionId="0">
    <xmlCellPr id="1" uniqueName="1">
      <xmlPr mapId="43" xpath="/ns1:Root/ns1:Prog/ns1:Target_P9_8" xmlDataType="double"/>
    </xmlCellPr>
  </singleXmlCell>
  <singleXmlCell id="743" r="Q130" connectionId="0">
    <xmlCellPr id="1" uniqueName="1">
      <xmlPr mapId="43" xpath="/ns1:Root/ns1:Prog/ns1:Target_P10_8" xmlDataType="double"/>
    </xmlCellPr>
  </singleXmlCell>
  <singleXmlCell id="744" r="R130" connectionId="0">
    <xmlCellPr id="1" uniqueName="1">
      <xmlPr mapId="43" xpath="/ns1:Root/ns1:Prog/ns1:Target_P11_8" xmlDataType="double"/>
    </xmlCellPr>
  </singleXmlCell>
  <singleXmlCell id="745" r="S130" connectionId="0">
    <xmlCellPr id="1" uniqueName="1">
      <xmlPr mapId="43" xpath="/ns1:Root/ns1:Prog/ns1:Target_P12_8" xmlDataType="double"/>
    </xmlCellPr>
  </singleXmlCell>
  <singleXmlCell id="746" r="H131" connectionId="0">
    <xmlCellPr id="1" uniqueName="1">
      <xmlPr mapId="43" xpath="/ns1:Root/ns1:Prog/ns1:Achieved__P1_8" xmlDataType="string"/>
    </xmlCellPr>
  </singleXmlCell>
  <singleXmlCell id="747" r="I131" connectionId="0">
    <xmlCellPr id="1" uniqueName="1">
      <xmlPr mapId="43" xpath="/ns1:Root/ns1:Prog/ns1:Achieved__P2_8" xmlDataType="string"/>
    </xmlCellPr>
  </singleXmlCell>
  <singleXmlCell id="748" r="J131" connectionId="0">
    <xmlCellPr id="1" uniqueName="1">
      <xmlPr mapId="43" xpath="/ns1:Root/ns1:Prog/ns1:Achieved__P3_8" xmlDataType="string"/>
    </xmlCellPr>
  </singleXmlCell>
  <singleXmlCell id="749" r="K131" connectionId="0">
    <xmlCellPr id="1" uniqueName="1">
      <xmlPr mapId="43" xpath="/ns1:Root/ns1:Prog/ns1:Achieved__P4_8" xmlDataType="string"/>
    </xmlCellPr>
  </singleXmlCell>
  <singleXmlCell id="750" r="L131" connectionId="0">
    <xmlCellPr id="1" uniqueName="1">
      <xmlPr mapId="43" xpath="/ns1:Root/ns1:Prog/ns1:Achieved__P5_8" xmlDataType="string"/>
    </xmlCellPr>
  </singleXmlCell>
  <singleXmlCell id="751" r="M131" connectionId="0">
    <xmlCellPr id="1" uniqueName="1">
      <xmlPr mapId="43" xpath="/ns1:Root/ns1:Prog/ns1:Achieved__P6_8" xmlDataType="string"/>
    </xmlCellPr>
  </singleXmlCell>
  <singleXmlCell id="752" r="N131" connectionId="0">
    <xmlCellPr id="1" uniqueName="1">
      <xmlPr mapId="43" xpath="/ns1:Root/ns1:Prog/ns1:Achieved__P7_8" xmlDataType="string"/>
    </xmlCellPr>
  </singleXmlCell>
  <singleXmlCell id="753" r="O131" connectionId="0">
    <xmlCellPr id="1" uniqueName="1">
      <xmlPr mapId="43" xpath="/ns1:Root/ns1:Prog/ns1:Achieved__P8_8" xmlDataType="string"/>
    </xmlCellPr>
  </singleXmlCell>
  <singleXmlCell id="754" r="P131" connectionId="0">
    <xmlCellPr id="1" uniqueName="1">
      <xmlPr mapId="43" xpath="/ns1:Root/ns1:Prog/ns1:Achieved__P9_8" xmlDataType="string"/>
    </xmlCellPr>
  </singleXmlCell>
  <singleXmlCell id="755" r="Q131" connectionId="0">
    <xmlCellPr id="1" uniqueName="1">
      <xmlPr mapId="43" xpath="/ns1:Root/ns1:Prog/ns1:Achieved__P10_8" xmlDataType="string"/>
    </xmlCellPr>
  </singleXmlCell>
  <singleXmlCell id="756" r="R131" connectionId="0">
    <xmlCellPr id="1" uniqueName="1">
      <xmlPr mapId="43" xpath="/ns1:Root/ns1:Prog/ns1:Achieved__P11_8" xmlDataType="string"/>
    </xmlCellPr>
  </singleXmlCell>
  <singleXmlCell id="757" r="S131" connectionId="0">
    <xmlCellPr id="1" uniqueName="1">
      <xmlPr mapId="43" xpath="/ns1:Root/ns1:Prog/ns1:Achieved__P12_8" xmlDataType="string"/>
    </xmlCellPr>
  </singleXmlCell>
  <singleXmlCell id="807" r="B116" connectionId="0">
    <xmlCellPr id="1" uniqueName="1">
      <xmlPr mapId="43" xpath="/ns1:Root/ns1:P1" xmlDataType="string"/>
    </xmlCellPr>
  </singleXmlCell>
  <singleXmlCell id="808" r="E116" connectionId="0">
    <xmlCellPr id="1" uniqueName="1">
      <xmlPr mapId="43" xpath="/ns1:Root/ns1:P1_Code" xmlDataType="double"/>
    </xmlCellPr>
  </singleXmlCell>
  <singleXmlCell id="809" r="F116" connectionId="0">
    <xmlCellPr id="1" uniqueName="1">
      <xmlPr mapId="43" xpath="/ns1:Root/ns1:P1_Tied" xmlDataType="string"/>
    </xmlCellPr>
  </singleXmlCell>
  <singleXmlCell id="810" r="B118" connectionId="0">
    <xmlCellPr id="1" uniqueName="1">
      <xmlPr mapId="43" xpath="/ns1:Root/ns1:P2" xmlDataType="string"/>
    </xmlCellPr>
  </singleXmlCell>
  <singleXmlCell id="811" r="E118" connectionId="0">
    <xmlCellPr id="1" uniqueName="1">
      <xmlPr mapId="43" xpath="/ns1:Root/ns1:P2_Code" xmlDataType="double"/>
    </xmlCellPr>
  </singleXmlCell>
  <singleXmlCell id="812" r="F118" connectionId="0">
    <xmlCellPr id="1" uniqueName="1">
      <xmlPr mapId="43" xpath="/ns1:Root/ns1:P2_Tied" xmlDataType="string"/>
    </xmlCellPr>
  </singleXmlCell>
  <singleXmlCell id="813" r="B120" connectionId="0">
    <xmlCellPr id="1" uniqueName="1">
      <xmlPr mapId="43" xpath="/ns1:Root/ns1:P3" xmlDataType="string"/>
    </xmlCellPr>
  </singleXmlCell>
  <singleXmlCell id="814" r="E120" connectionId="0">
    <xmlCellPr id="1" uniqueName="1">
      <xmlPr mapId="43" xpath="/ns1:Root/ns1:P3_Code" xmlDataType="double"/>
    </xmlCellPr>
  </singleXmlCell>
  <singleXmlCell id="815" r="F120" connectionId="0">
    <xmlCellPr id="1" uniqueName="1">
      <xmlPr mapId="43" xpath="/ns1:Root/ns1:P3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28" r="B130" connectionId="0">
    <xmlCellPr id="1" uniqueName="1">
      <xmlPr mapId="43" xpath="/ns1:Root/ns1:P8" xmlDataType="string"/>
    </xmlCellPr>
  </singleXmlCell>
  <singleXmlCell id="829" r="E130" connectionId="0">
    <xmlCellPr id="1" uniqueName="1">
      <xmlPr mapId="43" xpath="/ns1:Root/ns1:P8_Code" xmlDataType="double"/>
    </xmlCellPr>
  </singleXmlCell>
  <singleXmlCell id="830" r="F130" connectionId="0">
    <xmlCellPr id="1" uniqueName="1">
      <xmlPr mapId="43" xpath="/ns1:Root/ns1:P8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P22" sqref="P22"/>
    </sheetView>
  </sheetViews>
  <sheetFormatPr defaultColWidth="11" defaultRowHeight="15"/>
  <cols>
    <col min="1" max="1" width="1.125" customWidth="1"/>
    <col min="2" max="10" width="11.375" customWidth="1"/>
    <col min="11" max="11" width="1.75" customWidth="1"/>
  </cols>
  <sheetData>
    <row r="1" spans="2:15" ht="25.5" customHeight="1"/>
    <row r="2" spans="2:15" ht="36">
      <c r="B2" s="560" t="str">
        <f>+'Detail despre Grant'!B3:J3</f>
        <v>Tabel Programatic de Evaluare:  Moldova - TB</v>
      </c>
      <c r="C2" s="560"/>
      <c r="D2" s="560"/>
      <c r="E2" s="560"/>
      <c r="F2" s="560"/>
      <c r="G2" s="560"/>
      <c r="H2" s="560"/>
      <c r="I2" s="560"/>
      <c r="J2" s="560"/>
      <c r="K2" s="560"/>
      <c r="L2" s="560"/>
      <c r="M2" s="1"/>
      <c r="N2" s="1"/>
      <c r="O2" s="1"/>
    </row>
    <row r="4" spans="2:15" ht="21">
      <c r="B4" s="561" t="str">
        <f>+IF('Introducerea datelor'!G6="Please Select", "",'Introducerea datelor'!G6) &amp;"  "&amp;+IF('Introducerea datelor'!G8="Please Select", "", 'Introducerea datelor'!G8&amp;",  ")&amp;+IF('Introducerea datelor'!I8="Please Select","",'Introducerea datelor'!I8)</f>
        <v>TB  Period 1</v>
      </c>
      <c r="C4" s="561"/>
      <c r="D4" s="561"/>
      <c r="E4" s="562"/>
      <c r="F4" s="192"/>
      <c r="G4" s="192"/>
      <c r="H4" s="282" t="str">
        <f>+'Introducerea datelor'!B6&amp;" "&amp;+'Introducerea datelor'!C6</f>
        <v>No. Grantului : MDA-T-PCIMU (#678)</v>
      </c>
      <c r="I4" s="282"/>
      <c r="J4" s="191"/>
      <c r="K4" s="192"/>
      <c r="L4" s="192"/>
    </row>
    <row r="22" spans="2:12" ht="26.25">
      <c r="B22" s="563" t="s">
        <v>276</v>
      </c>
      <c r="C22" s="564"/>
      <c r="D22" s="564"/>
      <c r="E22" s="564"/>
      <c r="F22" s="564"/>
      <c r="G22" s="564"/>
      <c r="H22" s="564"/>
      <c r="I22" s="564"/>
      <c r="J22" s="564"/>
      <c r="K22" s="564"/>
      <c r="L22" s="564"/>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375" customWidth="1"/>
    <col min="2" max="2" width="16.125" customWidth="1"/>
    <col min="3" max="3" width="14.75" customWidth="1"/>
    <col min="4" max="4" width="15.625" customWidth="1"/>
    <col min="5" max="6" width="11.375" customWidth="1"/>
    <col min="7" max="7" width="14.375" customWidth="1"/>
    <col min="8" max="8" width="35.625" customWidth="1"/>
    <col min="9" max="9" width="45.75" customWidth="1"/>
    <col min="10" max="10" width="33.625" customWidth="1"/>
    <col min="11" max="12" width="11.375" customWidth="1"/>
    <col min="13" max="13" width="28.625" customWidth="1"/>
    <col min="14" max="14" width="46.375" customWidth="1"/>
  </cols>
  <sheetData>
    <row r="2" spans="2:15" ht="25.5" customHeight="1"/>
    <row r="3" spans="2:15" ht="36">
      <c r="B3" s="992" t="str">
        <f>'Detail despre Grant'!B3:J3</f>
        <v>Tabel Programatic de Evaluare:  Moldova - TB</v>
      </c>
      <c r="C3" s="992"/>
      <c r="D3" s="992"/>
      <c r="E3" s="992"/>
      <c r="F3" s="992"/>
      <c r="G3" s="992"/>
      <c r="H3" s="992"/>
      <c r="I3" s="1"/>
    </row>
    <row r="6" spans="2:15" ht="18.75">
      <c r="B6" s="941" t="s">
        <v>247</v>
      </c>
      <c r="C6" s="941"/>
      <c r="D6" s="941"/>
      <c r="E6" s="941"/>
      <c r="F6" s="941"/>
      <c r="G6" s="941"/>
      <c r="H6" s="941"/>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30" t="s">
        <v>270</v>
      </c>
      <c r="J9" s="85" t="s">
        <v>270</v>
      </c>
      <c r="M9" s="19"/>
      <c r="N9" s="19"/>
      <c r="O9" s="19"/>
    </row>
    <row r="10" spans="2:15">
      <c r="B10" s="56" t="s">
        <v>12</v>
      </c>
      <c r="C10" s="56" t="s">
        <v>7</v>
      </c>
      <c r="D10" s="56" t="s">
        <v>5</v>
      </c>
      <c r="E10" s="56" t="s">
        <v>6</v>
      </c>
      <c r="F10" s="56" t="s">
        <v>62</v>
      </c>
      <c r="G10" s="336" t="s">
        <v>24</v>
      </c>
      <c r="H10" s="59" t="s">
        <v>29</v>
      </c>
      <c r="I10" s="26" t="s">
        <v>237</v>
      </c>
      <c r="J10" s="85" t="s">
        <v>81</v>
      </c>
      <c r="M10" s="19"/>
      <c r="N10" s="19"/>
      <c r="O10" s="19"/>
    </row>
    <row r="11" spans="2:15">
      <c r="B11" s="56" t="s">
        <v>14</v>
      </c>
      <c r="C11" s="56" t="s">
        <v>2</v>
      </c>
      <c r="D11" s="56" t="s">
        <v>8</v>
      </c>
      <c r="E11" s="56" t="s">
        <v>4</v>
      </c>
      <c r="F11" s="56" t="s">
        <v>63</v>
      </c>
      <c r="G11" s="336" t="s">
        <v>25</v>
      </c>
      <c r="H11" s="59" t="s">
        <v>30</v>
      </c>
      <c r="I11" s="26" t="s">
        <v>238</v>
      </c>
      <c r="J11" s="85" t="s">
        <v>82</v>
      </c>
      <c r="M11" s="19"/>
      <c r="N11" s="19"/>
      <c r="O11" s="19"/>
    </row>
    <row r="12" spans="2:15">
      <c r="B12" s="56" t="s">
        <v>15</v>
      </c>
      <c r="D12" s="56" t="s">
        <v>9</v>
      </c>
      <c r="E12" s="56" t="s">
        <v>10</v>
      </c>
      <c r="F12" s="56" t="s">
        <v>64</v>
      </c>
      <c r="G12" s="336" t="s">
        <v>26</v>
      </c>
      <c r="H12" s="59" t="s">
        <v>31</v>
      </c>
      <c r="I12" s="26" t="s">
        <v>239</v>
      </c>
      <c r="J12" s="85" t="s">
        <v>83</v>
      </c>
      <c r="M12" s="160"/>
      <c r="N12" s="19"/>
      <c r="O12" s="19"/>
    </row>
    <row r="13" spans="2:15">
      <c r="B13" s="56" t="s">
        <v>50</v>
      </c>
      <c r="D13" s="56" t="s">
        <v>11</v>
      </c>
      <c r="E13" s="57"/>
      <c r="F13" s="56" t="s">
        <v>65</v>
      </c>
      <c r="G13" s="336" t="s">
        <v>27</v>
      </c>
      <c r="H13" s="59" t="s">
        <v>32</v>
      </c>
      <c r="I13" s="26" t="s">
        <v>240</v>
      </c>
      <c r="J13" s="85" t="s">
        <v>84</v>
      </c>
      <c r="M13" s="160"/>
      <c r="N13" s="19"/>
      <c r="O13" s="19"/>
    </row>
    <row r="14" spans="2:15">
      <c r="B14" s="56" t="s">
        <v>51</v>
      </c>
      <c r="D14" s="56" t="s">
        <v>18</v>
      </c>
      <c r="F14" s="56" t="s">
        <v>72</v>
      </c>
      <c r="G14" s="336" t="s">
        <v>28</v>
      </c>
      <c r="H14" s="59" t="s">
        <v>33</v>
      </c>
      <c r="I14" s="26" t="s">
        <v>216</v>
      </c>
      <c r="J14" s="85" t="s">
        <v>85</v>
      </c>
      <c r="M14" s="160"/>
      <c r="N14" s="19"/>
      <c r="O14" s="19"/>
    </row>
    <row r="15" spans="2:15">
      <c r="D15" s="56" t="s">
        <v>19</v>
      </c>
      <c r="F15" s="56" t="s">
        <v>73</v>
      </c>
      <c r="H15" s="59" t="s">
        <v>34</v>
      </c>
      <c r="I15" s="26" t="s">
        <v>40</v>
      </c>
      <c r="J15" s="85" t="s">
        <v>86</v>
      </c>
      <c r="M15" s="160"/>
      <c r="N15" s="19"/>
      <c r="O15" s="19"/>
    </row>
    <row r="16" spans="2:15">
      <c r="D16" s="56" t="s">
        <v>20</v>
      </c>
      <c r="F16" s="56" t="s">
        <v>74</v>
      </c>
      <c r="H16" s="59" t="s">
        <v>35</v>
      </c>
      <c r="I16" s="26" t="s">
        <v>41</v>
      </c>
      <c r="J16" s="85" t="s">
        <v>87</v>
      </c>
      <c r="M16" s="160"/>
      <c r="N16" s="19"/>
      <c r="O16" s="19"/>
    </row>
    <row r="17" spans="4:15">
      <c r="D17" s="56" t="s">
        <v>21</v>
      </c>
      <c r="F17" s="56" t="s">
        <v>75</v>
      </c>
      <c r="H17" s="59" t="s">
        <v>36</v>
      </c>
      <c r="I17" s="26" t="s">
        <v>42</v>
      </c>
      <c r="J17" s="85" t="s">
        <v>88</v>
      </c>
      <c r="M17" s="160"/>
      <c r="N17" s="19"/>
      <c r="O17" s="19"/>
    </row>
    <row r="18" spans="4:15">
      <c r="D18" s="56" t="s">
        <v>3</v>
      </c>
      <c r="F18" s="56" t="s">
        <v>76</v>
      </c>
      <c r="H18" s="59" t="s">
        <v>37</v>
      </c>
      <c r="I18" s="26" t="s">
        <v>43</v>
      </c>
      <c r="J18" s="85" t="s">
        <v>89</v>
      </c>
      <c r="M18" s="160"/>
      <c r="N18" s="19"/>
      <c r="O18" s="19"/>
    </row>
    <row r="19" spans="4:15">
      <c r="D19" s="335" t="s">
        <v>269</v>
      </c>
      <c r="F19" s="56" t="s">
        <v>77</v>
      </c>
      <c r="H19" s="59" t="s">
        <v>38</v>
      </c>
      <c r="I19" s="26" t="s">
        <v>44</v>
      </c>
      <c r="J19" s="85" t="s">
        <v>90</v>
      </c>
      <c r="M19" s="160"/>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28"/>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376" t="s">
        <v>280</v>
      </c>
    </row>
    <row r="2" spans="1:1" ht="15" customHeight="1">
      <c r="A2" s="377" t="s">
        <v>368</v>
      </c>
    </row>
    <row r="3" spans="1:1">
      <c r="A3" s="376">
        <v>1.1000000000000001</v>
      </c>
    </row>
    <row r="4" spans="1:1">
      <c r="A4" s="377">
        <v>1.2</v>
      </c>
    </row>
    <row r="5" spans="1:1">
      <c r="A5" s="377">
        <v>1.3</v>
      </c>
    </row>
    <row r="6" spans="1:1">
      <c r="A6" s="376">
        <v>1.4</v>
      </c>
    </row>
    <row r="7" spans="1:1" ht="15.75" thickBot="1">
      <c r="A7" s="377">
        <v>1.5</v>
      </c>
    </row>
    <row r="8" spans="1:1">
      <c r="A8" s="378">
        <v>1.7</v>
      </c>
    </row>
    <row r="9" spans="1:1">
      <c r="A9" s="376">
        <v>2.1</v>
      </c>
    </row>
    <row r="10" spans="1:1">
      <c r="A10" s="377">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2"/>
  <sheetViews>
    <sheetView showGridLines="0" view="pageBreakPreview" zoomScale="80" zoomScaleNormal="70" zoomScaleSheetLayoutView="80" workbookViewId="0">
      <pane ySplit="2" topLeftCell="A21" activePane="bottomLeft" state="frozen"/>
      <selection activeCell="E22" sqref="E22"/>
      <selection pane="bottomLeft" activeCell="E19" sqref="E19:I19"/>
    </sheetView>
  </sheetViews>
  <sheetFormatPr defaultColWidth="11" defaultRowHeight="15"/>
  <cols>
    <col min="1" max="1" width="2.75" customWidth="1"/>
    <col min="2" max="2" width="21.375" customWidth="1"/>
    <col min="3" max="3" width="18" customWidth="1"/>
    <col min="4" max="4" width="17" customWidth="1"/>
    <col min="5" max="5" width="16.375" customWidth="1"/>
    <col min="6" max="6" width="15.75" customWidth="1"/>
    <col min="7" max="7" width="37.25" customWidth="1"/>
    <col min="8" max="8" width="17.25" customWidth="1"/>
    <col min="9" max="9" width="30" customWidth="1"/>
    <col min="10" max="10" width="14.125" customWidth="1"/>
    <col min="11" max="11" width="12.875" customWidth="1"/>
    <col min="12" max="12" width="10.25" customWidth="1"/>
    <col min="13" max="13" width="36.75" customWidth="1"/>
    <col min="14" max="14" width="2.875" style="35" customWidth="1"/>
    <col min="15" max="15" width="3" style="35" customWidth="1"/>
    <col min="16" max="16" width="2.625" customWidth="1"/>
    <col min="17" max="17" width="16.125" customWidth="1"/>
    <col min="18" max="18" width="13.75" customWidth="1"/>
    <col min="19" max="19" width="11.375" customWidth="1"/>
    <col min="20" max="20" width="14.875" customWidth="1"/>
    <col min="21" max="21" width="16" customWidth="1"/>
    <col min="22" max="22" width="11.375" hidden="1" customWidth="1"/>
    <col min="23" max="23" width="15.625" customWidth="1"/>
    <col min="24" max="24" width="11.375" customWidth="1"/>
    <col min="25" max="25" width="2.25" customWidth="1"/>
    <col min="26" max="26" width="1.125" customWidth="1"/>
    <col min="27" max="27" width="3.25" customWidth="1"/>
    <col min="28" max="28" width="17" customWidth="1"/>
    <col min="29" max="29" width="15" customWidth="1"/>
    <col min="30" max="30" width="11.375" customWidth="1"/>
    <col min="31" max="31" width="13.625" customWidth="1"/>
    <col min="32" max="32" width="16.875" customWidth="1"/>
    <col min="33" max="33" width="11.375" customWidth="1"/>
    <col min="34" max="34" width="2" customWidth="1"/>
    <col min="35" max="35" width="3.25" customWidth="1"/>
    <col min="36" max="36" width="2.25" customWidth="1"/>
    <col min="37" max="37" width="40.75" customWidth="1"/>
    <col min="38" max="38" width="15.375" customWidth="1"/>
  </cols>
  <sheetData>
    <row r="1" spans="1:15" ht="34.5" customHeight="1">
      <c r="A1" s="3"/>
      <c r="B1" s="3"/>
      <c r="C1" s="3"/>
      <c r="D1" s="3"/>
      <c r="E1" s="3"/>
      <c r="F1" s="3"/>
      <c r="G1" s="3"/>
      <c r="H1" s="3"/>
      <c r="I1" s="3"/>
      <c r="J1" s="3"/>
      <c r="K1" s="3"/>
      <c r="L1" s="3"/>
      <c r="M1" s="3"/>
    </row>
    <row r="2" spans="1:15" ht="36" customHeight="1">
      <c r="A2" s="3"/>
      <c r="B2" s="648" t="str">
        <f>+"Tabel Programatic de Evaluare: "&amp;" "&amp;+IF('Introducerea datelor'!C4="Please Select","",'Introducerea datelor'!C4&amp;" - ")&amp;+IF('Introducerea datelor'!G6="Please Select","",'Introducerea datelor'!G6)</f>
        <v>Tabel Programatic de Evaluare:  Moldova - TB</v>
      </c>
      <c r="C2" s="648"/>
      <c r="D2" s="648"/>
      <c r="E2" s="648"/>
      <c r="F2" s="648"/>
      <c r="G2" s="648"/>
      <c r="H2" s="648"/>
      <c r="I2" s="648"/>
      <c r="J2" s="648"/>
      <c r="K2" s="648"/>
      <c r="L2" s="648"/>
      <c r="M2" s="648"/>
    </row>
    <row r="3" spans="1:15" ht="15.75" customHeight="1">
      <c r="A3" s="3"/>
      <c r="B3" s="183"/>
      <c r="C3" s="183"/>
      <c r="D3" s="183"/>
      <c r="E3" s="183"/>
      <c r="F3" s="183"/>
      <c r="G3" s="183"/>
      <c r="H3" s="183"/>
      <c r="I3" s="183"/>
      <c r="J3" s="183"/>
      <c r="K3" s="184"/>
      <c r="L3" s="184"/>
      <c r="M3" s="3"/>
    </row>
    <row r="5" spans="1:15" ht="23.25">
      <c r="B5" s="594" t="s">
        <v>228</v>
      </c>
      <c r="C5" s="594"/>
      <c r="D5" s="594"/>
      <c r="E5" s="594"/>
      <c r="F5" s="594"/>
      <c r="G5" s="594"/>
      <c r="H5" s="594"/>
      <c r="I5" s="594"/>
      <c r="J5" s="594"/>
      <c r="K5" s="594"/>
      <c r="L5" s="594"/>
      <c r="M5" s="594"/>
      <c r="N5" s="594"/>
      <c r="O5" s="594"/>
    </row>
    <row r="7" spans="1:15" ht="21">
      <c r="B7" s="649" t="s">
        <v>217</v>
      </c>
      <c r="C7" s="650"/>
      <c r="D7" s="651"/>
      <c r="E7" s="649" t="s">
        <v>218</v>
      </c>
      <c r="F7" s="650"/>
      <c r="G7" s="650"/>
      <c r="H7" s="650"/>
      <c r="I7" s="651"/>
      <c r="J7" s="649" t="s">
        <v>219</v>
      </c>
      <c r="K7" s="650"/>
      <c r="L7" s="651"/>
      <c r="M7" s="649" t="s">
        <v>253</v>
      </c>
      <c r="N7" s="650"/>
      <c r="O7" s="651"/>
    </row>
    <row r="8" spans="1:15" ht="92.25" customHeight="1">
      <c r="B8" s="610" t="str">
        <f>+'Introducerea datelor'!B27</f>
        <v>F1: Bugetul și debursările de către Fondul Global</v>
      </c>
      <c r="C8" s="652"/>
      <c r="D8" s="653"/>
      <c r="E8" s="654" t="s">
        <v>272</v>
      </c>
      <c r="F8" s="655"/>
      <c r="G8" s="655"/>
      <c r="H8" s="655"/>
      <c r="I8" s="656"/>
      <c r="J8" s="607" t="s">
        <v>254</v>
      </c>
      <c r="K8" s="608"/>
      <c r="L8" s="609"/>
      <c r="M8" s="607" t="s">
        <v>273</v>
      </c>
      <c r="N8" s="608"/>
      <c r="O8" s="609"/>
    </row>
    <row r="9" spans="1:15" ht="110.25" customHeight="1">
      <c r="B9" s="610" t="str">
        <f>+'Introducerea datelor'!B36</f>
        <v>F2: Bugetul și cheltuielile actuale după Obiectivele Grantului</v>
      </c>
      <c r="C9" s="652"/>
      <c r="D9" s="653"/>
      <c r="E9" s="647" t="s">
        <v>262</v>
      </c>
      <c r="F9" s="614"/>
      <c r="G9" s="614"/>
      <c r="H9" s="614"/>
      <c r="I9" s="615"/>
      <c r="J9" s="607" t="s">
        <v>256</v>
      </c>
      <c r="K9" s="608"/>
      <c r="L9" s="609"/>
      <c r="M9" s="607" t="s">
        <v>273</v>
      </c>
      <c r="N9" s="608"/>
      <c r="O9" s="609"/>
    </row>
    <row r="10" spans="1:15" ht="231.75" customHeight="1">
      <c r="B10" s="658" t="str">
        <f>+'Introducerea datelor'!B48</f>
        <v>F3: Debursări și cheltuieli</v>
      </c>
      <c r="C10" s="661"/>
      <c r="D10" s="662"/>
      <c r="E10" s="647" t="s">
        <v>274</v>
      </c>
      <c r="F10" s="614"/>
      <c r="G10" s="614"/>
      <c r="H10" s="614"/>
      <c r="I10" s="615"/>
      <c r="J10" s="607" t="s">
        <v>263</v>
      </c>
      <c r="K10" s="608"/>
      <c r="L10" s="609"/>
      <c r="M10" s="607" t="s">
        <v>255</v>
      </c>
      <c r="N10" s="608"/>
      <c r="O10" s="609"/>
    </row>
    <row r="11" spans="1:15" ht="279.75" customHeight="1">
      <c r="B11" s="658" t="str">
        <f>+'Introducerea datelor'!B57</f>
        <v xml:space="preserve">F4: Ultima perioadă de raportare și debursare a RP </v>
      </c>
      <c r="C11" s="659"/>
      <c r="D11" s="660"/>
      <c r="E11" s="647" t="s">
        <v>277</v>
      </c>
      <c r="F11" s="614"/>
      <c r="G11" s="614"/>
      <c r="H11" s="614"/>
      <c r="I11" s="615"/>
      <c r="J11" s="607" t="s">
        <v>264</v>
      </c>
      <c r="K11" s="608"/>
      <c r="L11" s="609"/>
      <c r="M11" s="607" t="s">
        <v>222</v>
      </c>
      <c r="N11" s="608"/>
      <c r="O11" s="609"/>
    </row>
    <row r="12" spans="1:15" s="19" customFormat="1">
      <c r="B12" s="663"/>
      <c r="C12" s="663"/>
      <c r="D12" s="663"/>
      <c r="E12" s="657"/>
      <c r="F12" s="657"/>
      <c r="G12" s="657"/>
      <c r="H12" s="657"/>
      <c r="I12" s="657"/>
      <c r="J12" s="657"/>
      <c r="K12" s="657"/>
      <c r="L12" s="657"/>
      <c r="M12" s="657"/>
      <c r="N12" s="657"/>
      <c r="O12" s="657"/>
    </row>
    <row r="13" spans="1:15" s="19" customFormat="1" ht="9" customHeight="1">
      <c r="B13" s="646"/>
      <c r="C13" s="646"/>
      <c r="D13" s="646"/>
      <c r="E13" s="642"/>
      <c r="F13" s="642"/>
      <c r="G13" s="642"/>
      <c r="H13" s="642"/>
      <c r="I13" s="642"/>
      <c r="J13" s="642"/>
      <c r="K13" s="642"/>
      <c r="L13" s="642"/>
      <c r="M13" s="642"/>
      <c r="N13" s="642"/>
      <c r="O13" s="642"/>
    </row>
    <row r="14" spans="1:15" s="19" customFormat="1" ht="9.75" customHeight="1">
      <c r="B14" s="646"/>
      <c r="C14" s="646"/>
      <c r="D14" s="646"/>
      <c r="E14" s="642"/>
      <c r="F14" s="642"/>
      <c r="G14" s="642"/>
      <c r="H14" s="642"/>
      <c r="I14" s="642"/>
      <c r="J14" s="642"/>
      <c r="K14" s="642"/>
      <c r="L14" s="642"/>
      <c r="M14" s="642"/>
      <c r="N14" s="642"/>
      <c r="O14" s="642"/>
    </row>
    <row r="15" spans="1:15" s="19" customFormat="1">
      <c r="B15" s="646"/>
      <c r="C15" s="646"/>
      <c r="D15" s="646"/>
      <c r="E15" s="642"/>
      <c r="F15" s="642"/>
      <c r="G15" s="642"/>
      <c r="H15" s="642"/>
      <c r="I15" s="642"/>
      <c r="J15" s="642"/>
      <c r="K15" s="642"/>
      <c r="L15" s="642"/>
      <c r="M15" s="642"/>
      <c r="N15" s="642"/>
      <c r="O15" s="642"/>
    </row>
    <row r="16" spans="1:15" ht="18" customHeight="1">
      <c r="B16" s="594" t="s">
        <v>229</v>
      </c>
      <c r="C16" s="594"/>
      <c r="D16" s="594"/>
      <c r="E16" s="594"/>
      <c r="F16" s="594"/>
      <c r="G16" s="594"/>
      <c r="H16" s="594"/>
      <c r="I16" s="594"/>
      <c r="J16" s="594"/>
      <c r="K16" s="594"/>
      <c r="L16" s="594"/>
      <c r="M16" s="594"/>
      <c r="N16" s="594"/>
      <c r="O16" s="594"/>
    </row>
    <row r="17" spans="1:15" ht="9" customHeight="1"/>
    <row r="18" spans="1:15" ht="21">
      <c r="B18" s="643" t="s">
        <v>217</v>
      </c>
      <c r="C18" s="644"/>
      <c r="D18" s="645"/>
      <c r="E18" s="643" t="s">
        <v>218</v>
      </c>
      <c r="F18" s="644"/>
      <c r="G18" s="644"/>
      <c r="H18" s="644"/>
      <c r="I18" s="645"/>
      <c r="J18" s="643" t="s">
        <v>219</v>
      </c>
      <c r="K18" s="644"/>
      <c r="L18" s="645"/>
      <c r="M18" s="643" t="s">
        <v>220</v>
      </c>
      <c r="N18" s="644"/>
      <c r="O18" s="645"/>
    </row>
    <row r="19" spans="1:15" ht="114" customHeight="1">
      <c r="B19" s="610" t="str">
        <f>+'Introducerea datelor'!B68</f>
        <v xml:space="preserve">M1: Statutul Condițiilor Precedente și a Acțiunilor Prestabilite în Timp </v>
      </c>
      <c r="C19" s="611"/>
      <c r="D19" s="612"/>
      <c r="E19" s="647" t="s">
        <v>227</v>
      </c>
      <c r="F19" s="614"/>
      <c r="G19" s="614"/>
      <c r="H19" s="614"/>
      <c r="I19" s="615"/>
      <c r="J19" s="607" t="s">
        <v>257</v>
      </c>
      <c r="K19" s="608"/>
      <c r="L19" s="609"/>
      <c r="M19" s="607" t="s">
        <v>258</v>
      </c>
      <c r="N19" s="608"/>
      <c r="O19" s="609"/>
    </row>
    <row r="20" spans="1:15" ht="91.5" customHeight="1">
      <c r="B20" s="610" t="str">
        <f>+'Introducerea datelor'!B75</f>
        <v xml:space="preserve">M2: Statutul pozițiilor cheie a RP </v>
      </c>
      <c r="C20" s="611"/>
      <c r="D20" s="612"/>
      <c r="E20" s="647" t="s">
        <v>275</v>
      </c>
      <c r="F20" s="614"/>
      <c r="G20" s="614"/>
      <c r="H20" s="614"/>
      <c r="I20" s="615"/>
      <c r="J20" s="607" t="s">
        <v>224</v>
      </c>
      <c r="K20" s="608"/>
      <c r="L20" s="609"/>
      <c r="M20" s="607" t="s">
        <v>223</v>
      </c>
      <c r="N20" s="608"/>
      <c r="O20" s="609"/>
    </row>
    <row r="21" spans="1:15" ht="171.75" customHeight="1">
      <c r="B21" s="610" t="str">
        <f>+'Introducerea datelor'!B80</f>
        <v xml:space="preserve">M3: Aranjamente contractuale (SR) </v>
      </c>
      <c r="C21" s="611"/>
      <c r="D21" s="612"/>
      <c r="E21" s="613" t="s">
        <v>0</v>
      </c>
      <c r="F21" s="614"/>
      <c r="G21" s="614"/>
      <c r="H21" s="614"/>
      <c r="I21" s="615"/>
      <c r="J21" s="607" t="s">
        <v>259</v>
      </c>
      <c r="K21" s="608"/>
      <c r="L21" s="609"/>
      <c r="M21" s="607" t="s">
        <v>260</v>
      </c>
      <c r="N21" s="608"/>
      <c r="O21" s="609"/>
    </row>
    <row r="22" spans="1:15" ht="74.25" customHeight="1">
      <c r="B22" s="610" t="str">
        <f>+'Introducerea datelor'!B85</f>
        <v>M4: Numărul rapoartelor complete recepționate la timp</v>
      </c>
      <c r="C22" s="611"/>
      <c r="D22" s="612"/>
      <c r="E22" s="613" t="s">
        <v>278</v>
      </c>
      <c r="F22" s="640"/>
      <c r="G22" s="640"/>
      <c r="H22" s="640"/>
      <c r="I22" s="641"/>
      <c r="J22" s="607" t="s">
        <v>265</v>
      </c>
      <c r="K22" s="608"/>
      <c r="L22" s="609"/>
      <c r="M22" s="607" t="s">
        <v>225</v>
      </c>
      <c r="N22" s="608"/>
      <c r="O22" s="609"/>
    </row>
    <row r="23" spans="1:15" ht="135" customHeight="1">
      <c r="B23" s="625" t="str">
        <f>+'Introducerea datelor'!B91</f>
        <v xml:space="preserve">M5: Bugetul și Procurarea produselor medicale, echipamentului medical, medicamentelor și produselor farmaceutice </v>
      </c>
      <c r="C23" s="626"/>
      <c r="D23" s="627"/>
      <c r="E23" s="604" t="s">
        <v>266</v>
      </c>
      <c r="F23" s="605"/>
      <c r="G23" s="605"/>
      <c r="H23" s="605"/>
      <c r="I23" s="606"/>
      <c r="J23" s="634" t="s">
        <v>221</v>
      </c>
      <c r="K23" s="635"/>
      <c r="L23" s="636"/>
      <c r="M23" s="634" t="s">
        <v>226</v>
      </c>
      <c r="N23" s="635"/>
      <c r="O23" s="636"/>
    </row>
    <row r="24" spans="1:15" ht="97.5" customHeight="1">
      <c r="B24" s="628"/>
      <c r="C24" s="629"/>
      <c r="D24" s="630"/>
      <c r="E24" s="631" t="s">
        <v>261</v>
      </c>
      <c r="F24" s="632"/>
      <c r="G24" s="632"/>
      <c r="H24" s="632"/>
      <c r="I24" s="633"/>
      <c r="J24" s="637"/>
      <c r="K24" s="638"/>
      <c r="L24" s="639"/>
      <c r="M24" s="637"/>
      <c r="N24" s="638"/>
      <c r="O24" s="639"/>
    </row>
    <row r="25" spans="1:15" ht="196.5" customHeight="1">
      <c r="B25" s="610" t="str">
        <f>+'Introducerea datelor'!B104</f>
        <v>M6: Diferență între stocul curent și stocul de siguranță</v>
      </c>
      <c r="C25" s="611"/>
      <c r="D25" s="612"/>
      <c r="E25" s="616" t="s">
        <v>279</v>
      </c>
      <c r="F25" s="617"/>
      <c r="G25" s="617"/>
      <c r="H25" s="617"/>
      <c r="I25" s="618"/>
      <c r="J25" s="619" t="s">
        <v>267</v>
      </c>
      <c r="K25" s="620"/>
      <c r="L25" s="621"/>
      <c r="M25" s="622" t="s">
        <v>268</v>
      </c>
      <c r="N25" s="623"/>
      <c r="O25" s="624"/>
    </row>
    <row r="26" spans="1:15" ht="11.25" customHeight="1"/>
    <row r="28" spans="1:15" ht="7.5" customHeight="1"/>
    <row r="29" spans="1:15" ht="9.75" customHeight="1">
      <c r="B29" s="210"/>
    </row>
    <row r="30" spans="1:15" ht="21" customHeight="1">
      <c r="B30" s="594" t="s">
        <v>424</v>
      </c>
      <c r="C30" s="594"/>
      <c r="D30" s="594"/>
      <c r="E30" s="594"/>
      <c r="F30" s="594"/>
      <c r="G30" s="594"/>
      <c r="H30" s="594"/>
      <c r="I30" s="594"/>
      <c r="J30" s="594"/>
      <c r="K30" s="594"/>
      <c r="L30" s="594"/>
      <c r="M30" s="594"/>
      <c r="N30" s="594"/>
      <c r="O30" s="594"/>
    </row>
    <row r="31" spans="1:15" ht="12.75" customHeight="1"/>
    <row r="32" spans="1:15" ht="28.5" customHeight="1">
      <c r="A32" s="207"/>
      <c r="B32" s="595" t="s">
        <v>252</v>
      </c>
      <c r="C32" s="596"/>
      <c r="D32" s="597"/>
      <c r="E32" s="565" t="s">
        <v>464</v>
      </c>
      <c r="F32" s="566"/>
      <c r="G32" s="566"/>
      <c r="H32" s="566"/>
      <c r="I32" s="567"/>
      <c r="J32" s="565" t="s">
        <v>412</v>
      </c>
      <c r="K32" s="566"/>
      <c r="L32" s="567"/>
      <c r="M32" s="565" t="s">
        <v>413</v>
      </c>
      <c r="N32" s="566"/>
      <c r="O32" s="567"/>
    </row>
    <row r="33" spans="1:15" ht="66.75" customHeight="1">
      <c r="A33" s="208"/>
      <c r="B33" s="574" t="s">
        <v>451</v>
      </c>
      <c r="C33" s="575"/>
      <c r="D33" s="576"/>
      <c r="E33" s="571" t="s">
        <v>416</v>
      </c>
      <c r="F33" s="572"/>
      <c r="G33" s="572"/>
      <c r="H33" s="572"/>
      <c r="I33" s="573"/>
      <c r="J33" s="568" t="s">
        <v>414</v>
      </c>
      <c r="K33" s="569"/>
      <c r="L33" s="570"/>
      <c r="M33" s="568" t="s">
        <v>415</v>
      </c>
      <c r="N33" s="569"/>
      <c r="O33" s="570"/>
    </row>
    <row r="34" spans="1:15" ht="63" customHeight="1">
      <c r="A34" s="208"/>
      <c r="B34" s="574" t="s">
        <v>453</v>
      </c>
      <c r="C34" s="575"/>
      <c r="D34" s="576"/>
      <c r="E34" s="571" t="s">
        <v>467</v>
      </c>
      <c r="F34" s="572"/>
      <c r="G34" s="572"/>
      <c r="H34" s="572"/>
      <c r="I34" s="573"/>
      <c r="J34" s="568" t="s">
        <v>414</v>
      </c>
      <c r="K34" s="569"/>
      <c r="L34" s="570"/>
      <c r="M34" s="577" t="s">
        <v>465</v>
      </c>
      <c r="N34" s="578"/>
      <c r="O34" s="579"/>
    </row>
    <row r="35" spans="1:15" ht="69" customHeight="1">
      <c r="A35" s="208"/>
      <c r="B35" s="574" t="s">
        <v>452</v>
      </c>
      <c r="C35" s="575"/>
      <c r="D35" s="576"/>
      <c r="E35" s="571" t="s">
        <v>468</v>
      </c>
      <c r="F35" s="572"/>
      <c r="G35" s="572"/>
      <c r="H35" s="572"/>
      <c r="I35" s="573"/>
      <c r="J35" s="568" t="s">
        <v>414</v>
      </c>
      <c r="K35" s="569"/>
      <c r="L35" s="570"/>
      <c r="M35" s="577" t="s">
        <v>466</v>
      </c>
      <c r="N35" s="578"/>
      <c r="O35" s="579"/>
    </row>
    <row r="36" spans="1:15" ht="9.75" customHeight="1">
      <c r="A36" s="208"/>
      <c r="B36" s="585"/>
      <c r="C36" s="586"/>
      <c r="D36" s="587"/>
      <c r="E36" s="424"/>
      <c r="F36" s="422"/>
      <c r="G36" s="422"/>
      <c r="H36" s="422"/>
      <c r="I36" s="423"/>
      <c r="J36" s="424"/>
      <c r="K36" s="425"/>
      <c r="L36" s="426"/>
      <c r="M36" s="424"/>
      <c r="N36" s="425"/>
      <c r="O36" s="426"/>
    </row>
    <row r="37" spans="1:15" ht="76.5" customHeight="1">
      <c r="A37" s="208"/>
      <c r="B37" s="574" t="s">
        <v>454</v>
      </c>
      <c r="C37" s="575"/>
      <c r="D37" s="576"/>
      <c r="E37" s="568" t="s">
        <v>481</v>
      </c>
      <c r="F37" s="580"/>
      <c r="G37" s="580"/>
      <c r="H37" s="580"/>
      <c r="I37" s="581"/>
      <c r="J37" s="568" t="s">
        <v>426</v>
      </c>
      <c r="K37" s="569"/>
      <c r="L37" s="570"/>
      <c r="M37" s="568" t="s">
        <v>466</v>
      </c>
      <c r="N37" s="569"/>
      <c r="O37" s="570"/>
    </row>
    <row r="38" spans="1:15" ht="69" customHeight="1">
      <c r="A38" s="208"/>
      <c r="B38" s="574" t="s">
        <v>455</v>
      </c>
      <c r="C38" s="575"/>
      <c r="D38" s="576"/>
      <c r="E38" s="568" t="s">
        <v>470</v>
      </c>
      <c r="F38" s="569"/>
      <c r="G38" s="569"/>
      <c r="H38" s="569"/>
      <c r="I38" s="570"/>
      <c r="J38" s="568" t="s">
        <v>426</v>
      </c>
      <c r="K38" s="569"/>
      <c r="L38" s="570"/>
      <c r="M38" s="568" t="s">
        <v>476</v>
      </c>
      <c r="N38" s="569"/>
      <c r="O38" s="570"/>
    </row>
    <row r="39" spans="1:15" ht="69" customHeight="1">
      <c r="A39" s="208"/>
      <c r="B39" s="574" t="s">
        <v>456</v>
      </c>
      <c r="C39" s="575"/>
      <c r="D39" s="576"/>
      <c r="E39" s="568" t="s">
        <v>474</v>
      </c>
      <c r="F39" s="569"/>
      <c r="G39" s="569"/>
      <c r="H39" s="569"/>
      <c r="I39" s="570"/>
      <c r="J39" s="568" t="s">
        <v>426</v>
      </c>
      <c r="K39" s="569"/>
      <c r="L39" s="570"/>
      <c r="M39" s="568" t="s">
        <v>476</v>
      </c>
      <c r="N39" s="569"/>
      <c r="O39" s="570"/>
    </row>
    <row r="40" spans="1:15" ht="64.5" customHeight="1">
      <c r="A40" s="208"/>
      <c r="B40" s="574" t="s">
        <v>457</v>
      </c>
      <c r="C40" s="575"/>
      <c r="D40" s="576"/>
      <c r="E40" s="568" t="s">
        <v>482</v>
      </c>
      <c r="F40" s="569"/>
      <c r="G40" s="569"/>
      <c r="H40" s="569"/>
      <c r="I40" s="570"/>
      <c r="J40" s="568" t="s">
        <v>426</v>
      </c>
      <c r="K40" s="569"/>
      <c r="L40" s="570"/>
      <c r="M40" s="568" t="s">
        <v>476</v>
      </c>
      <c r="N40" s="569"/>
      <c r="O40" s="570"/>
    </row>
    <row r="41" spans="1:15" ht="9.75" customHeight="1">
      <c r="A41" s="208"/>
      <c r="B41" s="585"/>
      <c r="C41" s="586"/>
      <c r="D41" s="587"/>
      <c r="E41" s="424"/>
      <c r="F41" s="536"/>
      <c r="G41" s="536"/>
      <c r="H41" s="536"/>
      <c r="I41" s="537"/>
      <c r="J41" s="424"/>
      <c r="K41" s="425"/>
      <c r="L41" s="426"/>
      <c r="M41" s="424"/>
      <c r="N41" s="425"/>
      <c r="O41" s="426"/>
    </row>
    <row r="42" spans="1:15" ht="90" customHeight="1">
      <c r="A42" s="208"/>
      <c r="B42" s="574" t="s">
        <v>458</v>
      </c>
      <c r="C42" s="575"/>
      <c r="D42" s="576"/>
      <c r="E42" s="568" t="s">
        <v>471</v>
      </c>
      <c r="F42" s="569"/>
      <c r="G42" s="569"/>
      <c r="H42" s="569"/>
      <c r="I42" s="570"/>
      <c r="J42" s="568" t="s">
        <v>427</v>
      </c>
      <c r="K42" s="569"/>
      <c r="L42" s="570"/>
      <c r="M42" s="568" t="s">
        <v>477</v>
      </c>
      <c r="N42" s="569"/>
      <c r="O42" s="570"/>
    </row>
    <row r="43" spans="1:15" ht="55.5" customHeight="1">
      <c r="A43" s="208"/>
      <c r="B43" s="574" t="s">
        <v>459</v>
      </c>
      <c r="C43" s="575"/>
      <c r="D43" s="576"/>
      <c r="E43" s="568" t="s">
        <v>475</v>
      </c>
      <c r="F43" s="569"/>
      <c r="G43" s="569"/>
      <c r="H43" s="569"/>
      <c r="I43" s="570"/>
      <c r="J43" s="568" t="s">
        <v>427</v>
      </c>
      <c r="K43" s="569"/>
      <c r="L43" s="570"/>
      <c r="M43" s="582" t="s">
        <v>480</v>
      </c>
      <c r="N43" s="583"/>
      <c r="O43" s="584"/>
    </row>
    <row r="44" spans="1:15" ht="68.25" customHeight="1">
      <c r="A44" s="208"/>
      <c r="B44" s="574" t="s">
        <v>460</v>
      </c>
      <c r="C44" s="575"/>
      <c r="D44" s="576"/>
      <c r="E44" s="568" t="s">
        <v>473</v>
      </c>
      <c r="F44" s="569"/>
      <c r="G44" s="569"/>
      <c r="H44" s="569"/>
      <c r="I44" s="570"/>
      <c r="J44" s="568" t="s">
        <v>427</v>
      </c>
      <c r="K44" s="569"/>
      <c r="L44" s="570"/>
      <c r="M44" s="568" t="s">
        <v>478</v>
      </c>
      <c r="N44" s="569"/>
      <c r="O44" s="570"/>
    </row>
    <row r="45" spans="1:15" ht="52.5" customHeight="1">
      <c r="B45" s="574" t="s">
        <v>461</v>
      </c>
      <c r="C45" s="575"/>
      <c r="D45" s="576"/>
      <c r="E45" s="568" t="s">
        <v>472</v>
      </c>
      <c r="F45" s="569"/>
      <c r="G45" s="569"/>
      <c r="H45" s="569"/>
      <c r="I45" s="570"/>
      <c r="J45" s="568" t="s">
        <v>427</v>
      </c>
      <c r="K45" s="569"/>
      <c r="L45" s="570"/>
      <c r="M45" s="568" t="s">
        <v>479</v>
      </c>
      <c r="N45" s="569"/>
      <c r="O45" s="570"/>
    </row>
    <row r="46" spans="1:15" ht="44.25" customHeight="1">
      <c r="B46" s="601" t="s">
        <v>236</v>
      </c>
      <c r="C46" s="602"/>
      <c r="D46" s="603"/>
      <c r="E46" s="588" t="s">
        <v>218</v>
      </c>
      <c r="F46" s="589"/>
      <c r="G46" s="589"/>
      <c r="H46" s="589"/>
      <c r="I46" s="590"/>
      <c r="J46" s="588" t="s">
        <v>219</v>
      </c>
      <c r="K46" s="589"/>
      <c r="L46" s="590"/>
      <c r="M46" s="588" t="s">
        <v>220</v>
      </c>
      <c r="N46" s="589"/>
      <c r="O46" s="590"/>
    </row>
    <row r="47" spans="1:15" ht="33.75" customHeight="1">
      <c r="B47" s="204"/>
      <c r="C47" s="205"/>
      <c r="D47" s="205"/>
      <c r="E47" s="199"/>
      <c r="F47" s="201"/>
      <c r="G47" s="201"/>
      <c r="H47" s="201"/>
      <c r="I47" s="201"/>
      <c r="J47" s="199"/>
      <c r="K47" s="199"/>
      <c r="L47" s="200"/>
      <c r="M47" s="198"/>
      <c r="N47" s="199"/>
      <c r="O47" s="200"/>
    </row>
    <row r="48" spans="1:15" ht="15.75" customHeight="1">
      <c r="B48" s="598" t="s">
        <v>235</v>
      </c>
      <c r="C48" s="599"/>
      <c r="D48" s="599"/>
      <c r="E48" s="599"/>
      <c r="F48" s="599"/>
      <c r="G48" s="599"/>
      <c r="H48" s="599"/>
      <c r="I48" s="599"/>
      <c r="J48" s="599"/>
      <c r="K48" s="599"/>
      <c r="L48" s="600"/>
      <c r="M48" s="591" t="s">
        <v>230</v>
      </c>
      <c r="N48" s="592"/>
      <c r="O48" s="593"/>
    </row>
    <row r="49" spans="4:4">
      <c r="D49" s="185"/>
    </row>
    <row r="51" spans="4:4">
      <c r="D51" s="185"/>
    </row>
    <row r="52" spans="4:4">
      <c r="D52" s="185"/>
    </row>
  </sheetData>
  <mergeCells count="125">
    <mergeCell ref="J14:L14"/>
    <mergeCell ref="M12:O12"/>
    <mergeCell ref="J9:L9"/>
    <mergeCell ref="M11:O11"/>
    <mergeCell ref="M13:O13"/>
    <mergeCell ref="M10:O10"/>
    <mergeCell ref="E13:I13"/>
    <mergeCell ref="B11:D11"/>
    <mergeCell ref="B10:D10"/>
    <mergeCell ref="E11:I11"/>
    <mergeCell ref="B12:D12"/>
    <mergeCell ref="J10:L10"/>
    <mergeCell ref="J11:L11"/>
    <mergeCell ref="J12:L12"/>
    <mergeCell ref="E12:I12"/>
    <mergeCell ref="E10:I10"/>
    <mergeCell ref="B14:D14"/>
    <mergeCell ref="M14:O14"/>
    <mergeCell ref="B13:D13"/>
    <mergeCell ref="J13:L13"/>
    <mergeCell ref="E14:I14"/>
    <mergeCell ref="B2:M2"/>
    <mergeCell ref="B5:O5"/>
    <mergeCell ref="M8:O8"/>
    <mergeCell ref="J8:L8"/>
    <mergeCell ref="E7:I7"/>
    <mergeCell ref="M9:O9"/>
    <mergeCell ref="B7:D7"/>
    <mergeCell ref="B8:D8"/>
    <mergeCell ref="B9:D9"/>
    <mergeCell ref="E9:I9"/>
    <mergeCell ref="E8:I8"/>
    <mergeCell ref="J7:L7"/>
    <mergeCell ref="M7:O7"/>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19:O19"/>
    <mergeCell ref="E19:I19"/>
    <mergeCell ref="J19:L19"/>
    <mergeCell ref="B19:D19"/>
    <mergeCell ref="M20:O20"/>
    <mergeCell ref="E20:I20"/>
    <mergeCell ref="E23:I23"/>
    <mergeCell ref="J22:L22"/>
    <mergeCell ref="B22:D22"/>
    <mergeCell ref="E21:I21"/>
    <mergeCell ref="E25:I25"/>
    <mergeCell ref="J25:L25"/>
    <mergeCell ref="M25:O25"/>
    <mergeCell ref="M22:O22"/>
    <mergeCell ref="B23:D24"/>
    <mergeCell ref="E24:I24"/>
    <mergeCell ref="J23:L24"/>
    <mergeCell ref="E22:I22"/>
    <mergeCell ref="B25:D25"/>
    <mergeCell ref="M23:O24"/>
    <mergeCell ref="M48:O48"/>
    <mergeCell ref="B30:O30"/>
    <mergeCell ref="B32:D32"/>
    <mergeCell ref="E32:I32"/>
    <mergeCell ref="J32:L32"/>
    <mergeCell ref="B33:D33"/>
    <mergeCell ref="B45:D45"/>
    <mergeCell ref="J40:L40"/>
    <mergeCell ref="B44:D44"/>
    <mergeCell ref="E44:I44"/>
    <mergeCell ref="E45:I45"/>
    <mergeCell ref="J45:L45"/>
    <mergeCell ref="J44:L44"/>
    <mergeCell ref="M37:O37"/>
    <mergeCell ref="M38:O38"/>
    <mergeCell ref="M42:O42"/>
    <mergeCell ref="J42:L42"/>
    <mergeCell ref="E40:I40"/>
    <mergeCell ref="B42:D42"/>
    <mergeCell ref="E42:I42"/>
    <mergeCell ref="B48:L48"/>
    <mergeCell ref="B46:D46"/>
    <mergeCell ref="E46:I46"/>
    <mergeCell ref="J46:L46"/>
    <mergeCell ref="M44:O44"/>
    <mergeCell ref="M45:O45"/>
    <mergeCell ref="B39:D39"/>
    <mergeCell ref="E39:I39"/>
    <mergeCell ref="J39:L39"/>
    <mergeCell ref="M39:O39"/>
    <mergeCell ref="M40:O40"/>
    <mergeCell ref="M46:O46"/>
    <mergeCell ref="E43:I43"/>
    <mergeCell ref="B41:D41"/>
    <mergeCell ref="B43:D43"/>
    <mergeCell ref="B40:D40"/>
    <mergeCell ref="M32:O32"/>
    <mergeCell ref="J43:L43"/>
    <mergeCell ref="M33:O33"/>
    <mergeCell ref="E33:I33"/>
    <mergeCell ref="B34:D34"/>
    <mergeCell ref="B35:D35"/>
    <mergeCell ref="E35:I35"/>
    <mergeCell ref="J35:L35"/>
    <mergeCell ref="M35:O35"/>
    <mergeCell ref="B37:D37"/>
    <mergeCell ref="B38:D38"/>
    <mergeCell ref="E37:I37"/>
    <mergeCell ref="E38:I38"/>
    <mergeCell ref="J37:L37"/>
    <mergeCell ref="J38:L38"/>
    <mergeCell ref="M43:O43"/>
    <mergeCell ref="M34:O34"/>
    <mergeCell ref="B36:D36"/>
    <mergeCell ref="E34:I34"/>
    <mergeCell ref="J34:L34"/>
    <mergeCell ref="J33:L33"/>
  </mergeCells>
  <phoneticPr fontId="23" type="noConversion"/>
  <pageMargins left="0.70866141732283472" right="0.70866141732283472" top="0.74803149606299213" bottom="0.74803149606299213" header="0.31496062992125984" footer="0.31496062992125984"/>
  <pageSetup paperSize="9" scale="51"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AJ150"/>
  <sheetViews>
    <sheetView showGridLines="0" tabSelected="1" view="pageBreakPreview" zoomScale="75" zoomScaleNormal="75" zoomScaleSheetLayoutView="75" workbookViewId="0">
      <selection activeCell="B29" sqref="B29:N29"/>
    </sheetView>
  </sheetViews>
  <sheetFormatPr defaultColWidth="11" defaultRowHeight="15"/>
  <cols>
    <col min="1" max="1" width="2.75" customWidth="1"/>
    <col min="2" max="2" width="48" customWidth="1"/>
    <col min="3" max="3" width="23" customWidth="1"/>
    <col min="4" max="4" width="19.125" customWidth="1"/>
    <col min="5" max="5" width="18.75" customWidth="1"/>
    <col min="6" max="6" width="17.375" customWidth="1"/>
    <col min="7" max="7" width="16.375" customWidth="1"/>
    <col min="8" max="8" width="12.625" customWidth="1"/>
    <col min="9" max="9" width="11.875" customWidth="1"/>
    <col min="10" max="10" width="13.25" customWidth="1"/>
    <col min="11" max="11" width="14.25" customWidth="1"/>
    <col min="12" max="12" width="15.25" customWidth="1"/>
    <col min="13" max="13" width="15.375" customWidth="1"/>
    <col min="14" max="14" width="14.25" style="35" customWidth="1"/>
    <col min="15" max="15" width="15.625" style="35" customWidth="1"/>
    <col min="16" max="16" width="19.375" customWidth="1"/>
    <col min="17" max="17" width="16.125" customWidth="1"/>
    <col min="18" max="18" width="13.75" customWidth="1"/>
    <col min="19" max="19" width="13.375" customWidth="1"/>
    <col min="20" max="20" width="14.875" customWidth="1"/>
    <col min="21" max="21" width="16" customWidth="1"/>
    <col min="22" max="22" width="11.375" hidden="1" customWidth="1"/>
    <col min="23" max="23" width="15.625" customWidth="1"/>
    <col min="24" max="24" width="11.375" customWidth="1"/>
    <col min="25" max="25" width="2.25" customWidth="1"/>
    <col min="26" max="26" width="1.125" customWidth="1"/>
    <col min="27" max="27" width="3.25" customWidth="1"/>
    <col min="28" max="28" width="17" customWidth="1"/>
    <col min="29" max="29" width="15" customWidth="1"/>
    <col min="30" max="30" width="11.375" customWidth="1"/>
    <col min="31" max="31" width="13.625" customWidth="1"/>
    <col min="32" max="32" width="16.875" customWidth="1"/>
    <col min="33" max="33" width="11.375" customWidth="1"/>
    <col min="34" max="34" width="2" style="35" customWidth="1"/>
    <col min="35" max="35" width="3.25" style="35" customWidth="1"/>
    <col min="36" max="36" width="2.25" style="35" customWidth="1"/>
    <col min="37" max="37" width="40.75" customWidth="1"/>
    <col min="38" max="38" width="15.375" customWidth="1"/>
  </cols>
  <sheetData>
    <row r="1" spans="1:13" ht="29.25" customHeight="1">
      <c r="A1" s="3"/>
      <c r="B1" s="3"/>
      <c r="C1" s="3"/>
      <c r="D1" s="3"/>
      <c r="E1" s="3"/>
      <c r="F1" s="3"/>
      <c r="G1" s="3"/>
      <c r="H1" s="3"/>
      <c r="I1" s="3"/>
      <c r="J1" s="3"/>
      <c r="K1" s="3"/>
      <c r="L1" s="3"/>
      <c r="M1" s="3"/>
    </row>
    <row r="2" spans="1:13" ht="15.75" customHeight="1">
      <c r="A2" s="3"/>
      <c r="B2" s="682" t="s">
        <v>282</v>
      </c>
      <c r="C2" s="682"/>
      <c r="D2" s="682"/>
      <c r="E2" s="682"/>
      <c r="F2" s="682"/>
      <c r="G2" s="682"/>
      <c r="H2" s="682"/>
      <c r="I2" s="682"/>
      <c r="J2" s="682"/>
      <c r="K2" s="229"/>
      <c r="L2" s="229"/>
      <c r="M2" s="229"/>
    </row>
    <row r="3" spans="1:13" ht="4.5" customHeight="1">
      <c r="A3" s="3"/>
      <c r="B3" s="3"/>
      <c r="C3" s="3"/>
      <c r="D3" s="3"/>
      <c r="E3" s="3"/>
      <c r="F3" s="3"/>
      <c r="G3" s="3"/>
      <c r="H3" s="3"/>
      <c r="I3" s="3"/>
      <c r="J3" s="3"/>
      <c r="K3" s="3"/>
      <c r="L3" s="3"/>
      <c r="M3" s="3"/>
    </row>
    <row r="4" spans="1:13" ht="34.5" customHeight="1">
      <c r="A4" s="3"/>
      <c r="B4" s="228" t="s">
        <v>283</v>
      </c>
      <c r="C4" s="683" t="s">
        <v>157</v>
      </c>
      <c r="D4" s="684"/>
      <c r="E4" s="685" t="s">
        <v>287</v>
      </c>
      <c r="F4" s="685"/>
      <c r="G4" s="686" t="s">
        <v>309</v>
      </c>
      <c r="H4" s="687"/>
      <c r="I4" s="687"/>
      <c r="J4" s="688"/>
      <c r="K4" s="3"/>
      <c r="L4" s="3"/>
      <c r="M4" s="3"/>
    </row>
    <row r="5" spans="1:13" ht="3" customHeight="1">
      <c r="A5" s="3"/>
      <c r="B5" s="228"/>
      <c r="C5" s="3"/>
      <c r="D5" s="3"/>
      <c r="E5" s="230"/>
      <c r="F5" s="230"/>
      <c r="G5" s="3"/>
      <c r="H5" s="3"/>
      <c r="I5" s="3"/>
      <c r="J5" s="3"/>
      <c r="K5" s="3"/>
      <c r="L5" s="3"/>
      <c r="M5" s="3"/>
    </row>
    <row r="6" spans="1:13">
      <c r="A6" s="3"/>
      <c r="B6" s="228" t="s">
        <v>284</v>
      </c>
      <c r="C6" s="683" t="s">
        <v>483</v>
      </c>
      <c r="D6" s="684"/>
      <c r="E6" s="685" t="s">
        <v>288</v>
      </c>
      <c r="F6" s="685"/>
      <c r="G6" s="252" t="s">
        <v>15</v>
      </c>
      <c r="H6" s="228" t="s">
        <v>289</v>
      </c>
      <c r="I6" s="694">
        <v>7957826</v>
      </c>
      <c r="J6" s="695"/>
      <c r="K6" s="3"/>
      <c r="L6" s="3"/>
      <c r="M6" s="3"/>
    </row>
    <row r="7" spans="1:13" ht="3" customHeight="1">
      <c r="A7" s="3"/>
      <c r="B7" s="228"/>
      <c r="C7" s="3"/>
      <c r="D7" s="3"/>
      <c r="E7" s="230"/>
      <c r="F7" s="230"/>
      <c r="G7" s="3"/>
      <c r="H7" s="228"/>
      <c r="I7" s="3"/>
      <c r="J7" s="3"/>
      <c r="K7" s="3"/>
      <c r="L7" s="3"/>
      <c r="M7" s="3"/>
    </row>
    <row r="8" spans="1:13">
      <c r="A8" s="3"/>
      <c r="B8" s="228" t="s">
        <v>285</v>
      </c>
      <c r="C8" s="683" t="s">
        <v>432</v>
      </c>
      <c r="D8" s="684"/>
      <c r="E8" s="231"/>
      <c r="F8" s="227" t="s">
        <v>290</v>
      </c>
      <c r="G8" s="315" t="s">
        <v>270</v>
      </c>
      <c r="H8" s="227" t="s">
        <v>291</v>
      </c>
      <c r="I8" s="683" t="s">
        <v>484</v>
      </c>
      <c r="J8" s="684"/>
      <c r="K8" s="3"/>
      <c r="L8" s="3"/>
      <c r="M8" s="3"/>
    </row>
    <row r="9" spans="1:13" ht="3" customHeight="1">
      <c r="A9" s="3"/>
      <c r="B9" s="230"/>
      <c r="C9" s="3"/>
      <c r="D9" s="3"/>
      <c r="E9" s="230"/>
      <c r="F9" s="230"/>
      <c r="G9" s="3"/>
      <c r="H9" s="3"/>
      <c r="I9" s="3"/>
      <c r="J9" s="3"/>
      <c r="K9" s="3"/>
      <c r="L9" s="3"/>
      <c r="M9" s="3"/>
    </row>
    <row r="10" spans="1:13">
      <c r="A10" s="3"/>
      <c r="B10" s="228" t="s">
        <v>373</v>
      </c>
      <c r="C10" s="691">
        <v>42186</v>
      </c>
      <c r="D10" s="692"/>
      <c r="E10" s="693" t="s">
        <v>292</v>
      </c>
      <c r="F10" s="699"/>
      <c r="G10" s="683" t="s">
        <v>37</v>
      </c>
      <c r="H10" s="697"/>
      <c r="I10" s="697"/>
      <c r="J10" s="684"/>
      <c r="K10" s="3"/>
      <c r="L10" s="3"/>
      <c r="M10" s="3"/>
    </row>
    <row r="11" spans="1:13" ht="5.25" customHeight="1">
      <c r="A11" s="3"/>
      <c r="B11" s="3"/>
      <c r="C11" s="3"/>
      <c r="D11" s="3"/>
      <c r="E11" s="3"/>
      <c r="F11" s="3"/>
      <c r="G11" s="3"/>
      <c r="H11" s="3"/>
      <c r="I11" s="3"/>
      <c r="J11" s="3"/>
      <c r="K11" s="3"/>
      <c r="L11" s="3"/>
      <c r="M11" s="3"/>
    </row>
    <row r="12" spans="1:13" ht="15" customHeight="1">
      <c r="A12" s="3"/>
      <c r="B12" s="228" t="s">
        <v>286</v>
      </c>
      <c r="C12" s="729" t="s">
        <v>25</v>
      </c>
      <c r="D12" s="729"/>
      <c r="E12" s="693" t="s">
        <v>233</v>
      </c>
      <c r="F12" s="685"/>
      <c r="G12" s="696" t="s">
        <v>433</v>
      </c>
      <c r="H12" s="696"/>
      <c r="I12" s="696"/>
      <c r="J12" s="696"/>
      <c r="K12" s="3"/>
      <c r="L12" s="3"/>
      <c r="M12" s="3"/>
    </row>
    <row r="13" spans="1:13" ht="5.25" customHeight="1">
      <c r="A13" s="3"/>
      <c r="B13" s="3"/>
      <c r="C13" s="3"/>
      <c r="D13" s="3"/>
      <c r="E13" s="3"/>
      <c r="F13" s="3"/>
      <c r="G13" s="3"/>
      <c r="H13" s="3"/>
      <c r="I13" s="3"/>
      <c r="J13" s="3"/>
      <c r="K13" s="3"/>
      <c r="L13" s="3"/>
      <c r="M13" s="3"/>
    </row>
    <row r="14" spans="1:13" ht="15.75" customHeight="1">
      <c r="A14" s="3"/>
      <c r="B14" s="682" t="s">
        <v>293</v>
      </c>
      <c r="C14" s="682"/>
      <c r="D14" s="682"/>
      <c r="E14" s="682"/>
      <c r="F14" s="682"/>
      <c r="G14" s="682"/>
      <c r="H14" s="682"/>
      <c r="I14" s="682"/>
      <c r="J14" s="682"/>
      <c r="K14" s="3"/>
      <c r="L14" s="3"/>
      <c r="M14" s="3"/>
    </row>
    <row r="15" spans="1:13" ht="3" customHeight="1">
      <c r="A15" s="3"/>
      <c r="B15" s="3"/>
      <c r="C15" s="3"/>
      <c r="D15" s="3"/>
      <c r="E15" s="3"/>
      <c r="F15" s="3"/>
      <c r="G15" s="3"/>
      <c r="H15" s="3"/>
      <c r="I15" s="3"/>
      <c r="J15" s="3"/>
      <c r="K15" s="3"/>
      <c r="L15" s="3"/>
      <c r="M15" s="3"/>
    </row>
    <row r="16" spans="1:13" s="35" customFormat="1" ht="30" customHeight="1">
      <c r="A16" s="374"/>
      <c r="B16" s="375" t="s">
        <v>294</v>
      </c>
      <c r="C16" s="473" t="s">
        <v>63</v>
      </c>
      <c r="D16" s="474" t="s">
        <v>295</v>
      </c>
      <c r="E16" s="475">
        <v>42370</v>
      </c>
      <c r="F16" s="476" t="s">
        <v>296</v>
      </c>
      <c r="G16" s="475">
        <v>42551</v>
      </c>
      <c r="H16" s="689" t="s">
        <v>417</v>
      </c>
      <c r="I16" s="690"/>
      <c r="J16" s="475">
        <v>42654</v>
      </c>
      <c r="K16" s="374"/>
      <c r="L16" s="374"/>
      <c r="M16" s="374"/>
    </row>
    <row r="17" spans="1:35" ht="3" customHeight="1">
      <c r="A17" s="3"/>
      <c r="B17" s="3"/>
      <c r="C17" s="3"/>
      <c r="D17" s="3"/>
      <c r="E17" s="3"/>
      <c r="F17" s="3"/>
      <c r="G17" s="3"/>
      <c r="H17" s="3"/>
      <c r="I17" s="3"/>
      <c r="J17" s="3"/>
      <c r="K17" s="3"/>
      <c r="L17" s="3"/>
      <c r="M17" s="3"/>
    </row>
    <row r="18" spans="1:35">
      <c r="A18" s="3"/>
      <c r="B18" s="698" t="s">
        <v>376</v>
      </c>
      <c r="C18" s="699"/>
      <c r="D18" s="730" t="s">
        <v>432</v>
      </c>
      <c r="E18" s="730"/>
      <c r="F18" s="730"/>
      <c r="G18" s="232"/>
      <c r="H18" s="232"/>
      <c r="I18" s="232"/>
      <c r="J18" s="232"/>
      <c r="K18" s="3"/>
      <c r="L18" s="3"/>
      <c r="M18" s="3"/>
    </row>
    <row r="19" spans="1:35" ht="30" customHeight="1">
      <c r="A19" s="3"/>
      <c r="B19" s="3"/>
      <c r="C19" s="3"/>
      <c r="D19" s="3"/>
      <c r="E19" s="3"/>
      <c r="F19" s="3"/>
      <c r="G19" s="3"/>
      <c r="H19" s="3"/>
      <c r="I19" s="3"/>
      <c r="J19" s="3"/>
      <c r="K19" s="3"/>
      <c r="L19" s="3"/>
      <c r="M19" s="3"/>
    </row>
    <row r="20" spans="1:35" ht="21" customHeight="1">
      <c r="A20" s="3"/>
      <c r="B20" s="3"/>
      <c r="C20" s="3"/>
      <c r="D20" s="3"/>
      <c r="E20" s="3"/>
      <c r="F20" s="3"/>
      <c r="G20" s="3"/>
      <c r="H20" s="3"/>
      <c r="I20" s="3"/>
      <c r="J20" s="3"/>
      <c r="K20" s="3"/>
      <c r="L20" s="3"/>
      <c r="M20" s="3"/>
    </row>
    <row r="21" spans="1:35" ht="15.75" customHeight="1">
      <c r="A21" s="3"/>
      <c r="B21" s="682" t="s">
        <v>297</v>
      </c>
      <c r="C21" s="682"/>
      <c r="D21" s="682"/>
      <c r="E21" s="682"/>
      <c r="F21" s="682"/>
      <c r="G21" s="682"/>
      <c r="H21" s="682"/>
      <c r="I21" s="682"/>
      <c r="J21" s="682"/>
      <c r="K21" s="3"/>
      <c r="L21" s="3"/>
      <c r="M21" s="3"/>
    </row>
    <row r="22" spans="1:35">
      <c r="A22" s="3"/>
      <c r="B22" s="230" t="s">
        <v>419</v>
      </c>
      <c r="C22" s="3"/>
      <c r="D22" s="3"/>
      <c r="E22" s="233"/>
      <c r="F22" s="233"/>
      <c r="G22" s="3"/>
      <c r="H22" s="3"/>
      <c r="I22" s="233"/>
      <c r="J22" s="233"/>
      <c r="K22" s="3"/>
      <c r="L22" s="3"/>
      <c r="M22" s="3"/>
    </row>
    <row r="23" spans="1:35" ht="3" customHeight="1">
      <c r="A23" s="3"/>
      <c r="B23" s="3"/>
      <c r="C23" s="3"/>
      <c r="D23" s="3"/>
      <c r="E23" s="3"/>
      <c r="F23" s="3"/>
      <c r="G23" s="3"/>
      <c r="H23" s="3"/>
      <c r="I23" s="3"/>
      <c r="J23" s="3"/>
      <c r="K23" s="3"/>
      <c r="L23" s="3"/>
      <c r="M23" s="3"/>
    </row>
    <row r="24" spans="1:35" ht="15.75" thickBot="1">
      <c r="A24" s="3"/>
      <c r="B24" s="228" t="s">
        <v>298</v>
      </c>
      <c r="C24" s="308"/>
      <c r="D24" s="685" t="s">
        <v>299</v>
      </c>
      <c r="E24" s="685"/>
      <c r="F24" s="309"/>
      <c r="G24" s="685" t="s">
        <v>300</v>
      </c>
      <c r="H24" s="685"/>
      <c r="I24" s="727"/>
      <c r="J24" s="728"/>
      <c r="K24" s="3"/>
      <c r="L24" s="3"/>
      <c r="M24" s="3"/>
      <c r="N24" s="20"/>
    </row>
    <row r="25" spans="1:35" ht="26.25" customHeight="1" thickBot="1">
      <c r="A25" s="3"/>
      <c r="B25" s="86" t="s">
        <v>298</v>
      </c>
      <c r="C25" s="87"/>
      <c r="D25" s="87"/>
      <c r="E25" s="87"/>
      <c r="F25" s="87"/>
      <c r="G25" s="87"/>
      <c r="H25" s="217"/>
      <c r="I25" s="88"/>
      <c r="J25" s="88"/>
      <c r="K25" s="217" t="s">
        <v>418</v>
      </c>
      <c r="L25" s="87"/>
      <c r="M25" s="87"/>
      <c r="N25" s="323"/>
      <c r="O25" s="39"/>
      <c r="AI25" s="43"/>
    </row>
    <row r="26" spans="1:35">
      <c r="A26" s="3"/>
      <c r="B26" s="719" t="s">
        <v>301</v>
      </c>
      <c r="C26" s="720"/>
      <c r="D26" s="371" t="s">
        <v>2</v>
      </c>
      <c r="E26" s="90"/>
      <c r="F26" s="90"/>
      <c r="G26" s="90"/>
      <c r="H26" s="90"/>
      <c r="I26" s="90"/>
      <c r="J26" s="91"/>
      <c r="K26" s="90"/>
      <c r="L26" s="90"/>
      <c r="M26" s="90"/>
      <c r="N26" s="39"/>
      <c r="O26" s="39"/>
      <c r="AI26" s="43"/>
    </row>
    <row r="27" spans="1:35" ht="18.75">
      <c r="A27" s="3"/>
      <c r="B27" s="89" t="s">
        <v>302</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721" t="s">
        <v>306</v>
      </c>
      <c r="C29" s="722"/>
      <c r="D29" s="722"/>
      <c r="E29" s="722"/>
      <c r="F29" s="722"/>
      <c r="G29" s="722"/>
      <c r="H29" s="722"/>
      <c r="I29" s="722"/>
      <c r="J29" s="722"/>
      <c r="K29" s="722"/>
      <c r="L29" s="722"/>
      <c r="M29" s="722"/>
      <c r="N29" s="723"/>
      <c r="P29" s="171"/>
      <c r="Q29" s="172"/>
      <c r="R29" s="173">
        <f>+C33</f>
        <v>3093788.06</v>
      </c>
      <c r="S29" s="171"/>
    </row>
    <row r="30" spans="1:35">
      <c r="A30" s="3"/>
      <c r="B30" s="92" t="s">
        <v>303</v>
      </c>
      <c r="C30" s="294" t="s">
        <v>62</v>
      </c>
      <c r="D30" s="294" t="s">
        <v>63</v>
      </c>
      <c r="E30" s="294" t="s">
        <v>64</v>
      </c>
      <c r="F30" s="294" t="s">
        <v>65</v>
      </c>
      <c r="G30" s="294" t="s">
        <v>72</v>
      </c>
      <c r="H30" s="294" t="s">
        <v>73</v>
      </c>
      <c r="I30" s="294" t="s">
        <v>74</v>
      </c>
      <c r="J30" s="294" t="s">
        <v>75</v>
      </c>
      <c r="K30" s="294" t="s">
        <v>76</v>
      </c>
      <c r="L30" s="294" t="s">
        <v>77</v>
      </c>
      <c r="M30" s="294" t="s">
        <v>78</v>
      </c>
      <c r="N30" s="295" t="s">
        <v>232</v>
      </c>
      <c r="O30" s="296" t="s">
        <v>310</v>
      </c>
      <c r="P30" s="530"/>
      <c r="Q30" s="461"/>
      <c r="R30" s="173">
        <f>+D33</f>
        <v>4897770.05</v>
      </c>
      <c r="S30" s="171"/>
    </row>
    <row r="31" spans="1:35">
      <c r="A31" s="3"/>
      <c r="B31" s="225" t="str">
        <f>CONCATENATE("Buget (in ",'Introducerea datelor'!$D$26,")")</f>
        <v>Buget (in €)</v>
      </c>
      <c r="C31" s="477">
        <v>3093788.06</v>
      </c>
      <c r="D31" s="477">
        <v>1803981.99</v>
      </c>
      <c r="E31" s="302"/>
      <c r="F31" s="401"/>
      <c r="G31" s="302"/>
      <c r="H31" s="401"/>
      <c r="I31" s="401"/>
      <c r="J31" s="302"/>
      <c r="K31" s="302"/>
      <c r="L31" s="302"/>
      <c r="M31" s="302"/>
      <c r="N31" s="302"/>
      <c r="O31" s="754">
        <f>D34/I6</f>
        <v>0.48544715604487959</v>
      </c>
      <c r="P31" s="549"/>
      <c r="Q31" s="461"/>
      <c r="R31" s="173">
        <f>+E33</f>
        <v>0</v>
      </c>
      <c r="S31" s="171"/>
    </row>
    <row r="32" spans="1:35">
      <c r="A32" s="3"/>
      <c r="B32" s="92" t="str">
        <f>CONCATENATE("Debursări de către FG (in ", $D$26,")")</f>
        <v>Debursări de către FG (in €)</v>
      </c>
      <c r="C32" s="477">
        <v>2488378</v>
      </c>
      <c r="D32" s="477">
        <f>1330131+44595</f>
        <v>1374726</v>
      </c>
      <c r="E32" s="303"/>
      <c r="F32" s="402"/>
      <c r="G32" s="303"/>
      <c r="H32" s="402"/>
      <c r="I32" s="401"/>
      <c r="J32" s="302"/>
      <c r="K32" s="302"/>
      <c r="L32" s="302"/>
      <c r="M32" s="302"/>
      <c r="N32" s="302"/>
      <c r="O32" s="755"/>
      <c r="P32" s="547"/>
      <c r="Q32" s="461"/>
      <c r="R32" s="173">
        <f>+F33</f>
        <v>0</v>
      </c>
      <c r="S32" s="171"/>
    </row>
    <row r="33" spans="1:35">
      <c r="A33" s="3"/>
      <c r="B33" s="93" t="s">
        <v>304</v>
      </c>
      <c r="C33" s="478">
        <v>3093788.06</v>
      </c>
      <c r="D33" s="478">
        <f>IF(AND(D31=0,D32=0),0,+C33+D31)</f>
        <v>4897770.05</v>
      </c>
      <c r="E33" s="304">
        <f t="shared" ref="E33:N33" si="0">IF(AND(E31=0,E32=0),0,+D33+E31)</f>
        <v>0</v>
      </c>
      <c r="F33" s="403">
        <f>IF(AND(F31=0,F32=0),0,+E33+F31)</f>
        <v>0</v>
      </c>
      <c r="G33" s="304">
        <f t="shared" si="0"/>
        <v>0</v>
      </c>
      <c r="H33" s="403">
        <f t="shared" si="0"/>
        <v>0</v>
      </c>
      <c r="I33" s="403">
        <f t="shared" si="0"/>
        <v>0</v>
      </c>
      <c r="J33" s="304">
        <f t="shared" si="0"/>
        <v>0</v>
      </c>
      <c r="K33" s="304">
        <f t="shared" si="0"/>
        <v>0</v>
      </c>
      <c r="L33" s="304">
        <f t="shared" si="0"/>
        <v>0</v>
      </c>
      <c r="M33" s="304">
        <f t="shared" si="0"/>
        <v>0</v>
      </c>
      <c r="N33" s="304">
        <f t="shared" si="0"/>
        <v>0</v>
      </c>
      <c r="O33" s="755"/>
      <c r="P33" s="548"/>
      <c r="Q33" s="461"/>
      <c r="R33" s="173">
        <f>+G33</f>
        <v>0</v>
      </c>
      <c r="S33" s="171"/>
    </row>
    <row r="34" spans="1:35" ht="15.75" thickBot="1">
      <c r="A34" s="3"/>
      <c r="B34" s="94" t="s">
        <v>305</v>
      </c>
      <c r="C34" s="479">
        <v>2488378</v>
      </c>
      <c r="D34" s="479">
        <f>IF(AND(D31=0,D32=0),0,+C34+D32)</f>
        <v>3863104</v>
      </c>
      <c r="E34" s="305">
        <f t="shared" ref="E34:N34" si="1">IF(AND(E31=0,E32=0),0,+D34+E32)</f>
        <v>0</v>
      </c>
      <c r="F34" s="404">
        <f t="shared" si="1"/>
        <v>0</v>
      </c>
      <c r="G34" s="305">
        <f>IF(AND(G31=0,G32=0),0,+F34+G32)</f>
        <v>0</v>
      </c>
      <c r="H34" s="404">
        <f t="shared" si="1"/>
        <v>0</v>
      </c>
      <c r="I34" s="404">
        <f t="shared" si="1"/>
        <v>0</v>
      </c>
      <c r="J34" s="305">
        <f t="shared" si="1"/>
        <v>0</v>
      </c>
      <c r="K34" s="305">
        <f t="shared" si="1"/>
        <v>0</v>
      </c>
      <c r="L34" s="305">
        <f t="shared" si="1"/>
        <v>0</v>
      </c>
      <c r="M34" s="305">
        <f t="shared" si="1"/>
        <v>0</v>
      </c>
      <c r="N34" s="305">
        <f t="shared" si="1"/>
        <v>0</v>
      </c>
      <c r="O34" s="756"/>
      <c r="P34" s="548"/>
      <c r="Q34" s="461"/>
      <c r="R34" s="173">
        <f>+H33</f>
        <v>0</v>
      </c>
      <c r="S34" s="171"/>
    </row>
    <row r="35" spans="1:35">
      <c r="A35" s="3"/>
      <c r="B35" s="3"/>
      <c r="C35" s="276">
        <f>+IF(AND(C30=$C$16,C33&lt;&gt;0),C34/C33,0)</f>
        <v>0</v>
      </c>
      <c r="D35" s="276">
        <f t="shared" ref="D35:N35" si="2">+IF(AND(D30=$C$16,D33&lt;&gt;0),D34/D33,0)</f>
        <v>0.78874752398798309</v>
      </c>
      <c r="E35" s="276">
        <f t="shared" si="2"/>
        <v>0</v>
      </c>
      <c r="F35" s="276">
        <f t="shared" si="2"/>
        <v>0</v>
      </c>
      <c r="G35" s="276">
        <f t="shared" si="2"/>
        <v>0</v>
      </c>
      <c r="H35" s="276">
        <f t="shared" si="2"/>
        <v>0</v>
      </c>
      <c r="I35" s="276">
        <f t="shared" si="2"/>
        <v>0</v>
      </c>
      <c r="J35" s="276">
        <f t="shared" si="2"/>
        <v>0</v>
      </c>
      <c r="K35" s="276">
        <f t="shared" si="2"/>
        <v>0</v>
      </c>
      <c r="L35" s="276">
        <f t="shared" si="2"/>
        <v>0</v>
      </c>
      <c r="M35" s="276">
        <f t="shared" si="2"/>
        <v>0</v>
      </c>
      <c r="N35" s="276">
        <f t="shared" si="2"/>
        <v>0</v>
      </c>
      <c r="O35" s="234"/>
      <c r="P35" s="531"/>
      <c r="Q35" s="462"/>
      <c r="R35" s="173">
        <f>+I33</f>
        <v>0</v>
      </c>
      <c r="S35" s="171"/>
    </row>
    <row r="36" spans="1:35" ht="18.75">
      <c r="A36" s="3"/>
      <c r="B36" s="89" t="s">
        <v>307</v>
      </c>
      <c r="C36" s="3"/>
      <c r="D36" s="3"/>
      <c r="E36" s="285"/>
      <c r="F36" s="3"/>
      <c r="G36" s="214"/>
      <c r="H36" s="3"/>
      <c r="I36" s="3"/>
      <c r="J36" s="3"/>
      <c r="K36" s="3"/>
      <c r="L36" s="3"/>
      <c r="M36" s="3"/>
      <c r="N36" s="40"/>
      <c r="O36" s="40"/>
      <c r="Q36" s="35"/>
      <c r="AI36" s="20"/>
    </row>
    <row r="37" spans="1:35" ht="15.75" thickBot="1">
      <c r="A37" s="3"/>
      <c r="B37" s="3"/>
      <c r="C37" s="3"/>
      <c r="D37" s="3"/>
      <c r="E37" s="3"/>
      <c r="F37" s="3"/>
      <c r="G37" s="3"/>
      <c r="H37" s="3"/>
      <c r="I37" s="3"/>
      <c r="J37" s="3"/>
      <c r="K37" s="3"/>
      <c r="L37" s="3"/>
      <c r="M37" s="3"/>
      <c r="N37" s="38"/>
      <c r="O37" s="38"/>
      <c r="Q37" s="35"/>
    </row>
    <row r="38" spans="1:35" ht="30" customHeight="1">
      <c r="A38" s="3"/>
      <c r="B38" s="310" t="s">
        <v>308</v>
      </c>
      <c r="C38" s="311" t="str">
        <f>CONCATENATE("Bugetul Cumulativ (în ",'Introducerea datelor'!$D$26,")")</f>
        <v>Bugetul Cumulativ (în €)</v>
      </c>
      <c r="D38" s="312" t="str">
        <f>CONCATENATE("Cheltuielile Cumulative (în ",'Introducerea datelor'!$D$26,")")</f>
        <v>Cheltuielile Cumulative (în €)</v>
      </c>
      <c r="E38" s="223"/>
      <c r="F38" s="236"/>
      <c r="G38" s="3"/>
      <c r="H38" s="3"/>
      <c r="I38" s="3"/>
      <c r="J38" s="99"/>
      <c r="K38" s="41"/>
      <c r="N38"/>
      <c r="O38"/>
      <c r="Q38" s="35"/>
      <c r="AE38" s="20"/>
      <c r="AF38" s="35"/>
    </row>
    <row r="39" spans="1:35" ht="46.5" customHeight="1">
      <c r="A39" s="3"/>
      <c r="B39" s="361" t="s">
        <v>435</v>
      </c>
      <c r="C39" s="405">
        <v>1304050.08</v>
      </c>
      <c r="D39" s="406">
        <v>472719.12</v>
      </c>
      <c r="E39" s="552"/>
      <c r="F39" s="291"/>
      <c r="G39" s="292"/>
      <c r="H39" s="3"/>
      <c r="I39" s="3"/>
      <c r="J39" s="100"/>
      <c r="K39" s="42"/>
      <c r="N39"/>
      <c r="O39"/>
      <c r="Q39" s="35"/>
      <c r="AE39" s="20"/>
      <c r="AF39" s="35"/>
    </row>
    <row r="40" spans="1:35" ht="49.5" customHeight="1">
      <c r="A40" s="3"/>
      <c r="B40" s="361" t="s">
        <v>438</v>
      </c>
      <c r="C40" s="405">
        <v>3249061.5</v>
      </c>
      <c r="D40" s="406">
        <v>1692441.52</v>
      </c>
      <c r="E40" s="553"/>
      <c r="F40" s="291"/>
      <c r="G40" s="292"/>
      <c r="H40" s="3"/>
      <c r="I40" s="3"/>
      <c r="J40" s="3"/>
      <c r="K40" s="42"/>
      <c r="N40"/>
      <c r="O40"/>
      <c r="Q40" s="35"/>
      <c r="AE40" s="20"/>
      <c r="AF40" s="35"/>
    </row>
    <row r="41" spans="1:35" ht="48" customHeight="1">
      <c r="A41" s="3"/>
      <c r="B41" s="361" t="s">
        <v>436</v>
      </c>
      <c r="C41" s="407">
        <v>170448.94</v>
      </c>
      <c r="D41" s="406">
        <v>92202.16</v>
      </c>
      <c r="E41" s="553"/>
      <c r="F41" s="293"/>
      <c r="G41" s="3"/>
      <c r="H41" s="3"/>
      <c r="I41" s="3"/>
      <c r="J41" s="3"/>
      <c r="K41" s="42"/>
      <c r="N41"/>
      <c r="O41"/>
      <c r="Q41" s="35"/>
      <c r="AE41" s="20"/>
      <c r="AF41" s="35"/>
    </row>
    <row r="42" spans="1:35" ht="24.75" customHeight="1">
      <c r="A42" s="3"/>
      <c r="B42" s="362" t="s">
        <v>437</v>
      </c>
      <c r="C42" s="407">
        <v>174209.53</v>
      </c>
      <c r="D42" s="406">
        <v>168270.07</v>
      </c>
      <c r="E42" s="553"/>
      <c r="F42" s="235"/>
      <c r="G42" s="3"/>
      <c r="H42" s="3"/>
      <c r="I42" s="3"/>
      <c r="J42" s="3"/>
      <c r="K42" s="20"/>
      <c r="N42"/>
      <c r="O42"/>
      <c r="Q42" s="35"/>
      <c r="AE42" s="20"/>
      <c r="AF42" s="35"/>
    </row>
    <row r="43" spans="1:35" ht="26.25" customHeight="1">
      <c r="A43" s="3"/>
      <c r="B43" s="362" t="s">
        <v>492</v>
      </c>
      <c r="C43" s="407"/>
      <c r="D43" s="406">
        <v>11710.79</v>
      </c>
      <c r="E43" s="553"/>
      <c r="F43" s="331"/>
      <c r="G43" s="3"/>
      <c r="H43" s="3"/>
      <c r="I43" s="3"/>
      <c r="J43" s="3"/>
      <c r="K43" s="20"/>
      <c r="N43"/>
      <c r="O43"/>
      <c r="Q43" s="35"/>
      <c r="AE43" s="20"/>
      <c r="AF43" s="35"/>
    </row>
    <row r="44" spans="1:35">
      <c r="A44" s="3"/>
      <c r="B44" s="362" t="s">
        <v>422</v>
      </c>
      <c r="C44" s="407"/>
      <c r="D44" s="406">
        <v>6744.72</v>
      </c>
      <c r="E44" s="553"/>
      <c r="F44" s="235"/>
      <c r="G44" s="15"/>
      <c r="H44" s="15"/>
      <c r="I44" s="15"/>
      <c r="J44" s="15"/>
      <c r="K44" s="20"/>
      <c r="N44"/>
      <c r="O44"/>
      <c r="Q44" s="35"/>
      <c r="AE44" s="35"/>
      <c r="AF44" s="35"/>
    </row>
    <row r="45" spans="1:35" ht="15.75" thickBot="1">
      <c r="A45" s="3"/>
      <c r="B45" s="313"/>
      <c r="C45" s="405"/>
      <c r="D45" s="406"/>
      <c r="E45" s="553"/>
      <c r="F45" s="15"/>
      <c r="G45" s="15"/>
      <c r="H45" s="15"/>
      <c r="I45" s="15"/>
      <c r="J45" s="15"/>
      <c r="K45" s="20"/>
      <c r="N45"/>
      <c r="O45"/>
      <c r="Q45" s="35"/>
      <c r="AE45" s="35"/>
      <c r="AF45" s="35"/>
    </row>
    <row r="46" spans="1:35" ht="15.75" thickBot="1">
      <c r="A46" s="3"/>
      <c r="B46" s="314" t="s">
        <v>39</v>
      </c>
      <c r="C46" s="408">
        <f>SUM(C39:C45)</f>
        <v>4897770.0500000007</v>
      </c>
      <c r="D46" s="409">
        <f>SUM(D39:D45)</f>
        <v>2444088.3800000004</v>
      </c>
      <c r="E46" s="234"/>
      <c r="F46" s="762" t="str">
        <f ca="1">+IF((ROUND(C46,0)=ROUND(OFFSET(B33,0,RIGHT('Introducerea datelor'!$C$16,LEN('Introducerea datelor'!$C$16)-1),1,1),0)),"OK: Data match","Warning: The data do not match")</f>
        <v>OK: Data match</v>
      </c>
      <c r="G46" s="763"/>
      <c r="H46" s="763"/>
      <c r="I46" s="764"/>
      <c r="N46" s="175"/>
      <c r="O46" s="173"/>
      <c r="P46" s="171"/>
      <c r="Q46" s="35"/>
      <c r="AE46" s="35"/>
      <c r="AF46" s="35"/>
    </row>
    <row r="47" spans="1:35">
      <c r="A47" s="3"/>
      <c r="B47" s="3"/>
      <c r="C47" s="166"/>
      <c r="D47" s="166"/>
      <c r="E47" s="220"/>
      <c r="F47" s="166"/>
      <c r="G47" s="166"/>
      <c r="H47" s="166"/>
      <c r="I47" s="166"/>
      <c r="J47" s="166"/>
      <c r="K47" s="166"/>
      <c r="L47" s="166"/>
      <c r="M47" s="166"/>
      <c r="N47" s="166"/>
      <c r="O47" s="166"/>
      <c r="P47" s="174"/>
      <c r="Q47" s="462"/>
      <c r="R47" s="173"/>
      <c r="S47" s="171"/>
    </row>
    <row r="48" spans="1:35" ht="18.75">
      <c r="A48" s="3"/>
      <c r="B48" s="89" t="s">
        <v>311</v>
      </c>
      <c r="C48" s="3"/>
      <c r="D48" s="3"/>
      <c r="E48" s="3"/>
      <c r="F48" s="3"/>
      <c r="G48" s="3"/>
      <c r="H48" s="3"/>
      <c r="I48" s="3"/>
      <c r="J48" s="3"/>
      <c r="K48" s="3"/>
      <c r="L48" s="3"/>
      <c r="M48" s="3"/>
      <c r="P48" s="171"/>
      <c r="Q48" s="461"/>
      <c r="R48" s="173">
        <f>+J33</f>
        <v>0</v>
      </c>
      <c r="S48" s="171"/>
    </row>
    <row r="49" spans="1:35" ht="15.75" thickBot="1">
      <c r="A49" s="3"/>
      <c r="B49" s="3"/>
      <c r="C49" s="3"/>
      <c r="D49" s="3"/>
      <c r="E49" s="3"/>
      <c r="F49" s="3"/>
      <c r="G49" s="3"/>
      <c r="H49" s="3"/>
      <c r="I49" s="3"/>
      <c r="J49" s="3"/>
      <c r="K49" s="3"/>
      <c r="L49" s="3"/>
      <c r="M49" s="3"/>
      <c r="P49" s="171"/>
      <c r="Q49" s="172"/>
      <c r="R49" s="173">
        <f>+K33</f>
        <v>0</v>
      </c>
      <c r="S49" s="171"/>
    </row>
    <row r="50" spans="1:35" ht="35.25" customHeight="1">
      <c r="A50" s="3"/>
      <c r="B50" s="239"/>
      <c r="C50" s="240" t="s">
        <v>316</v>
      </c>
      <c r="D50" s="240" t="s">
        <v>317</v>
      </c>
      <c r="E50" s="329" t="str">
        <f>CONCATENATE("Total Cheltuit și debursat (în ",D26,")")</f>
        <v>Total Cheltuit și debursat (în €)</v>
      </c>
      <c r="F50" s="374"/>
      <c r="G50" s="463"/>
      <c r="H50" s="236"/>
      <c r="I50" s="226"/>
      <c r="J50" s="226"/>
      <c r="K50" s="226"/>
      <c r="L50" s="226"/>
      <c r="M50" s="21"/>
      <c r="N50" s="21"/>
      <c r="O50" s="171"/>
      <c r="P50" s="172"/>
      <c r="Q50" s="173">
        <f>+M33</f>
        <v>0</v>
      </c>
      <c r="R50" s="171"/>
      <c r="AH50" s="20"/>
    </row>
    <row r="51" spans="1:35">
      <c r="A51" s="3"/>
      <c r="B51" s="237" t="s">
        <v>312</v>
      </c>
      <c r="C51" s="411">
        <v>2488378</v>
      </c>
      <c r="D51" s="411">
        <f>1330131+44595</f>
        <v>1374726</v>
      </c>
      <c r="E51" s="532">
        <f>+D51+C51</f>
        <v>3863104</v>
      </c>
      <c r="F51" s="374"/>
      <c r="G51" s="464"/>
      <c r="H51" s="241"/>
      <c r="I51" s="95"/>
      <c r="J51" s="168"/>
      <c r="K51" s="169"/>
      <c r="L51" s="96"/>
      <c r="M51" s="36"/>
      <c r="N51" s="36"/>
      <c r="O51" s="171"/>
      <c r="P51" s="171"/>
      <c r="Q51" s="171"/>
      <c r="R51" s="171"/>
      <c r="AH51" s="20"/>
    </row>
    <row r="52" spans="1:35">
      <c r="A52" s="3"/>
      <c r="B52" s="237" t="s">
        <v>313</v>
      </c>
      <c r="C52" s="410">
        <v>1705801</v>
      </c>
      <c r="D52" s="410">
        <v>672505.97</v>
      </c>
      <c r="E52" s="532">
        <f>+D52+C52</f>
        <v>2378306.9699999997</v>
      </c>
      <c r="F52" s="374"/>
      <c r="G52" s="465"/>
      <c r="H52" s="241"/>
      <c r="I52" s="95"/>
      <c r="J52" s="168"/>
      <c r="K52" s="168"/>
      <c r="L52" s="96"/>
      <c r="M52" s="37"/>
      <c r="N52" s="37"/>
      <c r="O52" s="171"/>
      <c r="P52" s="171"/>
      <c r="Q52" s="171"/>
      <c r="R52" s="171"/>
      <c r="AH52" s="20"/>
    </row>
    <row r="53" spans="1:35">
      <c r="A53" s="3"/>
      <c r="B53" s="237" t="s">
        <v>314</v>
      </c>
      <c r="C53" s="410">
        <v>35465</v>
      </c>
      <c r="D53" s="410">
        <v>30317.29</v>
      </c>
      <c r="E53" s="532">
        <f>+D53+C53</f>
        <v>65782.290000000008</v>
      </c>
      <c r="F53" s="374"/>
      <c r="G53" s="464"/>
      <c r="H53" s="241"/>
      <c r="I53" s="95"/>
      <c r="J53" s="168"/>
      <c r="K53" s="169"/>
      <c r="L53" s="96"/>
      <c r="M53" s="36"/>
      <c r="N53" s="36"/>
      <c r="O53"/>
      <c r="AH53" s="20"/>
    </row>
    <row r="54" spans="1:35" ht="15.75" thickBot="1">
      <c r="A54" s="3"/>
      <c r="B54" s="238" t="s">
        <v>315</v>
      </c>
      <c r="C54" s="412">
        <v>21802</v>
      </c>
      <c r="D54" s="412">
        <v>28075.27</v>
      </c>
      <c r="E54" s="533">
        <f>+D54+C54</f>
        <v>49877.270000000004</v>
      </c>
      <c r="F54" s="374"/>
      <c r="G54" s="466"/>
      <c r="H54" s="242"/>
      <c r="I54" s="97"/>
      <c r="J54" s="97"/>
      <c r="K54" s="97"/>
      <c r="L54" s="96"/>
      <c r="M54" s="37"/>
      <c r="N54" s="37"/>
      <c r="O54"/>
      <c r="AH54" s="20"/>
    </row>
    <row r="55" spans="1:35" ht="15.75" customHeight="1">
      <c r="A55" s="3"/>
      <c r="B55" s="3"/>
      <c r="C55" s="3"/>
      <c r="D55" s="3"/>
      <c r="E55" s="3"/>
      <c r="F55" s="3"/>
      <c r="G55" s="3"/>
      <c r="H55" s="3"/>
      <c r="I55" s="3"/>
      <c r="J55" s="3"/>
      <c r="K55" s="3"/>
      <c r="L55" s="3"/>
      <c r="M55" s="3"/>
      <c r="AI55" s="20"/>
    </row>
    <row r="56" spans="1:35">
      <c r="A56" s="3"/>
      <c r="B56" s="3"/>
      <c r="C56" s="3"/>
      <c r="D56" s="224"/>
      <c r="E56" s="3"/>
      <c r="F56" s="3"/>
      <c r="G56" s="3"/>
      <c r="H56" s="3"/>
      <c r="I56" s="3"/>
      <c r="J56" s="3"/>
      <c r="K56" s="3"/>
      <c r="L56" s="3"/>
      <c r="M56" s="3"/>
    </row>
    <row r="57" spans="1:35" ht="18.75">
      <c r="A57" s="3"/>
      <c r="B57" s="89" t="s">
        <v>378</v>
      </c>
      <c r="C57" s="3"/>
      <c r="D57" s="3"/>
      <c r="E57" s="3"/>
      <c r="F57" s="3"/>
      <c r="G57" s="3"/>
      <c r="H57" s="3"/>
      <c r="I57" s="3"/>
      <c r="J57" s="3"/>
      <c r="K57" s="3"/>
      <c r="L57" s="3"/>
      <c r="M57" s="3"/>
    </row>
    <row r="58" spans="1:35" ht="15.75" thickBot="1">
      <c r="A58" s="3"/>
      <c r="B58" s="3"/>
      <c r="C58" s="3"/>
      <c r="D58" s="3"/>
      <c r="E58" s="3"/>
      <c r="F58" s="3"/>
      <c r="G58" s="3"/>
      <c r="H58" s="3"/>
      <c r="I58" s="3"/>
      <c r="J58" s="3"/>
      <c r="K58" s="3"/>
      <c r="L58" s="3"/>
      <c r="M58" s="3"/>
    </row>
    <row r="59" spans="1:35">
      <c r="A59" s="3"/>
      <c r="B59" s="724" t="s">
        <v>318</v>
      </c>
      <c r="C59" s="725"/>
      <c r="D59" s="726"/>
      <c r="E59" s="3"/>
      <c r="F59" s="3"/>
      <c r="G59" s="3"/>
      <c r="H59" s="3"/>
      <c r="I59" s="3"/>
      <c r="J59" s="3"/>
      <c r="K59" s="3"/>
      <c r="L59" s="3"/>
      <c r="M59" s="35"/>
      <c r="O59"/>
    </row>
    <row r="60" spans="1:35">
      <c r="A60" s="3"/>
      <c r="B60" s="101"/>
      <c r="C60" s="244" t="s">
        <v>319</v>
      </c>
      <c r="D60" s="245" t="s">
        <v>320</v>
      </c>
      <c r="E60" s="374"/>
      <c r="F60" s="3"/>
      <c r="G60" s="3"/>
      <c r="H60" s="3"/>
      <c r="I60" s="3"/>
      <c r="J60" s="3"/>
      <c r="K60" s="3"/>
      <c r="L60" s="3"/>
      <c r="M60" s="35"/>
      <c r="O60"/>
    </row>
    <row r="61" spans="1:35">
      <c r="A61" s="3"/>
      <c r="B61" s="102" t="s">
        <v>321</v>
      </c>
      <c r="C61" s="481">
        <v>45</v>
      </c>
      <c r="D61" s="456">
        <v>45</v>
      </c>
      <c r="E61" s="374"/>
      <c r="F61" s="374"/>
      <c r="G61" s="3"/>
      <c r="H61" s="3"/>
      <c r="I61" s="3"/>
      <c r="J61" s="3"/>
      <c r="K61" s="3"/>
      <c r="L61" s="3"/>
      <c r="M61" s="35"/>
      <c r="O61"/>
    </row>
    <row r="62" spans="1:35">
      <c r="A62" s="3"/>
      <c r="B62" s="243" t="s">
        <v>322</v>
      </c>
      <c r="C62" s="481">
        <v>0</v>
      </c>
      <c r="D62" s="456">
        <v>0</v>
      </c>
      <c r="E62" s="3"/>
      <c r="F62" s="3"/>
      <c r="G62" s="3"/>
      <c r="H62" s="241"/>
      <c r="I62" s="241"/>
      <c r="J62" s="3"/>
      <c r="K62" s="3"/>
      <c r="L62" s="3"/>
      <c r="M62" s="35"/>
      <c r="O62"/>
    </row>
    <row r="63" spans="1:35" ht="15.75" thickBot="1">
      <c r="A63" s="3"/>
      <c r="B63" s="103" t="s">
        <v>323</v>
      </c>
      <c r="C63" s="457">
        <v>5</v>
      </c>
      <c r="D63" s="458">
        <v>5</v>
      </c>
      <c r="E63" s="3"/>
      <c r="F63" s="3"/>
      <c r="G63" s="3"/>
      <c r="H63" s="241"/>
      <c r="I63" s="241"/>
      <c r="J63" s="3"/>
      <c r="K63" s="3"/>
      <c r="L63" s="3"/>
      <c r="M63" s="35"/>
      <c r="O63"/>
    </row>
    <row r="64" spans="1:35">
      <c r="A64" s="3"/>
      <c r="B64" s="3"/>
      <c r="C64" s="3"/>
      <c r="D64" s="3"/>
      <c r="E64" s="3"/>
      <c r="F64" s="3"/>
      <c r="G64" s="3"/>
      <c r="H64" s="3"/>
      <c r="I64" s="3"/>
      <c r="J64" s="3"/>
      <c r="K64" s="3"/>
      <c r="L64" s="3"/>
      <c r="M64" s="3"/>
    </row>
    <row r="65" spans="1:30" ht="15.75" thickBot="1">
      <c r="A65" s="3"/>
      <c r="B65" s="3"/>
      <c r="C65" s="3"/>
      <c r="D65" s="3"/>
      <c r="E65" s="3"/>
      <c r="F65" s="3"/>
      <c r="G65" s="3"/>
      <c r="H65" s="3"/>
      <c r="I65" s="3"/>
      <c r="J65" s="3"/>
      <c r="K65" s="3"/>
      <c r="L65" s="325"/>
      <c r="M65" s="3"/>
      <c r="AC65" s="19"/>
      <c r="AD65" s="19"/>
    </row>
    <row r="66" spans="1:30" ht="19.5" thickBot="1">
      <c r="A66" s="3"/>
      <c r="B66" s="104" t="s">
        <v>325</v>
      </c>
      <c r="C66" s="105"/>
      <c r="D66" s="105"/>
      <c r="E66" s="105"/>
      <c r="F66" s="105"/>
      <c r="G66" s="105" t="s">
        <v>434</v>
      </c>
      <c r="H66" s="366"/>
      <c r="I66" s="105"/>
      <c r="J66" s="106"/>
      <c r="K66" s="106"/>
      <c r="L66" s="326"/>
      <c r="M66" s="327"/>
      <c r="N66" s="83"/>
      <c r="O66" s="83"/>
      <c r="P66" s="83"/>
      <c r="S66" s="43"/>
      <c r="AC66" s="19"/>
      <c r="AD66" s="19"/>
    </row>
    <row r="67" spans="1:30" ht="18.75">
      <c r="A67" s="3"/>
      <c r="B67" s="108"/>
      <c r="C67" s="107"/>
      <c r="D67" s="107"/>
      <c r="E67" s="107"/>
      <c r="F67" s="107"/>
      <c r="G67" s="107"/>
      <c r="H67" s="107"/>
      <c r="I67" s="107"/>
      <c r="J67" s="107"/>
      <c r="K67" s="109"/>
      <c r="L67" s="109"/>
      <c r="M67" s="107"/>
      <c r="N67" s="83"/>
      <c r="O67" s="83"/>
      <c r="P67" s="83"/>
      <c r="S67" s="43"/>
      <c r="AC67" s="19"/>
      <c r="AD67" s="19"/>
    </row>
    <row r="68" spans="1:30" ht="18.75">
      <c r="A68" s="3"/>
      <c r="B68" s="108" t="s">
        <v>326</v>
      </c>
      <c r="C68" s="107"/>
      <c r="D68" s="107"/>
      <c r="E68" s="107"/>
      <c r="F68" s="107"/>
      <c r="G68" s="107"/>
      <c r="H68" s="107"/>
      <c r="I68" s="107"/>
      <c r="J68" s="107"/>
      <c r="K68" s="109"/>
      <c r="L68" s="109"/>
      <c r="M68" s="107"/>
      <c r="N68" s="83"/>
      <c r="O68" s="83"/>
      <c r="P68" s="83"/>
      <c r="S68" s="43"/>
      <c r="AC68" s="19"/>
      <c r="AD68" s="19"/>
    </row>
    <row r="69" spans="1:30" ht="15.75" thickBot="1">
      <c r="A69" s="3"/>
      <c r="B69" s="2"/>
      <c r="C69" s="110"/>
      <c r="D69" s="110"/>
      <c r="E69" s="110"/>
      <c r="F69" s="110"/>
      <c r="G69" s="110"/>
      <c r="H69" s="2"/>
      <c r="I69" s="110"/>
      <c r="J69" s="2"/>
      <c r="K69" s="2"/>
      <c r="L69" s="2"/>
      <c r="M69" s="2"/>
      <c r="N69" s="20"/>
      <c r="O69" s="19"/>
      <c r="P69" s="19"/>
      <c r="Q69" s="19"/>
      <c r="R69" s="19"/>
      <c r="S69" s="19"/>
      <c r="AD69" s="19"/>
    </row>
    <row r="70" spans="1:30" ht="45">
      <c r="A70" s="3"/>
      <c r="B70" s="717"/>
      <c r="C70" s="718"/>
      <c r="D70" s="111" t="s">
        <v>329</v>
      </c>
      <c r="E70" s="112" t="s">
        <v>330</v>
      </c>
      <c r="F70" s="112" t="s">
        <v>331</v>
      </c>
      <c r="G70" s="113" t="s">
        <v>39</v>
      </c>
      <c r="H70" s="249"/>
      <c r="I70" s="250"/>
      <c r="J70" s="15"/>
      <c r="K70" s="2"/>
      <c r="L70" s="2"/>
      <c r="M70" s="2"/>
      <c r="N70" s="20"/>
      <c r="O70" s="19"/>
      <c r="P70" s="19"/>
      <c r="Q70" s="19"/>
      <c r="R70" s="19"/>
      <c r="S70" s="19"/>
    </row>
    <row r="71" spans="1:30">
      <c r="A71" s="3"/>
      <c r="B71" s="700" t="s">
        <v>327</v>
      </c>
      <c r="C71" s="701"/>
      <c r="D71" s="212">
        <v>2</v>
      </c>
      <c r="E71" s="212">
        <v>1</v>
      </c>
      <c r="F71" s="212"/>
      <c r="G71" s="480">
        <f>SUM(D71:F71)</f>
        <v>3</v>
      </c>
      <c r="H71" s="235"/>
      <c r="I71" s="248"/>
      <c r="J71" s="248"/>
      <c r="K71" s="2" t="s">
        <v>324</v>
      </c>
      <c r="L71" s="2"/>
      <c r="M71" s="2"/>
      <c r="N71" s="20"/>
      <c r="O71" s="19"/>
      <c r="P71" s="19"/>
      <c r="Q71" s="19"/>
      <c r="R71" s="19"/>
      <c r="S71" s="19"/>
    </row>
    <row r="72" spans="1:30" ht="15.75" thickBot="1">
      <c r="A72" s="3"/>
      <c r="B72" s="715" t="s">
        <v>328</v>
      </c>
      <c r="C72" s="716"/>
      <c r="D72" s="213"/>
      <c r="E72" s="213"/>
      <c r="F72" s="213"/>
      <c r="G72" s="116">
        <f>SUM(D72:F72)</f>
        <v>0</v>
      </c>
      <c r="H72" s="235"/>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8.75">
      <c r="A75" s="3"/>
      <c r="B75" s="108" t="s">
        <v>332</v>
      </c>
      <c r="C75" s="2"/>
      <c r="D75" s="2"/>
      <c r="E75" s="2"/>
      <c r="F75" s="2"/>
      <c r="G75" s="2"/>
      <c r="H75" s="2"/>
      <c r="I75" s="2"/>
      <c r="J75" s="2"/>
      <c r="K75" s="2"/>
      <c r="L75" s="2"/>
      <c r="M75" s="2"/>
      <c r="N75" s="19"/>
      <c r="O75" s="19"/>
      <c r="P75" s="19"/>
      <c r="S75" s="19"/>
    </row>
    <row r="76" spans="1:30" ht="15.75" thickBot="1">
      <c r="A76" s="3"/>
      <c r="B76" s="2"/>
      <c r="C76" s="2"/>
      <c r="D76" s="2"/>
      <c r="E76" s="2"/>
      <c r="F76" s="2"/>
      <c r="G76" s="2"/>
      <c r="H76" s="2"/>
      <c r="I76" s="2"/>
      <c r="J76" s="2"/>
      <c r="K76" s="2"/>
      <c r="L76" s="2"/>
      <c r="M76" s="2"/>
      <c r="N76" s="19"/>
      <c r="O76" s="19"/>
      <c r="P76" s="19"/>
      <c r="S76" s="19"/>
    </row>
    <row r="77" spans="1:30">
      <c r="A77" s="3"/>
      <c r="B77" s="117"/>
      <c r="C77" s="365" t="s">
        <v>333</v>
      </c>
      <c r="D77" s="365" t="s">
        <v>334</v>
      </c>
      <c r="E77" s="118" t="s">
        <v>335</v>
      </c>
      <c r="F77" s="15"/>
      <c r="G77" s="15"/>
      <c r="H77" s="15"/>
      <c r="I77" s="250"/>
      <c r="J77" s="2"/>
      <c r="K77" s="2"/>
      <c r="L77" s="2"/>
      <c r="M77" s="2"/>
      <c r="N77" s="19"/>
      <c r="O77" s="19"/>
      <c r="P77" s="19"/>
      <c r="S77" s="19"/>
    </row>
    <row r="78" spans="1:30" ht="15.75" thickBot="1">
      <c r="A78" s="3"/>
      <c r="B78" s="119" t="s">
        <v>432</v>
      </c>
      <c r="C78" s="482">
        <v>6</v>
      </c>
      <c r="D78" s="482">
        <v>6</v>
      </c>
      <c r="E78" s="483">
        <f>+C78-D78</f>
        <v>0</v>
      </c>
      <c r="F78" s="216"/>
      <c r="G78" s="221"/>
      <c r="H78" s="15"/>
      <c r="I78" s="248"/>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8.75">
      <c r="A80" s="3"/>
      <c r="B80" s="108" t="s">
        <v>336</v>
      </c>
      <c r="C80" s="2"/>
      <c r="D80" s="2"/>
      <c r="E80" s="2"/>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ht="30">
      <c r="A82" s="3"/>
      <c r="B82" s="117"/>
      <c r="C82" s="365" t="s">
        <v>337</v>
      </c>
      <c r="D82" s="365" t="s">
        <v>338</v>
      </c>
      <c r="E82" s="365" t="s">
        <v>339</v>
      </c>
      <c r="F82" s="365" t="s">
        <v>340</v>
      </c>
      <c r="G82" s="144" t="s">
        <v>341</v>
      </c>
      <c r="H82" s="222"/>
      <c r="I82" s="250"/>
      <c r="J82" s="2"/>
      <c r="K82" s="2"/>
      <c r="L82" s="2"/>
      <c r="M82" s="2"/>
      <c r="N82" s="19"/>
      <c r="O82" s="19"/>
      <c r="P82" s="19"/>
      <c r="S82" s="19"/>
    </row>
    <row r="83" spans="1:36" ht="15.75" thickBot="1">
      <c r="A83" s="3"/>
      <c r="B83" s="119" t="s">
        <v>79</v>
      </c>
      <c r="C83" s="482">
        <v>1</v>
      </c>
      <c r="D83" s="482">
        <v>1</v>
      </c>
      <c r="E83" s="482">
        <v>1</v>
      </c>
      <c r="F83" s="482">
        <v>1</v>
      </c>
      <c r="G83" s="484">
        <v>1</v>
      </c>
      <c r="H83" s="251"/>
      <c r="I83" s="235"/>
      <c r="J83" s="2"/>
      <c r="K83" s="2"/>
      <c r="L83" s="2"/>
      <c r="M83" s="2"/>
      <c r="N83" s="19"/>
      <c r="O83" s="19"/>
      <c r="P83" s="19"/>
      <c r="S83" s="19"/>
    </row>
    <row r="84" spans="1:36">
      <c r="A84" s="3"/>
      <c r="B84" s="2"/>
      <c r="C84" s="485"/>
      <c r="D84" s="485"/>
      <c r="E84" s="485"/>
      <c r="F84" s="485"/>
      <c r="G84" s="485"/>
      <c r="H84" s="2"/>
      <c r="J84" s="2"/>
      <c r="K84" s="2"/>
      <c r="L84" s="2"/>
      <c r="M84" s="2"/>
      <c r="N84" s="19"/>
      <c r="O84" s="19"/>
      <c r="P84" s="19"/>
      <c r="S84" s="19"/>
    </row>
    <row r="85" spans="1:36" ht="18.75">
      <c r="A85" s="3"/>
      <c r="B85" s="108" t="s">
        <v>342</v>
      </c>
      <c r="C85" s="2"/>
      <c r="D85" s="2"/>
      <c r="E85" s="2"/>
      <c r="F85" s="2"/>
      <c r="G85" s="2"/>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c r="A87" s="3"/>
      <c r="B87" s="117"/>
      <c r="C87" s="120" t="s">
        <v>345</v>
      </c>
      <c r="D87" s="120" t="s">
        <v>346</v>
      </c>
      <c r="E87" s="121" t="s">
        <v>347</v>
      </c>
      <c r="F87" s="2"/>
      <c r="G87" s="2"/>
      <c r="H87" s="2"/>
      <c r="I87" s="2"/>
      <c r="J87" s="19"/>
      <c r="K87" s="19"/>
      <c r="L87" s="19"/>
      <c r="N87"/>
      <c r="O87" s="19"/>
      <c r="AG87" s="35"/>
      <c r="AJ87"/>
    </row>
    <row r="88" spans="1:36">
      <c r="A88" s="3"/>
      <c r="B88" s="114" t="s">
        <v>343</v>
      </c>
      <c r="C88" s="212">
        <v>0</v>
      </c>
      <c r="D88" s="486">
        <v>0</v>
      </c>
      <c r="E88" s="487">
        <f>C88-D88</f>
        <v>0</v>
      </c>
      <c r="F88" s="2"/>
      <c r="G88" s="2"/>
      <c r="H88" s="2"/>
      <c r="I88" s="2"/>
      <c r="J88" s="19"/>
      <c r="K88" s="19"/>
      <c r="L88" s="19"/>
      <c r="N88"/>
      <c r="O88" s="19"/>
      <c r="AG88" s="35"/>
      <c r="AJ88"/>
    </row>
    <row r="89" spans="1:36" ht="15.75" thickBot="1">
      <c r="A89" s="3"/>
      <c r="B89" s="115" t="s">
        <v>344</v>
      </c>
      <c r="C89" s="213">
        <v>3</v>
      </c>
      <c r="D89" s="488">
        <v>3</v>
      </c>
      <c r="E89" s="489">
        <f>C89-D89</f>
        <v>0</v>
      </c>
      <c r="F89" s="2"/>
      <c r="G89" s="2"/>
      <c r="H89" s="2"/>
      <c r="I89" s="2"/>
      <c r="J89" s="19"/>
      <c r="K89" s="19"/>
      <c r="L89" s="19"/>
      <c r="N89"/>
      <c r="O89" s="19"/>
      <c r="AG89" s="35"/>
      <c r="AJ89"/>
    </row>
    <row r="90" spans="1:36">
      <c r="A90" s="3"/>
      <c r="B90" s="2"/>
      <c r="C90" s="2"/>
      <c r="D90" s="2"/>
      <c r="E90" s="2"/>
      <c r="F90" s="2"/>
      <c r="G90" s="2"/>
      <c r="H90" s="2"/>
      <c r="I90" s="2"/>
      <c r="J90" s="2"/>
      <c r="K90" s="2"/>
      <c r="L90" s="2"/>
      <c r="M90" s="2"/>
      <c r="N90" s="19"/>
      <c r="O90" s="19"/>
      <c r="P90" s="19"/>
      <c r="S90" s="19"/>
    </row>
    <row r="91" spans="1:36" ht="18.75">
      <c r="A91" s="3"/>
      <c r="B91" s="108" t="s">
        <v>348</v>
      </c>
      <c r="C91" s="2"/>
      <c r="D91" s="2"/>
      <c r="E91" s="2"/>
      <c r="F91" s="2"/>
      <c r="G91" s="2"/>
      <c r="H91" s="2"/>
      <c r="I91" s="2"/>
      <c r="J91" s="2"/>
      <c r="K91" s="2"/>
      <c r="L91" s="2"/>
      <c r="M91" s="2"/>
      <c r="N91" s="19"/>
      <c r="O91" s="19"/>
      <c r="P91" s="19"/>
      <c r="S91" s="19"/>
    </row>
    <row r="92" spans="1:36" ht="15.75" thickBot="1">
      <c r="A92" s="3"/>
      <c r="B92" s="2"/>
      <c r="C92" s="2"/>
      <c r="D92" s="2"/>
      <c r="E92" s="2"/>
      <c r="F92" s="2"/>
      <c r="G92" s="2"/>
      <c r="H92" s="2"/>
      <c r="I92" s="15"/>
      <c r="J92" s="15"/>
      <c r="K92" s="15"/>
      <c r="L92" s="15"/>
      <c r="M92" s="15"/>
      <c r="N92" s="20"/>
      <c r="O92" s="20"/>
      <c r="P92" s="20"/>
      <c r="S92" s="19"/>
    </row>
    <row r="93" spans="1:36">
      <c r="A93" s="3"/>
      <c r="B93" s="182"/>
      <c r="C93" s="297" t="s">
        <v>62</v>
      </c>
      <c r="D93" s="297" t="s">
        <v>63</v>
      </c>
      <c r="E93" s="297" t="s">
        <v>64</v>
      </c>
      <c r="F93" s="297" t="s">
        <v>65</v>
      </c>
      <c r="G93" s="297" t="s">
        <v>72</v>
      </c>
      <c r="H93" s="297" t="s">
        <v>73</v>
      </c>
      <c r="I93" s="297" t="s">
        <v>74</v>
      </c>
      <c r="J93" s="297" t="s">
        <v>75</v>
      </c>
      <c r="K93" s="297" t="s">
        <v>76</v>
      </c>
      <c r="L93" s="297" t="s">
        <v>77</v>
      </c>
      <c r="M93" s="297" t="s">
        <v>78</v>
      </c>
      <c r="N93" s="298" t="s">
        <v>232</v>
      </c>
      <c r="O93" s="20"/>
      <c r="P93" s="20"/>
      <c r="S93" s="19"/>
    </row>
    <row r="94" spans="1:36" ht="15" customHeight="1">
      <c r="A94" s="3"/>
      <c r="B94" s="299" t="s">
        <v>349</v>
      </c>
      <c r="C94" s="413">
        <v>2475363.62</v>
      </c>
      <c r="D94" s="413">
        <v>1471460.94</v>
      </c>
      <c r="E94" s="286"/>
      <c r="F94" s="286"/>
      <c r="G94" s="286"/>
      <c r="H94" s="413"/>
      <c r="I94" s="413"/>
      <c r="J94" s="286"/>
      <c r="K94" s="286"/>
      <c r="L94" s="286"/>
      <c r="M94" s="286"/>
      <c r="N94" s="352"/>
      <c r="O94" s="20"/>
      <c r="P94" s="20"/>
      <c r="S94" s="19"/>
    </row>
    <row r="95" spans="1:36" ht="15" customHeight="1">
      <c r="A95" s="3"/>
      <c r="B95" s="299" t="s">
        <v>350</v>
      </c>
      <c r="C95" s="413">
        <v>1585909.66</v>
      </c>
      <c r="D95" s="413">
        <v>477235.64</v>
      </c>
      <c r="E95" s="286"/>
      <c r="F95" s="286"/>
      <c r="G95" s="286"/>
      <c r="H95" s="413"/>
      <c r="I95" s="413"/>
      <c r="J95" s="286"/>
      <c r="K95" s="286"/>
      <c r="L95" s="286"/>
      <c r="M95" s="286"/>
      <c r="N95" s="352"/>
      <c r="O95" s="20"/>
      <c r="P95" s="20"/>
      <c r="S95" s="19"/>
    </row>
    <row r="96" spans="1:36" ht="15" customHeight="1">
      <c r="A96" s="3"/>
      <c r="B96" s="299" t="s">
        <v>351</v>
      </c>
      <c r="C96" s="413">
        <v>1387405.1</v>
      </c>
      <c r="D96" s="413">
        <v>465365.61</v>
      </c>
      <c r="E96" s="286"/>
      <c r="F96" s="286"/>
      <c r="G96" s="286"/>
      <c r="H96" s="413"/>
      <c r="I96" s="413"/>
      <c r="J96" s="286"/>
      <c r="K96" s="286"/>
      <c r="L96" s="286"/>
      <c r="M96" s="286"/>
      <c r="N96" s="352"/>
      <c r="O96" s="20"/>
      <c r="P96" s="20"/>
      <c r="S96" s="19"/>
    </row>
    <row r="97" spans="1:19" ht="15" customHeight="1">
      <c r="A97" s="3"/>
      <c r="B97" s="253" t="s">
        <v>352</v>
      </c>
      <c r="C97" s="490">
        <v>2475363.62</v>
      </c>
      <c r="D97" s="414">
        <f>+C97+D94</f>
        <v>3946824.56</v>
      </c>
      <c r="E97" s="287">
        <f>+D97+E94</f>
        <v>3946824.56</v>
      </c>
      <c r="F97" s="287">
        <f t="shared" ref="F97:N97" si="3">+E97+F94</f>
        <v>3946824.56</v>
      </c>
      <c r="G97" s="287">
        <f t="shared" si="3"/>
        <v>3946824.56</v>
      </c>
      <c r="H97" s="414">
        <f t="shared" si="3"/>
        <v>3946824.56</v>
      </c>
      <c r="I97" s="414">
        <f t="shared" si="3"/>
        <v>3946824.56</v>
      </c>
      <c r="J97" s="287">
        <f t="shared" si="3"/>
        <v>3946824.56</v>
      </c>
      <c r="K97" s="287">
        <f t="shared" si="3"/>
        <v>3946824.56</v>
      </c>
      <c r="L97" s="414">
        <f>+K97+L94</f>
        <v>3946824.56</v>
      </c>
      <c r="M97" s="414">
        <f t="shared" si="3"/>
        <v>3946824.56</v>
      </c>
      <c r="N97" s="467">
        <f t="shared" si="3"/>
        <v>3946824.56</v>
      </c>
      <c r="O97" s="20"/>
      <c r="P97" s="20"/>
      <c r="S97" s="19"/>
    </row>
    <row r="98" spans="1:19" ht="15" customHeight="1">
      <c r="A98" s="3"/>
      <c r="B98" s="253" t="s">
        <v>353</v>
      </c>
      <c r="C98" s="490">
        <v>87919.039999999994</v>
      </c>
      <c r="D98" s="414">
        <f t="shared" ref="D98:N99" si="4">+C98+D95</f>
        <v>565154.68000000005</v>
      </c>
      <c r="E98" s="287">
        <f>+D98+E95</f>
        <v>565154.68000000005</v>
      </c>
      <c r="F98" s="287">
        <f t="shared" si="4"/>
        <v>565154.68000000005</v>
      </c>
      <c r="G98" s="287">
        <f t="shared" si="4"/>
        <v>565154.68000000005</v>
      </c>
      <c r="H98" s="414">
        <f t="shared" si="4"/>
        <v>565154.68000000005</v>
      </c>
      <c r="I98" s="414">
        <f>+H98+I95</f>
        <v>565154.68000000005</v>
      </c>
      <c r="J98" s="287">
        <f t="shared" si="4"/>
        <v>565154.68000000005</v>
      </c>
      <c r="K98" s="287">
        <f>+J98+K95</f>
        <v>565154.68000000005</v>
      </c>
      <c r="L98" s="414">
        <f>+K98+L95</f>
        <v>565154.68000000005</v>
      </c>
      <c r="M98" s="414">
        <f t="shared" si="4"/>
        <v>565154.68000000005</v>
      </c>
      <c r="N98" s="467">
        <f t="shared" si="4"/>
        <v>565154.68000000005</v>
      </c>
      <c r="O98" s="20"/>
      <c r="P98" s="20"/>
      <c r="S98" s="19"/>
    </row>
    <row r="99" spans="1:19" ht="15.75" thickBot="1">
      <c r="A99" s="3"/>
      <c r="B99" s="350" t="s">
        <v>354</v>
      </c>
      <c r="C99" s="491">
        <v>1387405.1</v>
      </c>
      <c r="D99" s="415">
        <f t="shared" si="4"/>
        <v>1852770.71</v>
      </c>
      <c r="E99" s="351">
        <f>+D99+E96</f>
        <v>1852770.71</v>
      </c>
      <c r="F99" s="351">
        <f t="shared" si="4"/>
        <v>1852770.71</v>
      </c>
      <c r="G99" s="351">
        <f t="shared" si="4"/>
        <v>1852770.71</v>
      </c>
      <c r="H99" s="415">
        <f t="shared" si="4"/>
        <v>1852770.71</v>
      </c>
      <c r="I99" s="415">
        <f t="shared" si="4"/>
        <v>1852770.71</v>
      </c>
      <c r="J99" s="351">
        <f t="shared" si="4"/>
        <v>1852770.71</v>
      </c>
      <c r="K99" s="351">
        <f t="shared" si="4"/>
        <v>1852770.71</v>
      </c>
      <c r="L99" s="415">
        <f t="shared" si="4"/>
        <v>1852770.71</v>
      </c>
      <c r="M99" s="415">
        <f>+L99+M96</f>
        <v>1852770.71</v>
      </c>
      <c r="N99" s="468">
        <f t="shared" si="4"/>
        <v>1852770.71</v>
      </c>
      <c r="O99" s="20"/>
      <c r="P99" s="20"/>
      <c r="S99" s="19"/>
    </row>
    <row r="100" spans="1:19">
      <c r="A100" s="3"/>
      <c r="B100" s="3"/>
      <c r="C100" s="2"/>
      <c r="D100" s="2"/>
      <c r="E100" s="2"/>
      <c r="F100" s="2"/>
      <c r="G100" s="2"/>
      <c r="H100" s="2"/>
      <c r="I100" s="15"/>
      <c r="J100" s="122"/>
      <c r="K100" s="123"/>
      <c r="L100" s="15"/>
      <c r="M100" s="124"/>
      <c r="N100" s="20"/>
      <c r="O100" s="20"/>
      <c r="P100" s="20"/>
      <c r="S100" s="19"/>
    </row>
    <row r="101" spans="1:19">
      <c r="A101" s="3"/>
      <c r="B101" s="2" t="s">
        <v>493</v>
      </c>
      <c r="C101" s="2"/>
      <c r="D101" s="2"/>
      <c r="E101" s="2"/>
      <c r="F101" s="2"/>
      <c r="G101" s="2"/>
      <c r="H101" s="2"/>
      <c r="I101" s="15"/>
      <c r="J101" s="122"/>
      <c r="K101" s="123"/>
      <c r="L101" s="15"/>
      <c r="M101" s="124"/>
      <c r="N101" s="20"/>
      <c r="O101" s="20"/>
      <c r="P101" s="20"/>
      <c r="S101" s="19"/>
    </row>
    <row r="102" spans="1:19">
      <c r="A102" s="3"/>
      <c r="C102" s="2"/>
      <c r="D102" s="2"/>
      <c r="E102" s="2"/>
      <c r="F102" s="2"/>
      <c r="G102" s="2"/>
      <c r="H102" s="2"/>
      <c r="I102" s="15"/>
      <c r="J102" s="122"/>
      <c r="K102" s="124"/>
      <c r="L102" s="15"/>
      <c r="M102" s="124"/>
      <c r="N102" s="469"/>
      <c r="O102" s="20"/>
      <c r="P102" s="20"/>
      <c r="S102" s="19"/>
    </row>
    <row r="103" spans="1:19">
      <c r="A103" s="3"/>
      <c r="B103" s="3"/>
      <c r="C103" s="3"/>
      <c r="D103" s="3"/>
      <c r="E103" s="3"/>
      <c r="F103" s="3"/>
      <c r="G103" s="3"/>
      <c r="H103" s="3"/>
      <c r="I103" s="15"/>
      <c r="J103" s="15"/>
      <c r="K103" s="15"/>
      <c r="L103" s="15"/>
      <c r="M103" s="15"/>
      <c r="N103" s="469"/>
      <c r="O103" s="20"/>
      <c r="P103" s="20"/>
    </row>
    <row r="104" spans="1:19" ht="18.75">
      <c r="A104" s="3"/>
      <c r="B104" s="108" t="s">
        <v>355</v>
      </c>
      <c r="C104" s="3"/>
      <c r="D104" s="3"/>
      <c r="E104" s="3"/>
      <c r="F104" s="3"/>
      <c r="G104" s="3"/>
      <c r="H104" s="3"/>
      <c r="I104" s="15"/>
      <c r="J104" s="15"/>
      <c r="K104" s="15"/>
      <c r="L104" s="15"/>
      <c r="M104" s="15"/>
      <c r="N104" s="469"/>
      <c r="O104" s="20"/>
      <c r="P104" s="20"/>
    </row>
    <row r="105" spans="1:19" ht="15.75"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254" t="s">
        <v>356</v>
      </c>
      <c r="C106" s="255" t="s">
        <v>357</v>
      </c>
      <c r="D106" s="257" t="s">
        <v>358</v>
      </c>
      <c r="E106" s="257" t="s">
        <v>359</v>
      </c>
      <c r="F106" s="256" t="s">
        <v>360</v>
      </c>
      <c r="G106" s="256" t="s">
        <v>361</v>
      </c>
      <c r="H106" s="257" t="s">
        <v>362</v>
      </c>
      <c r="I106" s="257" t="s">
        <v>384</v>
      </c>
      <c r="J106" s="257" t="s">
        <v>363</v>
      </c>
      <c r="K106" s="258" t="s">
        <v>364</v>
      </c>
      <c r="L106" s="2"/>
      <c r="M106" s="20"/>
      <c r="N106" s="20"/>
      <c r="O106" s="20"/>
      <c r="P106" s="19"/>
      <c r="R106" s="20"/>
    </row>
    <row r="107" spans="1:19">
      <c r="A107" s="3"/>
      <c r="B107" s="705" t="s">
        <v>270</v>
      </c>
      <c r="C107" s="316" t="s">
        <v>270</v>
      </c>
      <c r="D107" s="317"/>
      <c r="E107" s="318" t="str">
        <f>IF(ISBLANK(D107),"",D107*30)</f>
        <v/>
      </c>
      <c r="F107" s="288"/>
      <c r="G107" s="289" t="str">
        <f>IF(AND(E107&gt;0,F107&gt;0),(F107*E107),"")</f>
        <v/>
      </c>
      <c r="H107" s="288"/>
      <c r="I107" s="332" t="str">
        <f>IF(AND(G107&gt;0,H107&gt;0),H107/G107,"")</f>
        <v/>
      </c>
      <c r="J107" s="319"/>
      <c r="K107" s="353" t="str">
        <f>IF(AND(I107&gt;0,J107&gt;0),I107-J107,"")</f>
        <v/>
      </c>
      <c r="L107" s="2"/>
      <c r="M107" s="20"/>
      <c r="N107" s="20"/>
      <c r="O107" s="20"/>
      <c r="P107" s="19"/>
      <c r="R107" s="20"/>
    </row>
    <row r="108" spans="1:19">
      <c r="A108" s="3"/>
      <c r="B108" s="706"/>
      <c r="C108" s="316" t="s">
        <v>270</v>
      </c>
      <c r="D108" s="317"/>
      <c r="E108" s="318" t="str">
        <f>IF(ISBLANK(D108),"",D108*30)</f>
        <v/>
      </c>
      <c r="F108" s="288"/>
      <c r="G108" s="289" t="str">
        <f>IF(AND(E108&gt;0,F108&gt;0),(F108*E108),"")</f>
        <v/>
      </c>
      <c r="H108" s="288"/>
      <c r="I108" s="332" t="str">
        <f>IF(AND(G108&gt;0,H108&gt;0),H108/G108,"")</f>
        <v/>
      </c>
      <c r="J108" s="319"/>
      <c r="K108" s="353" t="str">
        <f>IF(AND(I108&gt;0,J108&gt;0),I108-J108,"")</f>
        <v/>
      </c>
      <c r="L108" s="2"/>
      <c r="M108" s="20"/>
      <c r="N108" s="20"/>
      <c r="O108" s="20"/>
      <c r="P108" s="19"/>
    </row>
    <row r="109" spans="1:19">
      <c r="A109" s="3"/>
      <c r="B109" s="706"/>
      <c r="C109" s="316" t="s">
        <v>270</v>
      </c>
      <c r="D109" s="317"/>
      <c r="E109" s="318" t="str">
        <f>IF(ISBLANK(D109),"",D109*30)</f>
        <v/>
      </c>
      <c r="F109" s="288"/>
      <c r="G109" s="289" t="str">
        <f>IF(AND(E109&gt;0,F109&gt;0),(F109*E109),"")</f>
        <v/>
      </c>
      <c r="H109" s="288"/>
      <c r="I109" s="332" t="str">
        <f>IF(AND(G109&gt;0,H109&gt;0),H109/G109,"")</f>
        <v/>
      </c>
      <c r="J109" s="319"/>
      <c r="K109" s="353" t="str">
        <f>IF(AND(I109&gt;0,J109&gt;0),I109-J109,"")</f>
        <v/>
      </c>
      <c r="L109" s="2"/>
      <c r="M109" s="20"/>
      <c r="N109" s="20"/>
      <c r="O109" s="20"/>
      <c r="P109" s="19"/>
      <c r="R109" s="20"/>
    </row>
    <row r="110" spans="1:19" ht="15.75" thickBot="1">
      <c r="A110" s="3"/>
      <c r="B110" s="707"/>
      <c r="C110" s="320" t="s">
        <v>270</v>
      </c>
      <c r="D110" s="321"/>
      <c r="E110" s="347" t="str">
        <f>IF(ISBLANK(D110),"",D110*30)</f>
        <v/>
      </c>
      <c r="F110" s="290"/>
      <c r="G110" s="348" t="str">
        <f>IF(AND(E110&gt;0,F110&gt;0),(F110*E110),"")</f>
        <v/>
      </c>
      <c r="H110" s="290"/>
      <c r="I110" s="349" t="str">
        <f>IF(AND(G110&gt;0,H110&gt;0),H110/G110,"")</f>
        <v/>
      </c>
      <c r="J110" s="322"/>
      <c r="K110" s="354" t="str">
        <f>IF(AND(I110&gt;0,J110&gt;0),I110-J110,"")</f>
        <v/>
      </c>
      <c r="L110" s="2"/>
      <c r="M110" s="20"/>
      <c r="N110" s="20"/>
      <c r="O110" s="20"/>
      <c r="P110" s="19"/>
      <c r="R110" s="20"/>
    </row>
    <row r="111" spans="1:19">
      <c r="A111" s="3"/>
      <c r="B111" s="3"/>
      <c r="C111" s="3"/>
      <c r="D111" s="3"/>
      <c r="E111" s="3"/>
      <c r="F111" s="3"/>
      <c r="G111" s="2"/>
      <c r="H111" s="2"/>
      <c r="I111" s="2"/>
      <c r="J111" s="3"/>
      <c r="K111" s="3"/>
      <c r="L111" s="2"/>
      <c r="M111" s="2"/>
      <c r="N111" s="20"/>
      <c r="O111" s="20"/>
      <c r="P111" s="20"/>
      <c r="Q111" s="19"/>
      <c r="S111" s="20"/>
    </row>
    <row r="112" spans="1:19" ht="15.75" thickBot="1">
      <c r="A112" s="3"/>
      <c r="B112" s="3"/>
      <c r="C112" s="3"/>
      <c r="D112" s="3"/>
      <c r="E112" s="3"/>
      <c r="F112" s="3"/>
      <c r="G112" s="3"/>
      <c r="H112" s="3"/>
      <c r="I112" s="2"/>
      <c r="J112" s="107"/>
      <c r="K112" s="107"/>
      <c r="L112" s="3"/>
      <c r="M112" s="3"/>
    </row>
    <row r="113" spans="1:20" ht="19.5" thickBot="1">
      <c r="A113" s="3"/>
      <c r="B113" s="202" t="s">
        <v>365</v>
      </c>
      <c r="C113" s="125"/>
      <c r="D113" s="125"/>
      <c r="E113" s="126"/>
      <c r="F113" s="126"/>
      <c r="G113" s="126"/>
      <c r="H113" s="209"/>
      <c r="I113" s="203"/>
      <c r="J113" s="272"/>
      <c r="K113" s="273" t="s">
        <v>425</v>
      </c>
      <c r="L113" s="126"/>
      <c r="M113" s="274"/>
      <c r="N113" s="275"/>
      <c r="O113" s="275"/>
      <c r="P113" s="324"/>
      <c r="Q113" s="35"/>
    </row>
    <row r="114" spans="1:20" ht="15.75" thickBot="1">
      <c r="A114" s="3"/>
      <c r="B114" s="3"/>
      <c r="C114" s="3"/>
      <c r="D114" s="3"/>
      <c r="E114" s="3"/>
      <c r="F114" s="3"/>
      <c r="G114" s="3"/>
      <c r="H114" s="3"/>
      <c r="I114" s="3"/>
      <c r="J114" s="3"/>
      <c r="K114" s="3"/>
      <c r="L114" s="3"/>
      <c r="M114" s="3"/>
      <c r="N114"/>
      <c r="O114"/>
      <c r="P114" s="35"/>
      <c r="Q114" s="35"/>
    </row>
    <row r="115" spans="1:20" ht="42.75" customHeight="1">
      <c r="A115" s="3"/>
      <c r="B115" s="702" t="s">
        <v>370</v>
      </c>
      <c r="C115" s="703"/>
      <c r="D115" s="704"/>
      <c r="E115" s="261" t="s">
        <v>371</v>
      </c>
      <c r="F115" s="369" t="s">
        <v>372</v>
      </c>
      <c r="G115" s="206"/>
      <c r="H115" s="306" t="s">
        <v>62</v>
      </c>
      <c r="I115" s="306" t="s">
        <v>63</v>
      </c>
      <c r="J115" s="306" t="s">
        <v>281</v>
      </c>
      <c r="K115" s="306" t="s">
        <v>65</v>
      </c>
      <c r="L115" s="306" t="s">
        <v>72</v>
      </c>
      <c r="M115" s="306" t="s">
        <v>73</v>
      </c>
      <c r="N115" s="306" t="s">
        <v>74</v>
      </c>
      <c r="O115" s="306" t="s">
        <v>75</v>
      </c>
      <c r="P115" s="306" t="s">
        <v>76</v>
      </c>
      <c r="Q115" s="306" t="s">
        <v>77</v>
      </c>
      <c r="R115" s="306" t="s">
        <v>78</v>
      </c>
      <c r="S115" s="307" t="s">
        <v>232</v>
      </c>
      <c r="T115" s="63"/>
    </row>
    <row r="116" spans="1:20" ht="21.75" customHeight="1">
      <c r="A116" s="679" t="s">
        <v>271</v>
      </c>
      <c r="B116" s="668" t="s">
        <v>489</v>
      </c>
      <c r="C116" s="669"/>
      <c r="D116" s="670"/>
      <c r="E116" s="713" t="s">
        <v>421</v>
      </c>
      <c r="F116" s="710" t="s">
        <v>369</v>
      </c>
      <c r="G116" s="363" t="s">
        <v>366</v>
      </c>
      <c r="H116" s="433">
        <v>10</v>
      </c>
      <c r="I116" s="492">
        <v>10</v>
      </c>
      <c r="J116" s="431"/>
      <c r="K116" s="529"/>
      <c r="L116" s="432"/>
      <c r="M116" s="433"/>
      <c r="N116" s="433"/>
      <c r="O116" s="433"/>
      <c r="P116" s="433"/>
      <c r="Q116" s="433"/>
      <c r="R116" s="433"/>
      <c r="S116" s="127"/>
      <c r="T116" s="63"/>
    </row>
    <row r="117" spans="1:20" ht="21" customHeight="1">
      <c r="A117" s="679"/>
      <c r="B117" s="671"/>
      <c r="C117" s="672"/>
      <c r="D117" s="673"/>
      <c r="E117" s="757"/>
      <c r="F117" s="711"/>
      <c r="G117" s="363" t="s">
        <v>367</v>
      </c>
      <c r="H117" s="544">
        <v>9.9600000000000009</v>
      </c>
      <c r="I117" s="433">
        <v>10.130000000000001</v>
      </c>
      <c r="J117" s="431"/>
      <c r="K117" s="431"/>
      <c r="L117" s="432"/>
      <c r="M117" s="433"/>
      <c r="N117" s="433"/>
      <c r="O117" s="433"/>
      <c r="P117" s="433"/>
      <c r="Q117" s="433"/>
      <c r="R117" s="433"/>
      <c r="S117" s="127"/>
      <c r="T117" s="63"/>
    </row>
    <row r="118" spans="1:20" ht="30" customHeight="1">
      <c r="A118" s="679"/>
      <c r="B118" s="712" t="s">
        <v>485</v>
      </c>
      <c r="C118" s="669"/>
      <c r="D118" s="670"/>
      <c r="E118" s="760" t="s">
        <v>439</v>
      </c>
      <c r="F118" s="758" t="s">
        <v>369</v>
      </c>
      <c r="G118" s="427" t="s">
        <v>366</v>
      </c>
      <c r="H118" s="437">
        <v>22</v>
      </c>
      <c r="I118" s="493">
        <v>22</v>
      </c>
      <c r="J118" s="435"/>
      <c r="K118" s="436"/>
      <c r="L118" s="436"/>
      <c r="M118" s="436"/>
      <c r="N118" s="436"/>
      <c r="O118" s="436"/>
      <c r="P118" s="436"/>
      <c r="Q118" s="437"/>
      <c r="R118" s="437"/>
      <c r="S118" s="259"/>
      <c r="T118" s="63"/>
    </row>
    <row r="119" spans="1:20" ht="31.5" customHeight="1">
      <c r="A119" s="679"/>
      <c r="B119" s="671"/>
      <c r="C119" s="672"/>
      <c r="D119" s="673"/>
      <c r="E119" s="761"/>
      <c r="F119" s="759"/>
      <c r="G119" s="427" t="s">
        <v>367</v>
      </c>
      <c r="H119" s="437">
        <v>27.2</v>
      </c>
      <c r="I119" s="436">
        <v>25.3</v>
      </c>
      <c r="J119" s="434"/>
      <c r="K119" s="436"/>
      <c r="L119" s="436"/>
      <c r="M119" s="436"/>
      <c r="N119" s="436"/>
      <c r="O119" s="436"/>
      <c r="P119" s="436"/>
      <c r="Q119" s="437"/>
      <c r="R119" s="437"/>
      <c r="S119" s="259"/>
      <c r="T119" s="63"/>
    </row>
    <row r="120" spans="1:20" ht="32.25" customHeight="1">
      <c r="A120" s="679"/>
      <c r="B120" s="668" t="s">
        <v>440</v>
      </c>
      <c r="C120" s="669"/>
      <c r="D120" s="670"/>
      <c r="E120" s="713" t="s">
        <v>441</v>
      </c>
      <c r="F120" s="710" t="s">
        <v>369</v>
      </c>
      <c r="G120" s="363" t="s">
        <v>366</v>
      </c>
      <c r="H120" s="438">
        <v>59</v>
      </c>
      <c r="I120" s="494">
        <v>59</v>
      </c>
      <c r="J120" s="439"/>
      <c r="K120" s="440"/>
      <c r="L120" s="440"/>
      <c r="M120" s="438"/>
      <c r="N120" s="438"/>
      <c r="O120" s="438"/>
      <c r="P120" s="438"/>
      <c r="Q120" s="438"/>
      <c r="R120" s="438"/>
      <c r="S120" s="127"/>
      <c r="T120" s="63"/>
    </row>
    <row r="121" spans="1:20" ht="30.75" customHeight="1">
      <c r="A121" s="679"/>
      <c r="B121" s="671"/>
      <c r="C121" s="672"/>
      <c r="D121" s="673"/>
      <c r="E121" s="714"/>
      <c r="F121" s="711"/>
      <c r="G121" s="363" t="s">
        <v>367</v>
      </c>
      <c r="H121" s="438">
        <v>65.3</v>
      </c>
      <c r="I121" s="438">
        <v>65.5</v>
      </c>
      <c r="J121" s="439"/>
      <c r="K121" s="441"/>
      <c r="L121" s="442"/>
      <c r="M121" s="439"/>
      <c r="N121" s="439"/>
      <c r="O121" s="439"/>
      <c r="P121" s="438"/>
      <c r="Q121" s="438"/>
      <c r="R121" s="438"/>
      <c r="S121" s="127"/>
      <c r="T121" s="63"/>
    </row>
    <row r="122" spans="1:20" ht="30.75" customHeight="1">
      <c r="A122" s="3"/>
      <c r="B122" s="712" t="s">
        <v>486</v>
      </c>
      <c r="C122" s="669"/>
      <c r="D122" s="670"/>
      <c r="E122" s="677" t="s">
        <v>429</v>
      </c>
      <c r="F122" s="708" t="s">
        <v>369</v>
      </c>
      <c r="G122" s="364" t="s">
        <v>366</v>
      </c>
      <c r="H122" s="453">
        <v>55</v>
      </c>
      <c r="I122" s="495">
        <v>55</v>
      </c>
      <c r="J122" s="444"/>
      <c r="K122" s="452"/>
      <c r="L122" s="452"/>
      <c r="M122" s="453"/>
      <c r="N122" s="453"/>
      <c r="O122" s="453"/>
      <c r="P122" s="453"/>
      <c r="Q122" s="453"/>
      <c r="R122" s="453"/>
      <c r="S122" s="259"/>
      <c r="T122" s="63"/>
    </row>
    <row r="123" spans="1:20" ht="30.75" customHeight="1">
      <c r="A123" s="3"/>
      <c r="B123" s="671"/>
      <c r="C123" s="672"/>
      <c r="D123" s="673"/>
      <c r="E123" s="678"/>
      <c r="F123" s="709"/>
      <c r="G123" s="364" t="s">
        <v>367</v>
      </c>
      <c r="H123" s="453">
        <v>59</v>
      </c>
      <c r="I123" s="448">
        <v>59</v>
      </c>
      <c r="J123" s="444"/>
      <c r="K123" s="452"/>
      <c r="L123" s="452"/>
      <c r="M123" s="453"/>
      <c r="N123" s="453"/>
      <c r="O123" s="453"/>
      <c r="P123" s="453"/>
      <c r="Q123" s="453"/>
      <c r="R123" s="453"/>
      <c r="S123" s="259"/>
      <c r="T123" s="63"/>
    </row>
    <row r="124" spans="1:20" ht="24" customHeight="1">
      <c r="A124" s="3"/>
      <c r="B124" s="668" t="s">
        <v>490</v>
      </c>
      <c r="C124" s="669"/>
      <c r="D124" s="670"/>
      <c r="E124" s="750" t="s">
        <v>428</v>
      </c>
      <c r="F124" s="664" t="s">
        <v>369</v>
      </c>
      <c r="G124" s="454" t="s">
        <v>366</v>
      </c>
      <c r="H124" s="542">
        <v>107.2</v>
      </c>
      <c r="I124" s="554">
        <v>107.2</v>
      </c>
      <c r="J124" s="459"/>
      <c r="K124" s="460"/>
      <c r="L124" s="534"/>
      <c r="M124" s="460"/>
      <c r="N124" s="460"/>
      <c r="O124" s="460"/>
      <c r="P124" s="460"/>
      <c r="Q124" s="421"/>
      <c r="R124" s="421"/>
      <c r="S124" s="455"/>
      <c r="T124" s="63"/>
    </row>
    <row r="125" spans="1:20" ht="24.75" customHeight="1">
      <c r="A125" s="3"/>
      <c r="B125" s="671"/>
      <c r="C125" s="672"/>
      <c r="D125" s="673"/>
      <c r="E125" s="751"/>
      <c r="F125" s="664"/>
      <c r="G125" s="454" t="s">
        <v>367</v>
      </c>
      <c r="H125" s="542">
        <v>103.2</v>
      </c>
      <c r="I125" s="446">
        <v>89.5</v>
      </c>
      <c r="J125" s="459"/>
      <c r="K125" s="460"/>
      <c r="L125" s="460"/>
      <c r="M125" s="460"/>
      <c r="N125" s="460"/>
      <c r="O125" s="460"/>
      <c r="P125" s="460"/>
      <c r="Q125" s="421"/>
      <c r="R125" s="421"/>
      <c r="S125" s="455"/>
      <c r="T125" s="63"/>
    </row>
    <row r="126" spans="1:20" ht="24" customHeight="1">
      <c r="A126" s="3"/>
      <c r="B126" s="712" t="s">
        <v>491</v>
      </c>
      <c r="C126" s="669"/>
      <c r="D126" s="670"/>
      <c r="E126" s="677" t="s">
        <v>430</v>
      </c>
      <c r="F126" s="708" t="s">
        <v>369</v>
      </c>
      <c r="G126" s="364" t="s">
        <v>366</v>
      </c>
      <c r="H126" s="453">
        <v>55.8</v>
      </c>
      <c r="I126" s="495">
        <v>55.8</v>
      </c>
      <c r="J126" s="444"/>
      <c r="K126" s="452"/>
      <c r="L126" s="452"/>
      <c r="M126" s="453"/>
      <c r="N126" s="453"/>
      <c r="O126" s="453"/>
      <c r="P126" s="453"/>
      <c r="Q126" s="453"/>
      <c r="R126" s="453"/>
      <c r="S126" s="259"/>
      <c r="T126" s="63"/>
    </row>
    <row r="127" spans="1:20" ht="24.75" customHeight="1">
      <c r="A127" s="3"/>
      <c r="B127" s="671"/>
      <c r="C127" s="672"/>
      <c r="D127" s="673"/>
      <c r="E127" s="678"/>
      <c r="F127" s="709"/>
      <c r="G127" s="364" t="s">
        <v>367</v>
      </c>
      <c r="H127" s="453">
        <v>51.88</v>
      </c>
      <c r="I127" s="496">
        <v>53.5</v>
      </c>
      <c r="J127" s="444"/>
      <c r="K127" s="452"/>
      <c r="L127" s="452"/>
      <c r="M127" s="453"/>
      <c r="N127" s="453"/>
      <c r="O127" s="453"/>
      <c r="P127" s="453"/>
      <c r="Q127" s="453"/>
      <c r="R127" s="453"/>
      <c r="S127" s="259"/>
      <c r="T127" s="63"/>
    </row>
    <row r="128" spans="1:20" ht="24.75" customHeight="1">
      <c r="A128" s="3"/>
      <c r="B128" s="668" t="s">
        <v>442</v>
      </c>
      <c r="C128" s="669"/>
      <c r="D128" s="670"/>
      <c r="E128" s="680" t="s">
        <v>368</v>
      </c>
      <c r="F128" s="666" t="s">
        <v>369</v>
      </c>
      <c r="G128" s="430" t="s">
        <v>366</v>
      </c>
      <c r="H128" s="446">
        <v>77</v>
      </c>
      <c r="I128" s="497">
        <v>77</v>
      </c>
      <c r="J128" s="447"/>
      <c r="K128" s="445"/>
      <c r="L128" s="445"/>
      <c r="M128" s="446"/>
      <c r="N128" s="446"/>
      <c r="O128" s="446"/>
      <c r="P128" s="446"/>
      <c r="Q128" s="446"/>
      <c r="R128" s="446"/>
      <c r="S128" s="344"/>
      <c r="T128" s="63"/>
    </row>
    <row r="129" spans="1:21" ht="24" customHeight="1">
      <c r="A129" s="3"/>
      <c r="B129" s="671"/>
      <c r="C129" s="672"/>
      <c r="D129" s="673"/>
      <c r="E129" s="681"/>
      <c r="F129" s="667"/>
      <c r="G129" s="430" t="s">
        <v>367</v>
      </c>
      <c r="H129" s="446">
        <v>72</v>
      </c>
      <c r="I129" s="498">
        <v>79.900000000000006</v>
      </c>
      <c r="J129" s="447"/>
      <c r="K129" s="445"/>
      <c r="L129" s="445"/>
      <c r="M129" s="446"/>
      <c r="N129" s="446"/>
      <c r="O129" s="446"/>
      <c r="P129" s="446"/>
      <c r="Q129" s="446"/>
      <c r="R129" s="446"/>
      <c r="S129" s="344"/>
      <c r="T129" s="63"/>
    </row>
    <row r="130" spans="1:21" ht="39" customHeight="1">
      <c r="A130" s="3"/>
      <c r="B130" s="712" t="s">
        <v>443</v>
      </c>
      <c r="C130" s="669"/>
      <c r="D130" s="670"/>
      <c r="E130" s="677" t="s">
        <v>444</v>
      </c>
      <c r="F130" s="665" t="s">
        <v>369</v>
      </c>
      <c r="G130" s="364" t="s">
        <v>366</v>
      </c>
      <c r="H130" s="448">
        <v>95</v>
      </c>
      <c r="I130" s="495">
        <v>95</v>
      </c>
      <c r="J130" s="443"/>
      <c r="K130" s="448"/>
      <c r="L130" s="448"/>
      <c r="M130" s="448"/>
      <c r="N130" s="448"/>
      <c r="O130" s="448"/>
      <c r="P130" s="448"/>
      <c r="Q130" s="448"/>
      <c r="R130" s="448"/>
      <c r="S130" s="345"/>
      <c r="T130" s="63"/>
    </row>
    <row r="131" spans="1:21" ht="33.75" customHeight="1">
      <c r="A131" s="3"/>
      <c r="B131" s="671"/>
      <c r="C131" s="672"/>
      <c r="D131" s="673"/>
      <c r="E131" s="678"/>
      <c r="F131" s="665"/>
      <c r="G131" s="364" t="s">
        <v>367</v>
      </c>
      <c r="H131" s="448">
        <v>71.3</v>
      </c>
      <c r="I131" s="448">
        <v>74.2</v>
      </c>
      <c r="J131" s="443"/>
      <c r="K131" s="448"/>
      <c r="L131" s="448"/>
      <c r="M131" s="448"/>
      <c r="N131" s="448"/>
      <c r="O131" s="448"/>
      <c r="P131" s="448"/>
      <c r="Q131" s="448"/>
      <c r="R131" s="448"/>
      <c r="S131" s="345"/>
      <c r="T131" s="63"/>
    </row>
    <row r="132" spans="1:21" ht="24.75" customHeight="1">
      <c r="A132" s="3"/>
      <c r="B132" s="668" t="s">
        <v>445</v>
      </c>
      <c r="C132" s="669"/>
      <c r="D132" s="670"/>
      <c r="E132" s="674" t="s">
        <v>446</v>
      </c>
      <c r="F132" s="664" t="s">
        <v>369</v>
      </c>
      <c r="G132" s="342" t="s">
        <v>52</v>
      </c>
      <c r="H132" s="343">
        <v>456</v>
      </c>
      <c r="I132" s="343">
        <v>456</v>
      </c>
      <c r="J132" s="360"/>
      <c r="K132" s="343"/>
      <c r="L132" s="343"/>
      <c r="M132" s="343"/>
      <c r="N132" s="343"/>
      <c r="O132" s="343"/>
      <c r="P132" s="343"/>
      <c r="Q132" s="343"/>
      <c r="R132" s="343"/>
      <c r="S132" s="344"/>
      <c r="T132" s="63"/>
    </row>
    <row r="133" spans="1:21" ht="24" customHeight="1">
      <c r="A133" s="3"/>
      <c r="B133" s="671"/>
      <c r="C133" s="672"/>
      <c r="D133" s="673"/>
      <c r="E133" s="674"/>
      <c r="F133" s="664"/>
      <c r="G133" s="342" t="s">
        <v>53</v>
      </c>
      <c r="H133" s="343">
        <v>429</v>
      </c>
      <c r="I133" s="343">
        <v>320</v>
      </c>
      <c r="J133" s="360"/>
      <c r="K133" s="343"/>
      <c r="L133" s="343"/>
      <c r="M133" s="343"/>
      <c r="N133" s="343"/>
      <c r="O133" s="343"/>
      <c r="P133" s="343"/>
      <c r="Q133" s="343"/>
      <c r="R133" s="343"/>
      <c r="S133" s="344"/>
      <c r="T133" s="63"/>
    </row>
    <row r="134" spans="1:21" ht="21" customHeight="1">
      <c r="A134" s="3"/>
      <c r="B134" s="712" t="s">
        <v>447</v>
      </c>
      <c r="C134" s="669"/>
      <c r="D134" s="670"/>
      <c r="E134" s="752" t="s">
        <v>448</v>
      </c>
      <c r="F134" s="675" t="s">
        <v>369</v>
      </c>
      <c r="G134" s="341" t="s">
        <v>52</v>
      </c>
      <c r="H134" s="260">
        <v>410</v>
      </c>
      <c r="I134" s="260">
        <v>390</v>
      </c>
      <c r="J134" s="358"/>
      <c r="K134" s="260"/>
      <c r="L134" s="260"/>
      <c r="M134" s="260"/>
      <c r="N134" s="260"/>
      <c r="O134" s="260"/>
      <c r="P134" s="260"/>
      <c r="Q134" s="260"/>
      <c r="R134" s="260"/>
      <c r="S134" s="345"/>
      <c r="T134" s="63"/>
    </row>
    <row r="135" spans="1:21" ht="21.75" customHeight="1">
      <c r="A135" s="3"/>
      <c r="B135" s="671"/>
      <c r="C135" s="672"/>
      <c r="D135" s="673"/>
      <c r="E135" s="753"/>
      <c r="F135" s="676"/>
      <c r="G135" s="341" t="s">
        <v>53</v>
      </c>
      <c r="H135" s="260">
        <v>481</v>
      </c>
      <c r="I135" s="260">
        <v>528</v>
      </c>
      <c r="J135" s="359"/>
      <c r="K135" s="260"/>
      <c r="L135" s="260"/>
      <c r="M135" s="260"/>
      <c r="N135" s="260"/>
      <c r="O135" s="260"/>
      <c r="P135" s="260"/>
      <c r="Q135" s="260"/>
      <c r="R135" s="260"/>
      <c r="S135" s="345"/>
      <c r="T135" s="63"/>
    </row>
    <row r="136" spans="1:21" ht="26.25" customHeight="1">
      <c r="A136" s="3"/>
      <c r="B136" s="668" t="s">
        <v>450</v>
      </c>
      <c r="C136" s="669"/>
      <c r="D136" s="670"/>
      <c r="E136" s="674" t="s">
        <v>449</v>
      </c>
      <c r="F136" s="664" t="s">
        <v>369</v>
      </c>
      <c r="G136" s="342" t="s">
        <v>52</v>
      </c>
      <c r="H136" s="538">
        <v>6.6</v>
      </c>
      <c r="I136" s="538">
        <v>6.3</v>
      </c>
      <c r="J136" s="360"/>
      <c r="K136" s="343"/>
      <c r="L136" s="343"/>
      <c r="M136" s="343"/>
      <c r="N136" s="343"/>
      <c r="O136" s="343"/>
      <c r="P136" s="343"/>
      <c r="Q136" s="343"/>
      <c r="R136" s="343"/>
      <c r="S136" s="344"/>
      <c r="T136" s="63"/>
    </row>
    <row r="137" spans="1:21" ht="24" customHeight="1">
      <c r="A137" s="3"/>
      <c r="B137" s="671"/>
      <c r="C137" s="672"/>
      <c r="D137" s="673"/>
      <c r="E137" s="674"/>
      <c r="F137" s="664"/>
      <c r="G137" s="342" t="s">
        <v>53</v>
      </c>
      <c r="H137" s="538">
        <v>8.6999999999999993</v>
      </c>
      <c r="I137" s="538">
        <v>11.4</v>
      </c>
      <c r="J137" s="360"/>
      <c r="K137" s="343"/>
      <c r="L137" s="343"/>
      <c r="M137" s="343"/>
      <c r="N137" s="343"/>
      <c r="O137" s="343"/>
      <c r="P137" s="343"/>
      <c r="Q137" s="343"/>
      <c r="R137" s="343"/>
      <c r="S137" s="344"/>
      <c r="T137" s="63"/>
    </row>
    <row r="138" spans="1:21">
      <c r="A138" s="3"/>
      <c r="B138" s="3"/>
      <c r="C138" s="3"/>
      <c r="D138" s="3"/>
      <c r="E138" s="3"/>
      <c r="F138" s="3"/>
      <c r="G138" s="2"/>
      <c r="H138" s="3"/>
      <c r="I138" s="3"/>
      <c r="J138" s="3"/>
      <c r="K138" s="3"/>
      <c r="L138" s="3"/>
      <c r="M138" s="3"/>
      <c r="N138" s="3"/>
      <c r="O138" s="3"/>
      <c r="R138" s="35"/>
      <c r="S138" s="35"/>
    </row>
    <row r="139" spans="1:21" ht="16.5" thickBot="1">
      <c r="A139" s="3"/>
      <c r="B139" s="262"/>
      <c r="C139" s="3"/>
      <c r="D139" s="3"/>
      <c r="E139" s="3"/>
      <c r="F139" s="3"/>
      <c r="G139" s="2"/>
      <c r="H139" s="3"/>
      <c r="I139" s="3"/>
      <c r="J139" s="3"/>
      <c r="K139" s="3"/>
      <c r="L139" s="3"/>
      <c r="M139" s="3"/>
      <c r="N139" s="3"/>
      <c r="O139" s="3"/>
      <c r="R139" s="35"/>
      <c r="S139" s="35"/>
    </row>
    <row r="140" spans="1:21" ht="41.25" customHeight="1">
      <c r="A140" s="3"/>
      <c r="B140" s="3" t="s">
        <v>420</v>
      </c>
      <c r="C140" s="3"/>
      <c r="D140" s="3"/>
      <c r="E140" s="261" t="s">
        <v>371</v>
      </c>
      <c r="F140" s="369" t="s">
        <v>372</v>
      </c>
      <c r="G140" s="206"/>
      <c r="H140" s="306" t="str">
        <f t="shared" ref="H140:S140" si="5">C30</f>
        <v>P1</v>
      </c>
      <c r="I140" s="306" t="str">
        <f t="shared" si="5"/>
        <v>P2</v>
      </c>
      <c r="J140" s="306" t="str">
        <f t="shared" si="5"/>
        <v>P3</v>
      </c>
      <c r="K140" s="306" t="str">
        <f t="shared" si="5"/>
        <v>P4</v>
      </c>
      <c r="L140" s="306" t="str">
        <f t="shared" si="5"/>
        <v>P5</v>
      </c>
      <c r="M140" s="306" t="str">
        <f t="shared" si="5"/>
        <v>P6</v>
      </c>
      <c r="N140" s="306" t="str">
        <f t="shared" si="5"/>
        <v>P7</v>
      </c>
      <c r="O140" s="306" t="str">
        <f t="shared" si="5"/>
        <v>P8</v>
      </c>
      <c r="P140" s="306" t="str">
        <f t="shared" si="5"/>
        <v>P9</v>
      </c>
      <c r="Q140" s="306" t="str">
        <f t="shared" si="5"/>
        <v>P10</v>
      </c>
      <c r="R140" s="306" t="str">
        <f t="shared" si="5"/>
        <v>P11</v>
      </c>
      <c r="S140" s="307" t="str">
        <f t="shared" si="5"/>
        <v>P12</v>
      </c>
      <c r="T140" s="35"/>
      <c r="U140" s="35"/>
    </row>
    <row r="141" spans="1:21" ht="25.5" customHeight="1">
      <c r="A141" s="3"/>
      <c r="B141" s="737" t="str">
        <f>IF(ISBLANK(B116),"",(B116))</f>
        <v>Rata mortalităţii  - Numărul de decese cauzate de TB (toate formele) pe an, la 100 000 persoane</v>
      </c>
      <c r="C141" s="738"/>
      <c r="D141" s="739"/>
      <c r="E141" s="732" t="str">
        <f>IF(ISBLANK(E116),"",(E116))</f>
        <v>Impact 1</v>
      </c>
      <c r="F141" s="736" t="str">
        <f>IF(ISBLANK(F116),"",(F116))</f>
        <v>Nu</v>
      </c>
      <c r="G141" s="363" t="s">
        <v>366</v>
      </c>
      <c r="H141" s="449">
        <f>H116</f>
        <v>10</v>
      </c>
      <c r="I141" s="555">
        <v>10</v>
      </c>
      <c r="J141" s="449"/>
      <c r="K141" s="449"/>
      <c r="L141" s="449"/>
      <c r="M141" s="449">
        <f t="shared" ref="M141:S141" si="6">M116</f>
        <v>0</v>
      </c>
      <c r="N141" s="449">
        <f t="shared" si="6"/>
        <v>0</v>
      </c>
      <c r="O141" s="449">
        <f t="shared" si="6"/>
        <v>0</v>
      </c>
      <c r="P141" s="449">
        <f t="shared" si="6"/>
        <v>0</v>
      </c>
      <c r="Q141" s="449">
        <f t="shared" si="6"/>
        <v>0</v>
      </c>
      <c r="R141" s="449">
        <f t="shared" si="6"/>
        <v>0</v>
      </c>
      <c r="S141" s="355">
        <f t="shared" si="6"/>
        <v>0</v>
      </c>
      <c r="T141" s="35"/>
      <c r="U141" s="35"/>
    </row>
    <row r="142" spans="1:21" ht="25.5" customHeight="1">
      <c r="A142" s="3"/>
      <c r="B142" s="740"/>
      <c r="C142" s="741"/>
      <c r="D142" s="742"/>
      <c r="E142" s="732"/>
      <c r="F142" s="736"/>
      <c r="G142" s="363" t="s">
        <v>367</v>
      </c>
      <c r="H142" s="545">
        <f>H117</f>
        <v>9.9600000000000009</v>
      </c>
      <c r="I142" s="556">
        <v>10.130000000000001</v>
      </c>
      <c r="J142" s="449"/>
      <c r="K142" s="449"/>
      <c r="L142" s="449"/>
      <c r="M142" s="449">
        <f t="shared" ref="M142:S142" si="7">M117</f>
        <v>0</v>
      </c>
      <c r="N142" s="449">
        <f t="shared" si="7"/>
        <v>0</v>
      </c>
      <c r="O142" s="449">
        <f t="shared" si="7"/>
        <v>0</v>
      </c>
      <c r="P142" s="449">
        <f t="shared" si="7"/>
        <v>0</v>
      </c>
      <c r="Q142" s="449">
        <f t="shared" si="7"/>
        <v>0</v>
      </c>
      <c r="R142" s="449">
        <f t="shared" si="7"/>
        <v>0</v>
      </c>
      <c r="S142" s="355">
        <f t="shared" si="7"/>
        <v>0</v>
      </c>
      <c r="T142" s="35"/>
      <c r="U142" s="35"/>
    </row>
    <row r="143" spans="1:21" ht="26.25" customHeight="1">
      <c r="A143" s="3"/>
      <c r="B143" s="744" t="str">
        <f>IF(ISBLANK(B118),"",(B118))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143" s="745"/>
      <c r="D143" s="746"/>
      <c r="E143" s="743" t="str">
        <f>IF(ISBLANK(E118),"",(E118))</f>
        <v>Impact 2</v>
      </c>
      <c r="F143" s="731" t="str">
        <f>IF(ISBLANK(F118),"",(F118))</f>
        <v>Nu</v>
      </c>
      <c r="G143" s="364" t="s">
        <v>366</v>
      </c>
      <c r="H143" s="450">
        <f>H118</f>
        <v>22</v>
      </c>
      <c r="I143" s="450">
        <v>22</v>
      </c>
      <c r="J143" s="450"/>
      <c r="K143" s="450"/>
      <c r="L143" s="450"/>
      <c r="M143" s="450">
        <f t="shared" ref="M143:P143" si="8">M118</f>
        <v>0</v>
      </c>
      <c r="N143" s="450">
        <f t="shared" si="8"/>
        <v>0</v>
      </c>
      <c r="O143" s="450">
        <f t="shared" si="8"/>
        <v>0</v>
      </c>
      <c r="P143" s="450">
        <f t="shared" si="8"/>
        <v>0</v>
      </c>
      <c r="Q143" s="450">
        <f t="shared" ref="Q143:S144" si="9">Q118</f>
        <v>0</v>
      </c>
      <c r="R143" s="450">
        <f t="shared" si="9"/>
        <v>0</v>
      </c>
      <c r="S143" s="356">
        <f t="shared" si="9"/>
        <v>0</v>
      </c>
      <c r="T143" s="35"/>
      <c r="U143" s="35"/>
    </row>
    <row r="144" spans="1:21" ht="28.5" customHeight="1">
      <c r="A144" s="3"/>
      <c r="B144" s="747"/>
      <c r="C144" s="748"/>
      <c r="D144" s="749"/>
      <c r="E144" s="743"/>
      <c r="F144" s="731"/>
      <c r="G144" s="364" t="s">
        <v>367</v>
      </c>
      <c r="H144" s="450">
        <f>H119</f>
        <v>27.2</v>
      </c>
      <c r="I144" s="450">
        <v>25.3</v>
      </c>
      <c r="J144" s="450"/>
      <c r="K144" s="450"/>
      <c r="L144" s="450"/>
      <c r="M144" s="450">
        <f t="shared" ref="M144:P144" si="10">M119</f>
        <v>0</v>
      </c>
      <c r="N144" s="450">
        <f t="shared" si="10"/>
        <v>0</v>
      </c>
      <c r="O144" s="450">
        <f t="shared" si="10"/>
        <v>0</v>
      </c>
      <c r="P144" s="450">
        <f t="shared" si="10"/>
        <v>0</v>
      </c>
      <c r="Q144" s="450">
        <f t="shared" si="9"/>
        <v>0</v>
      </c>
      <c r="R144" s="450">
        <f t="shared" si="9"/>
        <v>0</v>
      </c>
      <c r="S144" s="356">
        <f t="shared" si="9"/>
        <v>0</v>
      </c>
      <c r="T144" s="35"/>
      <c r="U144" s="35"/>
    </row>
    <row r="145" spans="1:21" ht="31.5" customHeight="1">
      <c r="A145" s="3"/>
      <c r="B145" s="737" t="str">
        <f>IF(ISBLANK(B120),"",(B120))</f>
        <v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v>
      </c>
      <c r="C145" s="738"/>
      <c r="D145" s="739"/>
      <c r="E145" s="732" t="str">
        <f>IF(ISBLANK(E120),"",(E120))</f>
        <v>Impact 3</v>
      </c>
      <c r="F145" s="734" t="str">
        <f>IF(ISBLANK(F120),"",(F120))</f>
        <v>Nu</v>
      </c>
      <c r="G145" s="363" t="s">
        <v>366</v>
      </c>
      <c r="H145" s="449">
        <f t="shared" ref="H145:H146" si="11">H120</f>
        <v>59</v>
      </c>
      <c r="I145" s="555">
        <v>59</v>
      </c>
      <c r="J145" s="449"/>
      <c r="K145" s="449"/>
      <c r="L145" s="449"/>
      <c r="M145" s="449">
        <f t="shared" ref="M145:S145" si="12">M120</f>
        <v>0</v>
      </c>
      <c r="N145" s="449">
        <f t="shared" si="12"/>
        <v>0</v>
      </c>
      <c r="O145" s="449">
        <f t="shared" si="12"/>
        <v>0</v>
      </c>
      <c r="P145" s="449">
        <f t="shared" si="12"/>
        <v>0</v>
      </c>
      <c r="Q145" s="449">
        <f t="shared" si="12"/>
        <v>0</v>
      </c>
      <c r="R145" s="449">
        <f t="shared" si="12"/>
        <v>0</v>
      </c>
      <c r="S145" s="355">
        <f t="shared" si="12"/>
        <v>0</v>
      </c>
      <c r="T145" s="35"/>
      <c r="U145" s="35"/>
    </row>
    <row r="146" spans="1:21" ht="30.75" customHeight="1" thickBot="1">
      <c r="A146" s="3"/>
      <c r="B146" s="740"/>
      <c r="C146" s="741"/>
      <c r="D146" s="742"/>
      <c r="E146" s="733"/>
      <c r="F146" s="735"/>
      <c r="G146" s="370" t="s">
        <v>367</v>
      </c>
      <c r="H146" s="451">
        <f t="shared" si="11"/>
        <v>65.3</v>
      </c>
      <c r="I146" s="557">
        <v>65.5</v>
      </c>
      <c r="J146" s="451"/>
      <c r="K146" s="451"/>
      <c r="L146" s="451"/>
      <c r="M146" s="451">
        <f t="shared" ref="M146:S146" si="13">M121</f>
        <v>0</v>
      </c>
      <c r="N146" s="451">
        <f t="shared" si="13"/>
        <v>0</v>
      </c>
      <c r="O146" s="451">
        <f t="shared" si="13"/>
        <v>0</v>
      </c>
      <c r="P146" s="451">
        <f t="shared" si="13"/>
        <v>0</v>
      </c>
      <c r="Q146" s="451">
        <f t="shared" si="13"/>
        <v>0</v>
      </c>
      <c r="R146" s="451">
        <f t="shared" si="13"/>
        <v>0</v>
      </c>
      <c r="S146" s="357">
        <f t="shared" si="13"/>
        <v>0</v>
      </c>
      <c r="T146" s="35"/>
      <c r="U146" s="35"/>
    </row>
    <row r="147" spans="1:21">
      <c r="A147" s="3"/>
      <c r="B147" s="3"/>
      <c r="C147" s="3"/>
      <c r="D147" s="3"/>
      <c r="E147" s="3"/>
      <c r="F147" s="3"/>
      <c r="G147" s="3"/>
      <c r="H147" s="3"/>
      <c r="I147" s="3"/>
      <c r="J147" s="3"/>
      <c r="K147" s="3"/>
      <c r="L147" s="3"/>
      <c r="M147" s="3"/>
      <c r="N147"/>
      <c r="O147"/>
      <c r="P147" s="35"/>
      <c r="Q147" s="35"/>
      <c r="S147" s="346"/>
    </row>
    <row r="148" spans="1:21">
      <c r="N148"/>
      <c r="O148"/>
      <c r="P148" s="35"/>
      <c r="Q148" s="35"/>
    </row>
    <row r="149" spans="1:21">
      <c r="N149"/>
      <c r="O149"/>
      <c r="P149" s="35"/>
      <c r="Q149" s="35"/>
    </row>
    <row r="150" spans="1:21">
      <c r="N150"/>
      <c r="O150"/>
      <c r="P150" s="35"/>
      <c r="Q150" s="35"/>
    </row>
  </sheetData>
  <dataConsolidate/>
  <mergeCells count="76">
    <mergeCell ref="O31:O34"/>
    <mergeCell ref="E116:E117"/>
    <mergeCell ref="F116:F117"/>
    <mergeCell ref="F118:F119"/>
    <mergeCell ref="E118:E119"/>
    <mergeCell ref="F46:I46"/>
    <mergeCell ref="B145:D146"/>
    <mergeCell ref="E143:E144"/>
    <mergeCell ref="B143:D144"/>
    <mergeCell ref="B124:D125"/>
    <mergeCell ref="B126:D127"/>
    <mergeCell ref="B130:D131"/>
    <mergeCell ref="E124:E125"/>
    <mergeCell ref="E126:E127"/>
    <mergeCell ref="B132:D133"/>
    <mergeCell ref="B141:D142"/>
    <mergeCell ref="E132:E133"/>
    <mergeCell ref="B134:D135"/>
    <mergeCell ref="E134:E135"/>
    <mergeCell ref="F143:F144"/>
    <mergeCell ref="E145:E146"/>
    <mergeCell ref="F145:F146"/>
    <mergeCell ref="E141:E142"/>
    <mergeCell ref="F141:F142"/>
    <mergeCell ref="B72:C72"/>
    <mergeCell ref="C6:D6"/>
    <mergeCell ref="E6:F6"/>
    <mergeCell ref="B70:C70"/>
    <mergeCell ref="B26:C26"/>
    <mergeCell ref="D24:E24"/>
    <mergeCell ref="B29:N29"/>
    <mergeCell ref="B59:D59"/>
    <mergeCell ref="G24:H24"/>
    <mergeCell ref="I24:J24"/>
    <mergeCell ref="C8:D8"/>
    <mergeCell ref="B14:J14"/>
    <mergeCell ref="C12:D12"/>
    <mergeCell ref="D18:F18"/>
    <mergeCell ref="B21:J21"/>
    <mergeCell ref="E10:F10"/>
    <mergeCell ref="B115:D115"/>
    <mergeCell ref="B107:B110"/>
    <mergeCell ref="F126:F127"/>
    <mergeCell ref="B116:D117"/>
    <mergeCell ref="F120:F121"/>
    <mergeCell ref="B118:D119"/>
    <mergeCell ref="E122:E123"/>
    <mergeCell ref="F122:F123"/>
    <mergeCell ref="F124:F125"/>
    <mergeCell ref="E120:E121"/>
    <mergeCell ref="B120:D121"/>
    <mergeCell ref="B122:D123"/>
    <mergeCell ref="A116:A121"/>
    <mergeCell ref="B128:D129"/>
    <mergeCell ref="E128:E129"/>
    <mergeCell ref="B2:J2"/>
    <mergeCell ref="C4:D4"/>
    <mergeCell ref="E4:F4"/>
    <mergeCell ref="G4:J4"/>
    <mergeCell ref="H16:I16"/>
    <mergeCell ref="C10:D10"/>
    <mergeCell ref="E12:F12"/>
    <mergeCell ref="I8:J8"/>
    <mergeCell ref="I6:J6"/>
    <mergeCell ref="G12:J12"/>
    <mergeCell ref="G10:J10"/>
    <mergeCell ref="B18:C18"/>
    <mergeCell ref="B71:C71"/>
    <mergeCell ref="F132:F133"/>
    <mergeCell ref="F130:F131"/>
    <mergeCell ref="F128:F129"/>
    <mergeCell ref="B136:D137"/>
    <mergeCell ref="E136:E137"/>
    <mergeCell ref="F136:F137"/>
    <mergeCell ref="F134:F135"/>
    <mergeCell ref="E130:E131"/>
  </mergeCells>
  <phoneticPr fontId="23" type="noConversion"/>
  <conditionalFormatting sqref="B34 B32 E33:N33 E32:H32">
    <cfRule type="expression" dxfId="44" priority="5" stopIfTrue="1">
      <formula>+AND(B31&gt;=#REF!,B31&lt;=#REF!)</formula>
    </cfRule>
  </conditionalFormatting>
  <conditionalFormatting sqref="E34:N34">
    <cfRule type="expression" dxfId="43" priority="6" stopIfTrue="1">
      <formula>+AND(E32&gt;=#REF!,E32&lt;=#REF!)</formula>
    </cfRule>
  </conditionalFormatting>
  <conditionalFormatting sqref="C30:N30 C93:N93">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40:S140 H115:S115">
    <cfRule type="cellIs" dxfId="38" priority="20" stopIfTrue="1" operator="equal">
      <formula>$C$16</formula>
    </cfRule>
  </conditionalFormatting>
  <conditionalFormatting sqref="F46:I46">
    <cfRule type="expression" dxfId="37" priority="21" stopIfTrue="1">
      <formula>LEFT($F$46,2)="OK"</formula>
    </cfRule>
  </conditionalFormatting>
  <conditionalFormatting sqref="C33">
    <cfRule type="expression" dxfId="36" priority="4" stopIfTrue="1">
      <formula>+AND(C31&gt;=#REF!,C31&lt;=#REF!)</formula>
    </cfRule>
  </conditionalFormatting>
  <conditionalFormatting sqref="C34">
    <cfRule type="expression" dxfId="35" priority="3" stopIfTrue="1">
      <formula>+AND(C32&gt;=#REF!,C32&lt;=#REF!)</formula>
    </cfRule>
  </conditionalFormatting>
  <conditionalFormatting sqref="D33">
    <cfRule type="expression" dxfId="34" priority="2" stopIfTrue="1">
      <formula>+AND(D31&gt;=#REF!,D31&lt;=#REF!)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7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7:C110">
      <formula1>Medicaments</formula1>
    </dataValidation>
  </dataValidations>
  <pageMargins left="0.70866141732283472" right="0.70866141732283472" top="0.74803149606299213" bottom="0.74803149606299213" header="0.31496062992125984" footer="0.31496062992125984"/>
  <pageSetup paperSize="256" scale="50" fitToHeight="0" orientation="landscape" r:id="rId1"/>
  <headerFooter>
    <oddFooter>&amp;L&amp;F&amp;C&amp;A&amp;RV1.0          &amp;D</oddFooter>
  </headerFooter>
  <rowBreaks count="3" manualBreakCount="3">
    <brk id="47" max="16383" man="1"/>
    <brk id="103" max="14" man="1"/>
    <brk id="139" max="14" man="1"/>
  </rowBreaks>
  <ignoredErrors>
    <ignoredError sqref="H140:S140 E14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pageSetUpPr fitToPage="1"/>
  </sheetPr>
  <dimension ref="A1:X18"/>
  <sheetViews>
    <sheetView showGridLines="0" zoomScale="110" zoomScaleNormal="110" zoomScaleSheetLayoutView="100" workbookViewId="0">
      <selection activeCell="I9" sqref="I9:J9"/>
    </sheetView>
  </sheetViews>
  <sheetFormatPr defaultColWidth="11.375" defaultRowHeight="15"/>
  <cols>
    <col min="1" max="1" width="22.625" style="3" customWidth="1"/>
    <col min="2" max="2" width="12.625" style="3" customWidth="1"/>
    <col min="3" max="3" width="20.625" style="3" customWidth="1"/>
    <col min="4" max="4" width="21.625" style="3" customWidth="1"/>
    <col min="5" max="5" width="11.75" style="3" customWidth="1"/>
    <col min="6" max="6" width="10.75" style="3" customWidth="1"/>
    <col min="7" max="7" width="11.75" style="3" customWidth="1"/>
    <col min="8" max="8" width="15" style="3" customWidth="1"/>
    <col min="9" max="9" width="9.375" style="3" customWidth="1"/>
    <col min="10" max="10" width="13" style="3" customWidth="1"/>
    <col min="11" max="11" width="11.375" style="3" customWidth="1"/>
    <col min="12" max="12" width="8.125" style="3" customWidth="1"/>
    <col min="13" max="13" width="9.75" style="3" customWidth="1"/>
    <col min="14" max="14" width="8.625" style="3" customWidth="1"/>
    <col min="15" max="15" width="7.125" style="3" customWidth="1"/>
    <col min="16" max="16384" width="11.375" style="3"/>
  </cols>
  <sheetData>
    <row r="1" spans="1:24" ht="21" customHeight="1">
      <c r="A1" s="2"/>
      <c r="B1" s="2"/>
      <c r="C1" s="2"/>
      <c r="D1" s="2"/>
      <c r="E1" s="2"/>
      <c r="F1" s="2"/>
      <c r="G1" s="219"/>
      <c r="H1" s="2"/>
      <c r="I1" s="2"/>
      <c r="J1" s="2"/>
    </row>
    <row r="2" spans="1:24" ht="25.5" customHeight="1"/>
    <row r="3" spans="1:24" ht="36">
      <c r="B3" s="765" t="str">
        <f>+"Tabel Programatic de Evaluare: "&amp;" "&amp;+IF('Introducerea datelor'!C4="Please Select","",'Introducerea datelor'!C4&amp;" - ")&amp;+IF('Introducerea datelor'!G6="Please Select","",'Introducerea datelor'!G6)</f>
        <v>Tabel Programatic de Evaluare:  Moldova - TB</v>
      </c>
      <c r="C3" s="765"/>
      <c r="D3" s="765"/>
      <c r="E3" s="765"/>
      <c r="F3" s="765"/>
      <c r="G3" s="765"/>
      <c r="H3" s="765"/>
      <c r="I3" s="765"/>
      <c r="J3" s="76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15" t="s">
        <v>283</v>
      </c>
      <c r="B6" s="767" t="str">
        <f>+IF('Introducerea datelor'!C4="Please Select","",'Introducerea datelor'!C4)</f>
        <v>Moldova</v>
      </c>
      <c r="C6" s="767"/>
      <c r="D6" s="771" t="s">
        <v>287</v>
      </c>
      <c r="E6" s="771"/>
      <c r="F6" s="772" t="str">
        <f>+'Introducerea datelor'!G4</f>
        <v>Consolidarea controlului Tuberculozei în Republica Moldova</v>
      </c>
      <c r="G6" s="772"/>
      <c r="H6" s="772"/>
      <c r="I6" s="772"/>
      <c r="J6" s="772"/>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00" t="s">
        <v>288</v>
      </c>
      <c r="B9" s="277" t="str">
        <f>+IF('Introducerea datelor'!G6="Please Select","",'Introducerea datelor'!G6)</f>
        <v>TB</v>
      </c>
      <c r="C9" s="187" t="s">
        <v>248</v>
      </c>
      <c r="D9" s="278" t="str">
        <f>+'Introducerea datelor'!C6</f>
        <v>MDA-T-PCIMU (#678)</v>
      </c>
      <c r="E9" s="769" t="s">
        <v>374</v>
      </c>
      <c r="F9" s="769"/>
      <c r="G9" s="386">
        <f>+IF(ISBLANK('Introducerea datelor'!C10),"",'Introducerea datelor'!C10)</f>
        <v>42186</v>
      </c>
      <c r="H9" s="300" t="s">
        <v>289</v>
      </c>
      <c r="I9" s="768">
        <f>+IF(ISBLANK('Introducerea datelor'!I6),"",'Introducerea datelor'!I6)</f>
        <v>7957826</v>
      </c>
      <c r="J9" s="768"/>
      <c r="K9" s="49"/>
      <c r="L9" s="49"/>
      <c r="M9" s="49"/>
      <c r="N9" s="49"/>
      <c r="O9" s="51"/>
      <c r="P9" s="50"/>
      <c r="Q9" s="51"/>
      <c r="R9" s="52"/>
      <c r="S9" s="17"/>
      <c r="T9" s="11"/>
      <c r="U9" s="11"/>
      <c r="V9" s="10"/>
      <c r="W9" s="10"/>
      <c r="X9" s="10"/>
    </row>
    <row r="10" spans="1:24" ht="25.5" customHeight="1">
      <c r="A10" s="300" t="s">
        <v>290</v>
      </c>
      <c r="B10" s="279" t="str">
        <f>+IF('Introducerea datelor'!G8="Please Select","",'Introducerea datelor'!G8)</f>
        <v/>
      </c>
      <c r="C10" s="187" t="s">
        <v>291</v>
      </c>
      <c r="D10" s="280" t="str">
        <f>+IF('Introducerea datelor'!I8="Please Select","",'Introducerea datelor'!I8)</f>
        <v>Period 1</v>
      </c>
      <c r="E10" s="770" t="s">
        <v>375</v>
      </c>
      <c r="F10" s="770"/>
      <c r="G10" s="766" t="str">
        <f>+'Introducerea datelor'!C8</f>
        <v>IP UCIMP DS</v>
      </c>
      <c r="H10" s="766"/>
      <c r="I10" s="766"/>
      <c r="J10" s="766"/>
      <c r="K10" s="53"/>
      <c r="L10" s="53"/>
      <c r="M10" s="49"/>
      <c r="N10" s="53"/>
      <c r="O10" s="51"/>
      <c r="P10" s="50"/>
      <c r="Q10" s="11"/>
      <c r="R10" s="52"/>
      <c r="S10" s="17"/>
      <c r="T10" s="11"/>
      <c r="U10" s="11"/>
    </row>
    <row r="11" spans="1:24" ht="25.5" customHeight="1">
      <c r="A11" s="300" t="s">
        <v>294</v>
      </c>
      <c r="B11" s="281" t="str">
        <f>+'Introducerea datelor'!C16</f>
        <v>P2</v>
      </c>
      <c r="C11" s="265" t="s">
        <v>295</v>
      </c>
      <c r="D11" s="387">
        <f>+IF(ISBLANK('Introducerea datelor'!E16),"",'Introducerea datelor'!E16)</f>
        <v>42370</v>
      </c>
      <c r="E11" s="769" t="s">
        <v>296</v>
      </c>
      <c r="F11" s="769"/>
      <c r="G11" s="387">
        <f>+IF(ISBLANK('Introducerea datelor'!G16),"",'Introducerea datelor'!G16)</f>
        <v>42551</v>
      </c>
      <c r="H11" s="300" t="s">
        <v>286</v>
      </c>
      <c r="I11" s="773" t="str">
        <f>+IF('Introducerea datelor'!C12="Please Select","",'Introducerea datelor'!C12)</f>
        <v>A2</v>
      </c>
      <c r="J11" s="773"/>
      <c r="K11" s="218"/>
      <c r="L11" s="53"/>
      <c r="M11" s="49"/>
      <c r="N11" s="53"/>
      <c r="O11" s="53"/>
      <c r="P11" s="50"/>
      <c r="Q11" s="11"/>
      <c r="R11" s="52"/>
      <c r="S11" s="17"/>
      <c r="T11" s="12"/>
      <c r="U11" s="11"/>
    </row>
    <row r="12" spans="1:24" ht="25.5" customHeight="1">
      <c r="A12" s="300" t="s">
        <v>292</v>
      </c>
      <c r="B12" s="766" t="str">
        <f>+IF('Introducerea datelor'!G10="Please Select","",'Introducerea datelor'!G10)</f>
        <v>PwC (PricewaterhouseCoopers)</v>
      </c>
      <c r="C12" s="766"/>
      <c r="D12" s="766"/>
      <c r="E12" s="770" t="s">
        <v>233</v>
      </c>
      <c r="F12" s="770"/>
      <c r="G12" s="766" t="str">
        <f>+'Introducerea datelor'!G12</f>
        <v>Tsovinar Sakanyan</v>
      </c>
      <c r="H12" s="766"/>
      <c r="I12" s="766"/>
      <c r="J12" s="766"/>
      <c r="K12" s="53"/>
      <c r="L12" s="53"/>
      <c r="M12" s="49"/>
      <c r="N12" s="53"/>
      <c r="O12" s="17"/>
      <c r="P12" s="50"/>
      <c r="Q12" s="11"/>
      <c r="R12" s="52"/>
      <c r="S12" s="17"/>
      <c r="T12" s="11"/>
      <c r="U12" s="54"/>
      <c r="V12" s="11"/>
      <c r="W12" s="12"/>
      <c r="X12" s="11"/>
    </row>
    <row r="13" spans="1:24" ht="30.75" customHeight="1">
      <c r="A13" s="300" t="s">
        <v>376</v>
      </c>
      <c r="B13" s="766" t="str">
        <f>+'Introducerea datelor'!D18</f>
        <v>IP UCIMP DS</v>
      </c>
      <c r="C13" s="766"/>
      <c r="D13" s="766"/>
      <c r="E13" s="774" t="s">
        <v>377</v>
      </c>
      <c r="F13" s="774"/>
      <c r="G13" s="775">
        <f>+IF(ISBLANK('Introducerea datelor'!J16),"",'Introducerea datelor'!J16)</f>
        <v>42654</v>
      </c>
      <c r="H13" s="776"/>
      <c r="I13" s="776"/>
      <c r="J13" s="776"/>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6"/>
      <c r="D16" s="16"/>
      <c r="E16" s="30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256"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pageSetUpPr fitToPage="1"/>
  </sheetPr>
  <dimension ref="A1:P35"/>
  <sheetViews>
    <sheetView showGridLines="0" topLeftCell="B16" zoomScale="130" zoomScaleNormal="130" zoomScaleSheetLayoutView="100" workbookViewId="0">
      <selection activeCell="C27" sqref="C27:F27"/>
    </sheetView>
  </sheetViews>
  <sheetFormatPr defaultColWidth="11" defaultRowHeight="15"/>
  <cols>
    <col min="1" max="1" width="3.25" customWidth="1"/>
    <col min="2" max="2" width="10.375" customWidth="1"/>
    <col min="3" max="3" width="12.375" customWidth="1"/>
    <col min="4" max="4" width="13.125" customWidth="1"/>
    <col min="5" max="5" width="11.375" customWidth="1"/>
    <col min="6" max="6" width="17" customWidth="1"/>
    <col min="7" max="7" width="3.875" customWidth="1"/>
    <col min="8" max="8" width="9.875" customWidth="1"/>
    <col min="9" max="9" width="13" customWidth="1"/>
    <col min="10" max="10" width="13.75" customWidth="1"/>
    <col min="11" max="11" width="13.625" customWidth="1"/>
    <col min="12" max="12" width="14.125" customWidth="1"/>
  </cols>
  <sheetData>
    <row r="1" spans="1:16" ht="28.5" customHeight="1">
      <c r="C1" s="193"/>
      <c r="E1" s="194"/>
    </row>
    <row r="2" spans="1:16" ht="27.75" customHeight="1">
      <c r="B2" s="792" t="str">
        <f>+"Tabel Programatic de Evaluare:  "&amp;"  "&amp;IF(+'Introducerea datelor'!C4="Please Select","",'Introducerea datelor'!C4&amp;" - ")&amp;IF('Introducerea datelor'!G6="Please Select","",'Introducerea datelor'!G6)</f>
        <v>Tabel Programatic de Evaluare:    Moldova - TB</v>
      </c>
      <c r="C2" s="792"/>
      <c r="D2" s="792"/>
      <c r="E2" s="792"/>
      <c r="F2" s="792"/>
      <c r="G2" s="792"/>
      <c r="H2" s="792"/>
      <c r="I2" s="792"/>
      <c r="J2" s="792"/>
      <c r="K2" s="792"/>
      <c r="L2" s="792"/>
      <c r="M2" s="25"/>
      <c r="N2" s="25"/>
      <c r="O2" s="25"/>
      <c r="P2" s="25"/>
    </row>
    <row r="3" spans="1:16">
      <c r="B3" s="23" t="str">
        <f>+IF('Introducerea datelor'!G8="Please Select","",'Introducerea datelor'!G8)</f>
        <v/>
      </c>
      <c r="C3" s="796" t="str">
        <f>+IF('Introducerea datelor'!I8="Please Select","",'Introducerea datelor'!I8)</f>
        <v>Period 1</v>
      </c>
      <c r="D3" s="796"/>
      <c r="E3" s="790"/>
      <c r="F3" s="790"/>
      <c r="G3" s="790"/>
      <c r="H3" s="790"/>
      <c r="I3" s="790"/>
      <c r="J3" s="795" t="str">
        <f>+'Introducerea datelor'!B16</f>
        <v>Perioada de Raportare:</v>
      </c>
      <c r="K3" s="795"/>
      <c r="L3" s="162" t="str">
        <f>+'Introducerea datelor'!C16</f>
        <v>P2</v>
      </c>
    </row>
    <row r="4" spans="1:16">
      <c r="B4" s="23" t="str">
        <f>+'Introducerea datelor'!B12</f>
        <v>Ultimul Rating:</v>
      </c>
      <c r="C4" s="793" t="str">
        <f>+IF('Introducerea datelor'!C12="Please Select","",'Introducerea datelor'!C12)</f>
        <v>A2</v>
      </c>
      <c r="D4" s="793"/>
      <c r="E4" s="790" t="str">
        <f>+'Introducerea datelor'!C8</f>
        <v>IP UCIMP DS</v>
      </c>
      <c r="F4" s="790"/>
      <c r="G4" s="790"/>
      <c r="H4" s="790"/>
      <c r="I4" s="790"/>
      <c r="J4" s="795" t="str">
        <f>+'Introducerea datelor'!D16</f>
        <v>De la:</v>
      </c>
      <c r="K4" s="797"/>
      <c r="L4" s="419">
        <f>+IF(ISBLANK('Introducerea datelor'!E16),"",'Introducerea datelor'!E16)</f>
        <v>42370</v>
      </c>
    </row>
    <row r="5" spans="1:16" ht="18.75" customHeight="1">
      <c r="B5" s="23"/>
      <c r="C5" s="23"/>
      <c r="D5" s="790" t="str">
        <f>+'Introducerea datelor'!G4</f>
        <v>Consolidarea controlului Tuberculozei în Republica Moldova</v>
      </c>
      <c r="E5" s="790"/>
      <c r="F5" s="790"/>
      <c r="G5" s="790"/>
      <c r="H5" s="790"/>
      <c r="I5" s="790"/>
      <c r="J5" s="790"/>
      <c r="K5" s="23" t="str">
        <f>+'Introducerea datelor'!F16</f>
        <v>Pînă la:</v>
      </c>
      <c r="L5" s="419">
        <f>+IF(ISBLANK('Introducerea datelor'!G16),"",'Introducerea datelor'!G16)</f>
        <v>42551</v>
      </c>
    </row>
    <row r="6" spans="1:16" ht="18.75">
      <c r="B6" s="22"/>
      <c r="C6" s="23"/>
      <c r="D6" s="24"/>
      <c r="E6" s="794" t="s">
        <v>382</v>
      </c>
      <c r="F6" s="794"/>
      <c r="G6" s="794"/>
      <c r="H6" s="794"/>
      <c r="I6" s="794"/>
    </row>
    <row r="7" spans="1:16" ht="26.25" customHeight="1">
      <c r="B7" s="779" t="str">
        <f>+'Introducerea datelor'!B68&amp;"                "&amp;+J3&amp;" "&amp;+L3</f>
        <v>M1: Statutul Condițiilor Precedente și a Acțiunilor Prestabilite în Timp                 Perioada de Raportare: P2</v>
      </c>
      <c r="C7" s="780"/>
      <c r="D7" s="780"/>
      <c r="E7" s="780"/>
      <c r="F7" s="780"/>
      <c r="H7" s="779" t="str">
        <f>+'Introducerea datelor'!B75&amp;"                                                                             "&amp;+J3&amp;"  "&amp;+L3</f>
        <v>M2: Statutul pozițiilor cheie a RP                                                                              Perioada de Raportare:  P2</v>
      </c>
      <c r="I7" s="780"/>
      <c r="J7" s="780"/>
      <c r="K7" s="780"/>
      <c r="L7" s="780"/>
    </row>
    <row r="8" spans="1:16" ht="72" customHeight="1">
      <c r="B8" s="284" t="s">
        <v>381</v>
      </c>
      <c r="C8" s="782" t="s">
        <v>497</v>
      </c>
      <c r="D8" s="785"/>
      <c r="E8" s="785"/>
      <c r="F8" s="786"/>
      <c r="G8" s="499"/>
      <c r="H8" s="284" t="s">
        <v>381</v>
      </c>
      <c r="I8" s="782" t="s">
        <v>487</v>
      </c>
      <c r="J8" s="783"/>
      <c r="K8" s="783"/>
      <c r="L8" s="784"/>
    </row>
    <row r="9" spans="1:16" ht="22.5" customHeight="1">
      <c r="B9" s="19"/>
      <c r="C9" s="19"/>
      <c r="D9" s="19"/>
      <c r="E9" s="19"/>
      <c r="F9" s="19"/>
      <c r="G9" s="19"/>
      <c r="H9" s="19"/>
    </row>
    <row r="10" spans="1:16" ht="21" customHeight="1">
      <c r="A10" s="46"/>
      <c r="B10" s="19"/>
      <c r="C10" s="19"/>
      <c r="D10" s="791"/>
      <c r="E10" s="646"/>
      <c r="F10" s="646"/>
      <c r="G10" s="170"/>
      <c r="H10" s="19"/>
      <c r="N10" s="48"/>
      <c r="O10" s="48"/>
      <c r="P10" s="47"/>
    </row>
    <row r="11" spans="1:16">
      <c r="B11" s="19"/>
      <c r="C11" s="27"/>
      <c r="D11" s="791"/>
      <c r="E11" s="27"/>
      <c r="F11" s="27"/>
      <c r="G11" s="27"/>
      <c r="H11" s="27"/>
      <c r="N11" s="19"/>
      <c r="O11" s="19"/>
    </row>
    <row r="12" spans="1:16">
      <c r="B12" s="27"/>
      <c r="C12" s="78"/>
      <c r="D12" s="79"/>
      <c r="E12" s="79"/>
      <c r="F12" s="79"/>
      <c r="G12" s="79"/>
      <c r="H12" s="80"/>
      <c r="N12" s="535"/>
    </row>
    <row r="13" spans="1:16">
      <c r="B13" s="27"/>
      <c r="C13" s="78"/>
      <c r="D13" s="79"/>
      <c r="E13" s="79"/>
      <c r="F13" s="79"/>
      <c r="G13" s="79"/>
      <c r="H13" s="80"/>
    </row>
    <row r="14" spans="1:16" ht="27" customHeight="1"/>
    <row r="15" spans="1:16" ht="35.25" customHeight="1">
      <c r="B15" s="779" t="str">
        <f>+'Introducerea datelor'!B80&amp;"                                                                                                 "&amp;+J3&amp;" "&amp;+L3</f>
        <v>M3: Aranjamente contractuale (SR)                                                                                                  Perioada de Raportare: P2</v>
      </c>
      <c r="C15" s="780"/>
      <c r="D15" s="780"/>
      <c r="E15" s="780"/>
      <c r="F15" s="780"/>
      <c r="G15" s="780"/>
      <c r="H15" s="779" t="str">
        <f>+'Introducerea datelor'!B85&amp;"                        "&amp;+J3&amp;" "&amp;+L3</f>
        <v>M4: Numărul rapoartelor complete recepționate la timp                        Perioada de Raportare: P2</v>
      </c>
      <c r="I15" s="780"/>
      <c r="J15" s="780"/>
      <c r="K15" s="780"/>
      <c r="L15" s="780"/>
    </row>
    <row r="16" spans="1:16" ht="79.5" customHeight="1">
      <c r="B16" s="284" t="s">
        <v>381</v>
      </c>
      <c r="C16" s="782" t="s">
        <v>488</v>
      </c>
      <c r="D16" s="783"/>
      <c r="E16" s="783"/>
      <c r="F16" s="784"/>
      <c r="G16" s="499"/>
      <c r="H16" s="284" t="s">
        <v>381</v>
      </c>
      <c r="I16" s="782" t="s">
        <v>498</v>
      </c>
      <c r="J16" s="785"/>
      <c r="K16" s="785"/>
      <c r="L16" s="786"/>
    </row>
    <row r="17" spans="2:13">
      <c r="B17" s="28"/>
      <c r="H17" s="29"/>
    </row>
    <row r="18" spans="2:13">
      <c r="M18" s="82"/>
    </row>
    <row r="26" spans="2:13" ht="40.5" customHeight="1">
      <c r="B26" s="777" t="str">
        <f>+'Introducerea datelor'!B91</f>
        <v xml:space="preserve">M5: Bugetul și Procurarea produselor medicale, echipamentului medical, medicamentelor și produselor farmaceutice </v>
      </c>
      <c r="C26" s="778"/>
      <c r="D26" s="778"/>
      <c r="E26" s="778"/>
      <c r="F26" s="778"/>
      <c r="H26" s="779" t="str">
        <f>+'Introducerea datelor'!B104&amp;"                                                                "&amp;+J3&amp;"  "&amp;+L3</f>
        <v>M6: Diferență între stocul curent și stocul de siguranță                                                                Perioada de Raportare:  P2</v>
      </c>
      <c r="I26" s="780"/>
      <c r="J26" s="780"/>
      <c r="K26" s="780"/>
      <c r="L26" s="780"/>
    </row>
    <row r="27" spans="2:13" ht="51" customHeight="1">
      <c r="B27" s="284" t="s">
        <v>381</v>
      </c>
      <c r="C27" s="782" t="s">
        <v>503</v>
      </c>
      <c r="D27" s="783"/>
      <c r="E27" s="783"/>
      <c r="F27" s="784"/>
      <c r="G27" s="499"/>
      <c r="H27" s="284" t="s">
        <v>1</v>
      </c>
      <c r="I27" s="782" t="s">
        <v>499</v>
      </c>
      <c r="J27" s="785"/>
      <c r="K27" s="785"/>
      <c r="L27" s="786"/>
    </row>
    <row r="28" spans="2:13" ht="15.75" thickBot="1"/>
    <row r="29" spans="2:13" ht="59.25" customHeight="1">
      <c r="F29" s="269"/>
      <c r="G29" s="269"/>
      <c r="H29" s="373" t="s">
        <v>356</v>
      </c>
      <c r="I29" s="372" t="s">
        <v>383</v>
      </c>
      <c r="J29" s="283" t="s">
        <v>385</v>
      </c>
      <c r="K29" s="181" t="s">
        <v>386</v>
      </c>
      <c r="L29" s="266" t="s">
        <v>387</v>
      </c>
    </row>
    <row r="30" spans="2:13" ht="15" customHeight="1">
      <c r="F30" s="269"/>
      <c r="G30" s="269"/>
      <c r="H30" s="787" t="str">
        <f>+'Introducerea datelor'!B107</f>
        <v>Please Select</v>
      </c>
      <c r="I30" s="267" t="str">
        <f>+'Introducerea datelor'!C107</f>
        <v>Please Select</v>
      </c>
      <c r="J30" s="337" t="str">
        <f>+'Introducerea datelor'!I107</f>
        <v/>
      </c>
      <c r="K30" s="338">
        <f>+'Introducerea datelor'!J107</f>
        <v>0</v>
      </c>
      <c r="L30" s="333" t="str">
        <f>+'Introducerea datelor'!K107</f>
        <v/>
      </c>
    </row>
    <row r="31" spans="2:13">
      <c r="F31" s="269"/>
      <c r="G31" s="269"/>
      <c r="H31" s="788"/>
      <c r="I31" s="267" t="str">
        <f>+'Introducerea datelor'!C108</f>
        <v>Please Select</v>
      </c>
      <c r="J31" s="337" t="str">
        <f>+'Introducerea datelor'!I108</f>
        <v/>
      </c>
      <c r="K31" s="338">
        <f>+'Introducerea datelor'!J108</f>
        <v>0</v>
      </c>
      <c r="L31" s="334" t="str">
        <f>+'Introducerea datelor'!K108</f>
        <v/>
      </c>
    </row>
    <row r="32" spans="2:13">
      <c r="F32" s="269"/>
      <c r="G32" s="269"/>
      <c r="H32" s="788"/>
      <c r="I32" s="267" t="str">
        <f>+'Introducerea datelor'!C109</f>
        <v>Please Select</v>
      </c>
      <c r="J32" s="337" t="str">
        <f>+'Introducerea datelor'!I109</f>
        <v/>
      </c>
      <c r="K32" s="338">
        <f>+'Introducerea datelor'!J109</f>
        <v>0</v>
      </c>
      <c r="L32" s="333" t="str">
        <f>+'Introducerea datelor'!K109</f>
        <v/>
      </c>
    </row>
    <row r="33" spans="2:12" ht="15.75" thickBot="1">
      <c r="F33" s="269"/>
      <c r="G33" s="269"/>
      <c r="H33" s="789"/>
      <c r="I33" s="268" t="str">
        <f>+'Introducerea datelor'!C110</f>
        <v>Please Select</v>
      </c>
      <c r="J33" s="339" t="str">
        <f>+'Introducerea datelor'!I110</f>
        <v/>
      </c>
      <c r="K33" s="340">
        <f>+'Introducerea datelor'!J110</f>
        <v>0</v>
      </c>
      <c r="L33" s="333" t="str">
        <f>+'Introducerea datelor'!K110</f>
        <v/>
      </c>
    </row>
    <row r="34" spans="2:12" ht="22.5" customHeight="1">
      <c r="B34" s="781" t="str">
        <f>+'Introducerea datelor'!B101</f>
        <v>* Include numai AFR categoriile 4,5 și 6  (Produse medicale și Echipamente medicale &amp; Medicamente și Produse farmaceutice)</v>
      </c>
      <c r="C34" s="781"/>
      <c r="D34" s="781"/>
      <c r="E34" s="781"/>
      <c r="F34" s="19"/>
      <c r="G34" s="19"/>
      <c r="H34" s="178"/>
      <c r="I34" s="179"/>
      <c r="J34" s="180"/>
      <c r="K34" s="170"/>
      <c r="L34" s="20"/>
    </row>
    <row r="35" spans="2:12">
      <c r="F35" s="19"/>
      <c r="G35" s="19"/>
      <c r="H35" s="19"/>
      <c r="I35" s="19"/>
      <c r="J35" s="19"/>
      <c r="K35" s="19"/>
      <c r="L35" s="19"/>
    </row>
  </sheetData>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pageSetUpPr fitToPage="1"/>
  </sheetPr>
  <dimension ref="A1:O34"/>
  <sheetViews>
    <sheetView showGridLines="0" view="pageBreakPreview" topLeftCell="A9" zoomScale="115" zoomScaleNormal="100" zoomScaleSheetLayoutView="115" workbookViewId="0">
      <selection activeCell="M11" sqref="M11"/>
    </sheetView>
  </sheetViews>
  <sheetFormatPr defaultColWidth="11" defaultRowHeight="15"/>
  <cols>
    <col min="1" max="1" width="3.625" customWidth="1"/>
    <col min="2" max="2" width="11.25" customWidth="1"/>
    <col min="3" max="3" width="5.125" customWidth="1"/>
    <col min="4" max="4" width="12.375" customWidth="1"/>
    <col min="5" max="5" width="11.375" customWidth="1"/>
    <col min="6" max="6" width="14.25" customWidth="1"/>
    <col min="7" max="7" width="3.875" customWidth="1"/>
    <col min="8" max="8" width="10.375" customWidth="1"/>
    <col min="9" max="9" width="14.75" customWidth="1"/>
    <col min="10" max="10" width="12" customWidth="1"/>
    <col min="11" max="11" width="11.75" customWidth="1"/>
  </cols>
  <sheetData>
    <row r="1" spans="2:15" ht="30.75" customHeight="1">
      <c r="B1" s="3"/>
      <c r="C1" s="3"/>
      <c r="D1" s="3"/>
      <c r="E1" s="3"/>
      <c r="F1" s="3"/>
      <c r="G1" s="3"/>
      <c r="H1" s="3"/>
      <c r="I1" s="3"/>
      <c r="J1" s="3"/>
      <c r="K1" s="3"/>
    </row>
    <row r="2" spans="2:15" ht="27.75" customHeight="1">
      <c r="B2" s="818" t="str">
        <f>+"Tabel Programatic de Evaluare:  "&amp;"  "&amp;IF(+'Introducerea datelor'!C4="Please Select","",'Introducerea datelor'!C4&amp;" - ")&amp;IF('Introducerea datelor'!G6="Please Select","",'Introducerea datelor'!G6)</f>
        <v>Tabel Programatic de Evaluare:    Moldova - TB</v>
      </c>
      <c r="C2" s="818"/>
      <c r="D2" s="818"/>
      <c r="E2" s="818"/>
      <c r="F2" s="818"/>
      <c r="G2" s="818"/>
      <c r="H2" s="818"/>
      <c r="I2" s="818"/>
      <c r="J2" s="818"/>
      <c r="K2" s="818"/>
      <c r="L2" s="1"/>
      <c r="M2" s="1"/>
      <c r="N2" s="1"/>
      <c r="O2" s="1"/>
    </row>
    <row r="3" spans="2:15">
      <c r="B3" s="128" t="str">
        <f>+IF('Introducerea datelor'!G8="Please Select","",'Introducerea datelor'!G8)</f>
        <v/>
      </c>
      <c r="C3" s="823" t="str">
        <f>+IF('Introducerea datelor'!I8="Please Select","",'Introducerea datelor'!I8)</f>
        <v>Period 1</v>
      </c>
      <c r="D3" s="823"/>
      <c r="E3" s="822"/>
      <c r="F3" s="822"/>
      <c r="G3" s="822"/>
      <c r="H3" s="822"/>
      <c r="I3" s="820" t="str">
        <f>+'Introducerea datelor'!B16</f>
        <v>Perioada de Raportare:</v>
      </c>
      <c r="J3" s="820"/>
      <c r="K3" s="162" t="str">
        <f>+'Introducerea datelor'!C16</f>
        <v>P2</v>
      </c>
      <c r="L3" s="82"/>
    </row>
    <row r="4" spans="2:15">
      <c r="B4" s="128" t="str">
        <f>+'Introducerea datelor'!B12</f>
        <v>Ultimul Rating:</v>
      </c>
      <c r="C4" s="793" t="str">
        <f>+IF('Introducerea datelor'!C12="Please Select","",'Introducerea datelor'!C12)</f>
        <v>A2</v>
      </c>
      <c r="D4" s="793"/>
      <c r="E4" s="822" t="str">
        <f>+'Introducerea datelor'!C8</f>
        <v>IP UCIMP DS</v>
      </c>
      <c r="F4" s="822"/>
      <c r="G4" s="822"/>
      <c r="H4" s="822"/>
      <c r="I4" s="820" t="str">
        <f>+'Introducerea datelor'!D16</f>
        <v>De la:</v>
      </c>
      <c r="J4" s="821"/>
      <c r="K4" s="419">
        <f>+IF(ISBLANK('Introducerea datelor'!E16),"",'Introducerea datelor'!E16)</f>
        <v>42370</v>
      </c>
    </row>
    <row r="5" spans="2:15" ht="18.75" customHeight="1">
      <c r="B5" s="128"/>
      <c r="C5" s="128"/>
      <c r="D5" s="819" t="str">
        <f>+'Introducerea datelor'!G4</f>
        <v>Consolidarea controlului Tuberculozei în Republica Moldova</v>
      </c>
      <c r="E5" s="819"/>
      <c r="F5" s="819"/>
      <c r="G5" s="819"/>
      <c r="H5" s="819"/>
      <c r="I5" s="819"/>
      <c r="J5" s="128" t="str">
        <f>+'Introducerea datelor'!F16</f>
        <v>Pînă la:</v>
      </c>
      <c r="K5" s="419">
        <f>+IF(ISBLANK('Introducerea datelor'!G16),"",'Introducerea datelor'!G16)</f>
        <v>42551</v>
      </c>
    </row>
    <row r="6" spans="2:15" ht="18.75">
      <c r="B6" s="132"/>
      <c r="C6" s="128"/>
      <c r="D6" s="129"/>
      <c r="E6" s="803" t="s">
        <v>380</v>
      </c>
      <c r="F6" s="803"/>
      <c r="G6" s="803"/>
      <c r="H6" s="803"/>
      <c r="I6" s="3"/>
      <c r="J6" s="3"/>
      <c r="K6" s="3"/>
    </row>
    <row r="7" spans="2:15" ht="10.5" customHeight="1">
      <c r="B7" s="133"/>
      <c r="C7" s="134"/>
      <c r="D7" s="135"/>
      <c r="E7" s="136"/>
      <c r="F7" s="136"/>
      <c r="G7" s="137"/>
      <c r="H7" s="137"/>
      <c r="I7" s="131"/>
      <c r="J7" s="131"/>
      <c r="K7" s="130"/>
      <c r="O7" t="s">
        <v>379</v>
      </c>
    </row>
    <row r="8" spans="2:15" ht="26.25" customHeight="1">
      <c r="B8" s="806" t="str">
        <f>+'Introducerea datelor'!B27&amp; " - in ("&amp;'Introducerea datelor'!D26&amp;")  "&amp;+I3&amp;" "&amp;+K3</f>
        <v>F1: Bugetul și debursările de către Fondul Global - in (€)  Perioada de Raportare: P2</v>
      </c>
      <c r="C8" s="780"/>
      <c r="D8" s="780"/>
      <c r="E8" s="780"/>
      <c r="F8" s="780"/>
      <c r="H8" s="167" t="str">
        <f>+'Introducerea datelor'!B48&amp; " - in ("&amp;'Introducerea datelor'!D26&amp;")         "&amp;+I3&amp;" "&amp;+K3</f>
        <v>F3: Debursări și cheltuieli - in (€)         Perioada de Raportare: P2</v>
      </c>
      <c r="I8" s="3"/>
      <c r="J8" s="3"/>
      <c r="K8" s="3"/>
    </row>
    <row r="9" spans="2:15" ht="287.25" customHeight="1">
      <c r="B9" s="284" t="s">
        <v>381</v>
      </c>
      <c r="C9" s="812" t="s">
        <v>500</v>
      </c>
      <c r="D9" s="813"/>
      <c r="E9" s="813"/>
      <c r="F9" s="814"/>
      <c r="G9" s="500"/>
      <c r="H9" s="284" t="s">
        <v>381</v>
      </c>
      <c r="I9" s="782" t="s">
        <v>504</v>
      </c>
      <c r="J9" s="810"/>
      <c r="K9" s="81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3">
      <c r="B17" s="2"/>
      <c r="C17" s="2"/>
      <c r="D17" s="2"/>
      <c r="E17" s="2"/>
      <c r="F17" s="2"/>
      <c r="G17" s="3"/>
      <c r="H17" s="3"/>
      <c r="I17" s="3"/>
      <c r="J17" s="3"/>
      <c r="K17" s="3"/>
    </row>
    <row r="18" spans="1:13">
      <c r="B18" s="2"/>
      <c r="C18" s="2"/>
      <c r="D18" s="2"/>
      <c r="E18" s="2"/>
      <c r="F18" s="2"/>
      <c r="G18" s="3"/>
      <c r="H18" s="3"/>
      <c r="I18" s="3"/>
      <c r="J18" s="3"/>
      <c r="K18" s="3"/>
    </row>
    <row r="19" spans="1:13">
      <c r="B19" s="2"/>
      <c r="C19" s="2"/>
      <c r="D19" s="2"/>
      <c r="E19" s="2"/>
      <c r="F19" s="2"/>
      <c r="G19" s="3"/>
      <c r="H19" s="3"/>
      <c r="I19" s="3"/>
      <c r="J19" s="3"/>
      <c r="K19" s="3"/>
    </row>
    <row r="20" spans="1:13">
      <c r="B20" s="2"/>
      <c r="C20" s="2"/>
      <c r="D20" s="2"/>
      <c r="E20" s="2"/>
      <c r="F20" s="2"/>
      <c r="G20" s="3"/>
      <c r="H20" s="3"/>
      <c r="I20" s="3"/>
      <c r="J20" s="3"/>
      <c r="K20" s="3"/>
    </row>
    <row r="21" spans="1:13">
      <c r="A21" s="19"/>
      <c r="B21" s="19"/>
      <c r="C21" s="19"/>
      <c r="D21" s="19"/>
      <c r="E21" s="19"/>
      <c r="F21" s="19"/>
      <c r="G21" s="19"/>
      <c r="H21" s="19"/>
      <c r="I21" s="19"/>
      <c r="J21" s="19"/>
      <c r="K21" s="19"/>
      <c r="M21" s="528"/>
    </row>
    <row r="22" spans="1:13" ht="24" customHeight="1">
      <c r="B22" s="802" t="str">
        <f>+'Introducerea datelor'!B36&amp; " - in ("&amp;'Introducerea datelor'!D26&amp;")  "&amp;+I3&amp;" "&amp;+K3</f>
        <v>F2: Bugetul și cheltuielile actuale după Obiectivele Grantului - in (€)  Perioada de Raportare: P2</v>
      </c>
      <c r="C22" s="562"/>
      <c r="D22" s="562"/>
      <c r="E22" s="562"/>
      <c r="F22" s="562"/>
      <c r="G22" s="367"/>
      <c r="H22" s="802" t="str">
        <f>+'Introducerea datelor'!B57&amp;"      "&amp;+I3&amp;" "&amp;+K3</f>
        <v>F4: Ultima perioadă de raportare și debursare a RP       Perioada de Raportare: P2</v>
      </c>
      <c r="I22" s="780"/>
      <c r="J22" s="780"/>
      <c r="K22" s="780"/>
    </row>
    <row r="23" spans="1:13" ht="229.5" customHeight="1">
      <c r="B23" s="284" t="s">
        <v>381</v>
      </c>
      <c r="C23" s="815" t="s">
        <v>501</v>
      </c>
      <c r="D23" s="816"/>
      <c r="E23" s="816"/>
      <c r="F23" s="817"/>
      <c r="G23" s="501"/>
      <c r="H23" s="284" t="s">
        <v>381</v>
      </c>
      <c r="I23" s="782" t="s">
        <v>505</v>
      </c>
      <c r="J23" s="785"/>
      <c r="K23" s="786"/>
    </row>
    <row r="24" spans="1:13" ht="15.75" thickBot="1">
      <c r="B24" s="176"/>
      <c r="C24" s="176"/>
      <c r="D24" s="176"/>
      <c r="E24" s="176"/>
      <c r="F24" s="176"/>
      <c r="G24" s="176"/>
      <c r="H24" s="177"/>
      <c r="I24" s="177"/>
      <c r="J24" s="176"/>
      <c r="K24" s="176"/>
    </row>
    <row r="25" spans="1:13" ht="29.25" customHeight="1" thickBot="1">
      <c r="B25" s="3"/>
      <c r="C25" s="3"/>
      <c r="D25" s="3"/>
      <c r="E25" s="3"/>
      <c r="F25" s="3"/>
      <c r="G25" s="263"/>
      <c r="H25" s="807" t="s">
        <v>423</v>
      </c>
      <c r="I25" s="808"/>
      <c r="J25" s="808"/>
      <c r="K25" s="809"/>
    </row>
    <row r="26" spans="1:13">
      <c r="B26" s="3"/>
      <c r="C26" s="3"/>
      <c r="D26" s="3"/>
      <c r="E26" s="3"/>
      <c r="F26" s="3"/>
      <c r="G26" s="232"/>
      <c r="H26" s="798"/>
      <c r="I26" s="799"/>
      <c r="J26" s="246" t="s">
        <v>319</v>
      </c>
      <c r="K26" s="247" t="s">
        <v>320</v>
      </c>
    </row>
    <row r="27" spans="1:13" ht="23.25" customHeight="1">
      <c r="B27" s="3"/>
      <c r="C27" s="3"/>
      <c r="D27" s="3"/>
      <c r="E27" s="3"/>
      <c r="F27" s="3"/>
      <c r="G27" s="264"/>
      <c r="H27" s="804" t="str">
        <f>'Introducerea datelor'!B61</f>
        <v>Zile necesare pentru remiterea PU/DR final către ALF</v>
      </c>
      <c r="I27" s="805"/>
      <c r="J27" s="384">
        <f>+'Introducerea datelor'!C61</f>
        <v>45</v>
      </c>
      <c r="K27" s="416">
        <f>+'Introducerea datelor'!D61</f>
        <v>45</v>
      </c>
    </row>
    <row r="28" spans="1:13" ht="25.5" customHeight="1">
      <c r="B28" s="3"/>
      <c r="C28" s="3"/>
      <c r="D28" s="3"/>
      <c r="E28" s="3"/>
      <c r="F28" s="3"/>
      <c r="G28" s="264"/>
      <c r="H28" s="804" t="str">
        <f>'Introducerea datelor'!B62</f>
        <v>Zile necesare pentru debursare către RP</v>
      </c>
      <c r="I28" s="805"/>
      <c r="J28" s="384">
        <f>+'Introducerea datelor'!C62</f>
        <v>0</v>
      </c>
      <c r="K28" s="416">
        <f>+'Introducerea datelor'!D62</f>
        <v>0</v>
      </c>
    </row>
    <row r="29" spans="1:13" ht="24.75" customHeight="1" thickBot="1">
      <c r="B29" s="3"/>
      <c r="C29" s="3"/>
      <c r="D29" s="3"/>
      <c r="E29" s="3"/>
      <c r="F29" s="3"/>
      <c r="G29" s="264"/>
      <c r="H29" s="800" t="str">
        <f>'Introducerea datelor'!B63</f>
        <v>Zile necesare pentru debursare către SR</v>
      </c>
      <c r="I29" s="801"/>
      <c r="J29" s="385">
        <f>+'Introducerea datelor'!C63</f>
        <v>5</v>
      </c>
      <c r="K29" s="417">
        <f>+'Introducerea datelor'!D63</f>
        <v>5</v>
      </c>
    </row>
    <row r="30" spans="1:13">
      <c r="B30" s="3"/>
      <c r="C30" s="3"/>
      <c r="D30" s="3"/>
      <c r="E30" s="3"/>
      <c r="F30" s="3"/>
      <c r="G30" s="3"/>
      <c r="H30" s="3"/>
      <c r="I30" s="3"/>
      <c r="J30" s="3"/>
      <c r="K30" s="3"/>
    </row>
    <row r="31" spans="1:13">
      <c r="B31" s="3"/>
      <c r="C31" s="15"/>
      <c r="D31" s="197"/>
      <c r="E31" s="3"/>
      <c r="F31" s="3"/>
      <c r="G31" s="3"/>
      <c r="H31" s="3"/>
      <c r="I31" s="3"/>
      <c r="J31" s="3"/>
      <c r="K31" s="3"/>
    </row>
    <row r="32" spans="1:13">
      <c r="B32" s="3"/>
      <c r="C32" s="15"/>
      <c r="D32" s="197"/>
      <c r="E32" s="3"/>
      <c r="F32" s="3"/>
      <c r="G32" s="3"/>
      <c r="H32" s="3"/>
      <c r="I32" s="3"/>
      <c r="J32" s="3"/>
      <c r="K32" s="3"/>
    </row>
    <row r="34" spans="5:5">
      <c r="E34" s="19"/>
    </row>
  </sheetData>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256" scale="71"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pageSetUpPr fitToPage="1"/>
  </sheetPr>
  <dimension ref="A1:AI47"/>
  <sheetViews>
    <sheetView showGridLines="0" view="pageBreakPreview" topLeftCell="A28" zoomScaleNormal="100" zoomScaleSheetLayoutView="100" workbookViewId="0">
      <selection activeCell="T30" sqref="T30"/>
    </sheetView>
  </sheetViews>
  <sheetFormatPr defaultColWidth="11" defaultRowHeight="15"/>
  <cols>
    <col min="1" max="1" width="7.75" style="380" customWidth="1"/>
    <col min="2" max="2" width="11.25" customWidth="1"/>
    <col min="3" max="3" width="14.125" customWidth="1"/>
    <col min="4" max="4" width="14.875" customWidth="1"/>
    <col min="5" max="5" width="9.625" style="381" customWidth="1"/>
    <col min="6" max="6" width="10.625" style="381" customWidth="1"/>
    <col min="7" max="9" width="6" customWidth="1"/>
    <col min="10" max="10" width="5" customWidth="1"/>
    <col min="11" max="11" width="12.375" customWidth="1"/>
    <col min="12" max="12" width="11.375" customWidth="1"/>
    <col min="13" max="13" width="5" customWidth="1"/>
    <col min="14" max="14" width="6.625" customWidth="1"/>
    <col min="15" max="15" width="4.125" customWidth="1"/>
    <col min="16" max="16" width="10.75" customWidth="1"/>
    <col min="17" max="17" width="14.25" customWidth="1"/>
    <col min="18" max="18" width="6.625" customWidth="1"/>
  </cols>
  <sheetData>
    <row r="1" spans="1:35" ht="26.25" customHeight="1">
      <c r="A1" s="379"/>
      <c r="B1" s="3"/>
      <c r="C1" s="3"/>
      <c r="D1" s="3"/>
      <c r="E1" s="382"/>
      <c r="F1" s="382"/>
      <c r="G1" s="3"/>
      <c r="H1" s="3"/>
      <c r="I1" s="3"/>
      <c r="J1" s="3"/>
      <c r="K1" s="3"/>
      <c r="L1" s="3"/>
      <c r="M1" s="3"/>
      <c r="N1" s="3"/>
      <c r="O1" s="3"/>
      <c r="P1" s="3"/>
    </row>
    <row r="2" spans="1:35" ht="21.75" customHeight="1">
      <c r="A2" s="379"/>
      <c r="B2" s="866" t="str">
        <f>+"Tabel Programatic de Evaluare:  "&amp;"  "&amp;IF(+'Introducerea datelor'!C4="Please Select","",'Introducerea datelor'!C4&amp;" - ")&amp;IF('Introducerea datelor'!G6="Please Select","",'Introducerea datelor'!G6)</f>
        <v>Tabel Programatic de Evaluare:    Moldova - TB</v>
      </c>
      <c r="C2" s="866"/>
      <c r="D2" s="866"/>
      <c r="E2" s="866"/>
      <c r="F2" s="866"/>
      <c r="G2" s="866"/>
      <c r="H2" s="866"/>
      <c r="I2" s="866"/>
      <c r="J2" s="866"/>
      <c r="K2" s="866"/>
      <c r="L2" s="866"/>
      <c r="M2" s="866"/>
      <c r="N2" s="866"/>
      <c r="O2" s="866"/>
      <c r="P2" s="866"/>
      <c r="Q2" s="866"/>
    </row>
    <row r="3" spans="1:35" ht="18.75" customHeight="1">
      <c r="A3" s="379"/>
      <c r="B3" s="128" t="str">
        <f>+IF('Introducerea datelor'!G8="Please Select","",'Introducerea datelor'!G8)</f>
        <v/>
      </c>
      <c r="C3" s="823" t="str">
        <f>+IF('Introducerea datelor'!I8="Please Select","",'Introducerea datelor'!I8)</f>
        <v>Period 1</v>
      </c>
      <c r="D3" s="823"/>
      <c r="E3" s="822"/>
      <c r="F3" s="822"/>
      <c r="G3" s="822"/>
      <c r="H3" s="822"/>
      <c r="I3" s="868"/>
      <c r="J3" s="868"/>
      <c r="K3" s="868"/>
      <c r="L3" s="3"/>
      <c r="M3" s="3"/>
      <c r="N3" s="829" t="str">
        <f>+'Introducerea datelor'!B16</f>
        <v>Perioada de Raportare:</v>
      </c>
      <c r="O3" s="780"/>
      <c r="P3" s="780"/>
      <c r="Q3" s="163" t="str">
        <f>+'Introducerea datelor'!C16</f>
        <v>P2</v>
      </c>
    </row>
    <row r="4" spans="1:35" ht="12" customHeight="1">
      <c r="A4" s="379"/>
      <c r="B4" s="128" t="str">
        <f>+'Introducerea datelor'!B12</f>
        <v>Ultimul Rating:</v>
      </c>
      <c r="C4" s="869" t="str">
        <f>+IF('Introducerea datelor'!C12="Please Select","",'Introducerea datelor'!C12)</f>
        <v>A2</v>
      </c>
      <c r="D4" s="869"/>
      <c r="E4" s="822" t="str">
        <f>+'Introducerea datelor'!C8</f>
        <v>IP UCIMP DS</v>
      </c>
      <c r="F4" s="822"/>
      <c r="G4" s="822"/>
      <c r="H4" s="822"/>
      <c r="I4" s="822"/>
      <c r="J4" s="822"/>
      <c r="K4" s="822"/>
      <c r="L4" s="822"/>
      <c r="M4" s="3"/>
      <c r="O4" s="271"/>
      <c r="P4" s="128" t="str">
        <f>+'Introducerea datelor'!D16</f>
        <v>De la:</v>
      </c>
      <c r="Q4" s="420">
        <f>+IF(ISBLANK('Introducerea datelor'!E16),"",'Introducerea datelor'!E16)</f>
        <v>42370</v>
      </c>
      <c r="Y4" s="70"/>
      <c r="Z4" s="70"/>
      <c r="AA4" s="70"/>
      <c r="AB4" s="70"/>
      <c r="AC4" s="70"/>
    </row>
    <row r="5" spans="1:35" ht="15.75" customHeight="1">
      <c r="A5" s="379"/>
      <c r="B5" s="128"/>
      <c r="C5" s="128"/>
      <c r="D5" s="822" t="str">
        <f>+'Introducerea datelor'!G4</f>
        <v>Consolidarea controlului Tuberculozei în Republica Moldova</v>
      </c>
      <c r="E5" s="822"/>
      <c r="F5" s="822"/>
      <c r="G5" s="822"/>
      <c r="H5" s="822"/>
      <c r="I5" s="822"/>
      <c r="J5" s="822"/>
      <c r="K5" s="822"/>
      <c r="L5" s="822"/>
      <c r="M5" s="822"/>
      <c r="N5" s="822"/>
      <c r="P5" s="128" t="str">
        <f>+'Introducerea datelor'!F16</f>
        <v>Pînă la:</v>
      </c>
      <c r="Q5" s="420">
        <f>+IF(ISBLANK('Introducerea datelor'!G16),"",'Introducerea datelor'!G16)</f>
        <v>42551</v>
      </c>
      <c r="S5" s="188"/>
      <c r="T5" s="188"/>
      <c r="U5" s="188"/>
      <c r="V5" s="188"/>
      <c r="W5" s="188"/>
      <c r="X5" s="188"/>
      <c r="Y5" s="70"/>
      <c r="Z5" s="70"/>
      <c r="AA5" s="70" t="s">
        <v>23</v>
      </c>
      <c r="AB5" s="70"/>
      <c r="AC5" s="70" t="s">
        <v>214</v>
      </c>
      <c r="AD5" s="188"/>
      <c r="AE5" s="188"/>
      <c r="AF5" s="188"/>
      <c r="AG5" s="188"/>
      <c r="AH5" s="188"/>
      <c r="AI5" s="188"/>
    </row>
    <row r="6" spans="1:35" ht="15.75" customHeight="1">
      <c r="A6" s="379"/>
      <c r="B6" s="128"/>
      <c r="C6" s="128"/>
      <c r="D6" s="186"/>
      <c r="E6" s="186"/>
      <c r="F6" s="867" t="s">
        <v>393</v>
      </c>
      <c r="G6" s="867"/>
      <c r="H6" s="867"/>
      <c r="I6" s="867"/>
      <c r="J6" s="867"/>
      <c r="K6" s="867"/>
      <c r="L6" s="186"/>
      <c r="M6" s="3"/>
      <c r="N6" s="3"/>
      <c r="O6" s="165"/>
      <c r="P6" s="211"/>
      <c r="S6" s="188"/>
      <c r="T6" s="188"/>
      <c r="U6" s="188"/>
      <c r="V6" s="188"/>
      <c r="W6" s="188"/>
      <c r="X6" s="188"/>
      <c r="Y6" s="70"/>
      <c r="Z6" s="70"/>
      <c r="AA6" s="70"/>
      <c r="AB6" s="70"/>
      <c r="AC6" s="70"/>
      <c r="AD6" s="188"/>
      <c r="AE6" s="188"/>
      <c r="AF6" s="188"/>
      <c r="AG6" s="188"/>
      <c r="AH6" s="188"/>
      <c r="AI6" s="188"/>
    </row>
    <row r="7" spans="1:35" ht="3" customHeight="1">
      <c r="A7" s="379"/>
      <c r="B7" s="128"/>
      <c r="C7" s="128"/>
      <c r="D7" s="186"/>
      <c r="E7" s="186"/>
      <c r="F7" s="186"/>
      <c r="G7" s="186"/>
      <c r="H7" s="186"/>
      <c r="I7" s="186"/>
      <c r="J7" s="186"/>
      <c r="K7" s="186"/>
      <c r="L7" s="186"/>
      <c r="M7" s="3"/>
      <c r="N7" s="3"/>
      <c r="O7" s="165"/>
      <c r="P7" s="164"/>
      <c r="Q7" s="164"/>
      <c r="S7" s="188"/>
      <c r="T7" s="188"/>
      <c r="U7" s="188"/>
      <c r="V7" s="188"/>
      <c r="W7" s="188"/>
      <c r="X7" s="188"/>
      <c r="Y7" s="70"/>
      <c r="Z7" s="70"/>
      <c r="AA7" s="70"/>
      <c r="AB7" s="70"/>
      <c r="AC7" s="70"/>
      <c r="AD7" s="188"/>
      <c r="AE7" s="188"/>
      <c r="AF7" s="188"/>
      <c r="AG7" s="188"/>
      <c r="AH7" s="188"/>
      <c r="AI7" s="188"/>
    </row>
    <row r="8" spans="1:35" ht="102.75" customHeight="1">
      <c r="A8" s="379"/>
      <c r="C8" s="831" t="str">
        <f>+'Introducerea datelor'!B116</f>
        <v>Rata mortalităţii  - Numărul de decese cauzate de TB (toate formele) pe an, la 100 000 persoane</v>
      </c>
      <c r="D8" s="831"/>
      <c r="E8" s="831"/>
      <c r="F8" s="550"/>
      <c r="G8" s="831"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H8" s="831"/>
      <c r="I8" s="831"/>
      <c r="J8" s="831"/>
      <c r="K8" s="831"/>
      <c r="L8" s="551"/>
      <c r="M8" s="830" t="str">
        <f>+'Introducerea datelor'!B120</f>
        <v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v>
      </c>
      <c r="N8" s="830"/>
      <c r="O8" s="830"/>
      <c r="P8" s="830"/>
      <c r="Q8" s="830"/>
      <c r="S8" s="188"/>
      <c r="T8" s="188"/>
      <c r="U8" s="188"/>
      <c r="V8" s="188"/>
      <c r="W8" s="188"/>
      <c r="X8" s="188"/>
      <c r="Y8" s="70"/>
      <c r="Z8" s="70"/>
      <c r="AA8" s="70"/>
      <c r="AB8" s="70"/>
      <c r="AC8" s="70"/>
      <c r="AD8" s="188"/>
      <c r="AE8" s="188"/>
      <c r="AF8" s="188"/>
      <c r="AG8" s="188"/>
      <c r="AH8" s="188"/>
      <c r="AI8" s="188"/>
    </row>
    <row r="9" spans="1:35" ht="102.75" customHeight="1">
      <c r="A9" s="379"/>
      <c r="B9" s="558" t="s">
        <v>388</v>
      </c>
      <c r="C9" s="824" t="s">
        <v>506</v>
      </c>
      <c r="D9" s="825"/>
      <c r="E9" s="826"/>
      <c r="F9" s="559" t="s">
        <v>389</v>
      </c>
      <c r="G9" s="824" t="s">
        <v>507</v>
      </c>
      <c r="H9" s="825"/>
      <c r="I9" s="825"/>
      <c r="J9" s="825"/>
      <c r="K9" s="826"/>
      <c r="L9" s="559" t="s">
        <v>390</v>
      </c>
      <c r="M9" s="824" t="s">
        <v>508</v>
      </c>
      <c r="N9" s="827"/>
      <c r="O9" s="827"/>
      <c r="P9" s="827"/>
      <c r="Q9" s="828"/>
      <c r="S9" s="470"/>
      <c r="T9" s="188"/>
      <c r="U9" s="188"/>
      <c r="V9" s="188"/>
      <c r="W9" s="188"/>
      <c r="X9" s="188"/>
      <c r="Y9" s="188"/>
      <c r="Z9" s="188"/>
      <c r="AA9" s="188"/>
      <c r="AB9" s="188"/>
      <c r="AC9" s="188"/>
      <c r="AD9" s="188"/>
      <c r="AE9" s="188"/>
      <c r="AF9" s="188"/>
      <c r="AG9" s="188"/>
      <c r="AH9" s="188"/>
      <c r="AI9" s="188"/>
    </row>
    <row r="10" spans="1:35" ht="18.75" customHeight="1">
      <c r="A10" s="379"/>
      <c r="B10" s="128"/>
      <c r="C10" s="128"/>
      <c r="D10" s="186"/>
      <c r="E10" s="186"/>
      <c r="F10" s="186"/>
      <c r="G10" s="186"/>
      <c r="H10" s="186"/>
      <c r="I10" s="186"/>
      <c r="J10" s="186"/>
      <c r="K10" s="186"/>
      <c r="L10" s="186"/>
      <c r="M10" s="3"/>
      <c r="N10" s="3"/>
      <c r="O10" s="165"/>
      <c r="P10" s="164"/>
      <c r="S10" s="188"/>
      <c r="T10" s="188"/>
      <c r="U10" s="188"/>
      <c r="V10" s="188"/>
      <c r="W10" s="188"/>
      <c r="X10" s="188"/>
      <c r="Y10" s="188"/>
      <c r="Z10" s="188"/>
      <c r="AA10" s="188"/>
      <c r="AB10" s="188"/>
      <c r="AC10" s="188"/>
      <c r="AD10" s="188"/>
      <c r="AE10" s="188"/>
      <c r="AF10" s="188"/>
      <c r="AG10" s="188"/>
      <c r="AH10" s="188"/>
      <c r="AI10" s="188"/>
    </row>
    <row r="11" spans="1:35" ht="18.75" customHeight="1">
      <c r="A11" s="379"/>
      <c r="B11" s="128"/>
      <c r="C11" s="128"/>
      <c r="D11" s="186"/>
      <c r="E11" s="186"/>
      <c r="F11" s="186"/>
      <c r="G11" s="186"/>
      <c r="H11" s="186"/>
      <c r="I11" s="186"/>
      <c r="J11" s="186"/>
      <c r="K11" s="186"/>
      <c r="L11" s="186"/>
      <c r="M11" s="3"/>
      <c r="N11" s="3"/>
      <c r="O11" s="165"/>
      <c r="P11" s="164"/>
      <c r="S11" s="188"/>
      <c r="T11" s="188"/>
      <c r="U11" s="188"/>
      <c r="V11" s="188"/>
      <c r="W11" s="188"/>
      <c r="X11" s="188"/>
      <c r="Y11" s="188"/>
      <c r="Z11" s="188"/>
      <c r="AA11" s="188"/>
      <c r="AB11" s="188"/>
      <c r="AC11" s="188"/>
      <c r="AD11" s="188"/>
      <c r="AE11" s="188"/>
      <c r="AF11" s="188"/>
      <c r="AG11" s="188"/>
      <c r="AH11" s="188"/>
      <c r="AI11" s="188"/>
    </row>
    <row r="12" spans="1:35" ht="18.75" customHeight="1">
      <c r="A12" s="379"/>
      <c r="B12" s="128"/>
      <c r="C12" s="128"/>
      <c r="D12" s="186"/>
      <c r="E12" s="186"/>
      <c r="F12" s="186"/>
      <c r="G12" s="186"/>
      <c r="H12" s="186"/>
      <c r="I12" s="186"/>
      <c r="J12" s="186"/>
      <c r="K12" s="186"/>
      <c r="L12" s="186"/>
      <c r="M12" s="3"/>
      <c r="N12" s="3"/>
      <c r="O12" s="165"/>
      <c r="P12" s="164"/>
      <c r="S12" s="188"/>
      <c r="T12" s="188"/>
      <c r="U12" s="188"/>
      <c r="V12" s="188"/>
      <c r="W12" s="188"/>
      <c r="X12" s="188"/>
      <c r="Y12" s="188"/>
      <c r="Z12" s="188"/>
      <c r="AA12" s="188"/>
      <c r="AB12" s="188"/>
      <c r="AC12" s="188"/>
      <c r="AD12" s="188"/>
      <c r="AE12" s="188"/>
      <c r="AF12" s="188"/>
      <c r="AG12" s="188"/>
      <c r="AH12" s="188"/>
      <c r="AI12" s="188"/>
    </row>
    <row r="13" spans="1:35" ht="18.75" customHeight="1">
      <c r="A13" s="379"/>
      <c r="B13" s="128"/>
      <c r="C13" s="128"/>
      <c r="D13" s="186"/>
      <c r="E13" s="186"/>
      <c r="F13" s="186"/>
      <c r="G13" s="186"/>
      <c r="H13" s="186"/>
      <c r="I13" s="186"/>
      <c r="J13" s="186"/>
      <c r="K13" s="186"/>
      <c r="L13" s="186"/>
      <c r="M13" s="3"/>
      <c r="N13" s="3"/>
      <c r="O13" s="165"/>
      <c r="P13" s="164"/>
      <c r="S13" s="188"/>
      <c r="T13" s="188"/>
      <c r="U13" s="188"/>
      <c r="V13" s="188"/>
      <c r="W13" s="188"/>
      <c r="X13" s="188"/>
      <c r="Y13" s="188"/>
      <c r="Z13" s="188"/>
      <c r="AA13" s="188"/>
      <c r="AB13" s="188"/>
      <c r="AC13" s="188"/>
      <c r="AD13" s="188"/>
      <c r="AE13" s="188"/>
      <c r="AF13" s="188"/>
      <c r="AG13" s="188"/>
      <c r="AH13" s="188"/>
      <c r="AI13" s="188"/>
    </row>
    <row r="14" spans="1:35" ht="18.75" customHeight="1">
      <c r="A14" s="379"/>
      <c r="B14" s="128"/>
      <c r="C14" s="128"/>
      <c r="D14" s="186"/>
      <c r="E14" s="186"/>
      <c r="F14" s="186"/>
      <c r="G14" s="186"/>
      <c r="H14" s="186"/>
      <c r="I14" s="186"/>
      <c r="J14" s="186"/>
      <c r="K14" s="186"/>
      <c r="L14" s="186"/>
      <c r="M14" s="3"/>
      <c r="N14" s="3"/>
      <c r="O14" s="165"/>
      <c r="P14" s="164"/>
      <c r="S14" s="188"/>
      <c r="T14" s="188"/>
      <c r="U14" s="188"/>
      <c r="V14" s="188"/>
      <c r="W14" s="188"/>
      <c r="X14" s="188"/>
      <c r="Y14" s="188"/>
      <c r="Z14" s="188"/>
      <c r="AA14" s="188"/>
      <c r="AB14" s="188"/>
      <c r="AC14" s="188"/>
      <c r="AD14" s="188"/>
      <c r="AE14" s="188"/>
      <c r="AF14" s="188"/>
      <c r="AG14" s="188"/>
      <c r="AH14" s="188"/>
      <c r="AI14" s="188"/>
    </row>
    <row r="15" spans="1:35" ht="18.75" customHeight="1">
      <c r="A15" s="379"/>
      <c r="B15" s="128"/>
      <c r="C15" s="128"/>
      <c r="D15" s="186"/>
      <c r="E15" s="186"/>
      <c r="F15" s="186"/>
      <c r="G15" s="186"/>
      <c r="H15" s="186"/>
      <c r="I15" s="186"/>
      <c r="J15" s="186"/>
      <c r="K15" s="186"/>
      <c r="L15" s="186"/>
      <c r="M15" s="3"/>
      <c r="N15" s="3"/>
      <c r="O15" s="165"/>
      <c r="P15" s="164"/>
      <c r="S15" s="188"/>
      <c r="T15" s="188"/>
      <c r="U15" s="188"/>
      <c r="V15" s="188"/>
      <c r="W15" s="188"/>
      <c r="X15" s="188"/>
      <c r="Y15" s="188"/>
      <c r="Z15" s="188"/>
      <c r="AA15" s="188"/>
      <c r="AB15" s="188"/>
      <c r="AC15" s="188"/>
      <c r="AD15" s="188"/>
      <c r="AE15" s="188"/>
      <c r="AF15" s="188"/>
      <c r="AG15" s="188"/>
      <c r="AH15" s="188"/>
      <c r="AI15" s="188"/>
    </row>
    <row r="16" spans="1:35" ht="18.75" customHeight="1">
      <c r="A16" s="379"/>
      <c r="B16" s="128"/>
      <c r="C16" s="128"/>
      <c r="D16" s="186"/>
      <c r="E16" s="186"/>
      <c r="F16" s="186"/>
      <c r="G16" s="186"/>
      <c r="H16" s="186"/>
      <c r="I16" s="186"/>
      <c r="J16" s="186"/>
      <c r="K16" s="186"/>
      <c r="L16" s="186"/>
      <c r="M16" s="3"/>
      <c r="N16" s="3"/>
      <c r="O16" s="165"/>
      <c r="P16" s="164"/>
      <c r="S16" s="188"/>
      <c r="T16" s="188"/>
      <c r="U16" s="188"/>
      <c r="V16" s="188"/>
      <c r="W16" s="188"/>
      <c r="X16" s="188"/>
      <c r="Y16" s="188"/>
      <c r="Z16" s="188"/>
      <c r="AA16" s="188"/>
      <c r="AB16" s="188"/>
      <c r="AC16" s="188"/>
      <c r="AD16" s="188"/>
      <c r="AE16" s="188"/>
      <c r="AF16" s="188"/>
      <c r="AG16" s="188"/>
      <c r="AH16" s="188"/>
      <c r="AI16" s="188"/>
    </row>
    <row r="17" spans="1:35" ht="17.25" customHeight="1">
      <c r="A17" s="379"/>
      <c r="B17" s="128"/>
      <c r="C17" s="128"/>
      <c r="D17" s="186"/>
      <c r="E17" s="186"/>
      <c r="F17" s="186"/>
      <c r="G17" s="186"/>
      <c r="H17" s="186"/>
      <c r="I17" s="186"/>
      <c r="J17" s="186"/>
      <c r="K17" s="186"/>
      <c r="L17" s="186"/>
      <c r="M17" s="3"/>
      <c r="N17" s="3"/>
      <c r="O17" s="165"/>
      <c r="P17" s="164"/>
      <c r="S17" s="188"/>
      <c r="T17" s="188"/>
      <c r="U17" s="188"/>
      <c r="V17" s="188"/>
      <c r="W17" s="188"/>
      <c r="X17" s="188"/>
      <c r="Y17" s="188"/>
      <c r="Z17" s="188"/>
      <c r="AA17" s="188"/>
      <c r="AB17" s="188"/>
      <c r="AC17" s="188"/>
      <c r="AD17" s="188"/>
      <c r="AE17" s="188"/>
      <c r="AF17" s="188"/>
      <c r="AG17" s="188"/>
      <c r="AH17" s="188"/>
      <c r="AI17" s="188"/>
    </row>
    <row r="18" spans="1:35" ht="6" customHeight="1">
      <c r="A18" s="379"/>
      <c r="B18" s="132"/>
      <c r="C18" s="128"/>
      <c r="D18" s="129"/>
      <c r="E18" s="854"/>
      <c r="F18" s="854"/>
      <c r="G18" s="854"/>
      <c r="H18" s="854"/>
      <c r="I18" s="854"/>
      <c r="J18" s="854"/>
      <c r="K18" s="854"/>
      <c r="L18" s="3"/>
      <c r="M18" s="3"/>
      <c r="N18" s="3"/>
      <c r="O18" s="3"/>
      <c r="P18" s="3"/>
      <c r="S18" s="188"/>
      <c r="T18" s="188"/>
      <c r="U18" s="188"/>
      <c r="V18" s="188"/>
      <c r="W18" s="188"/>
      <c r="X18" s="188"/>
      <c r="Y18" s="188"/>
      <c r="Z18" s="188"/>
      <c r="AA18" s="188"/>
      <c r="AB18" s="188"/>
      <c r="AC18" s="188"/>
      <c r="AD18" s="188"/>
      <c r="AE18" s="188"/>
      <c r="AF18" s="188"/>
      <c r="AG18" s="188"/>
      <c r="AH18" s="188"/>
      <c r="AI18" s="188"/>
    </row>
    <row r="19" spans="1:35" ht="24" customHeight="1">
      <c r="A19" s="379"/>
      <c r="B19" s="855" t="s">
        <v>391</v>
      </c>
      <c r="C19" s="855"/>
      <c r="D19" s="855"/>
      <c r="E19" s="138" t="s">
        <v>366</v>
      </c>
      <c r="F19" s="138" t="s">
        <v>367</v>
      </c>
      <c r="G19" s="862" t="s">
        <v>249</v>
      </c>
      <c r="H19" s="863"/>
      <c r="I19" s="864" t="s">
        <v>250</v>
      </c>
      <c r="J19" s="865"/>
      <c r="K19" s="270" t="s">
        <v>251</v>
      </c>
      <c r="L19" s="859" t="s">
        <v>392</v>
      </c>
      <c r="M19" s="860"/>
      <c r="N19" s="860"/>
      <c r="O19" s="860"/>
      <c r="P19" s="860"/>
      <c r="Q19" s="861"/>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90" customHeight="1">
      <c r="A20" s="543" t="s">
        <v>421</v>
      </c>
      <c r="B20" s="840" t="str">
        <f>+'Introducerea datelor'!B116</f>
        <v>Rata mortalităţii  - Numărul de decese cauzate de TB (toate formele) pe an, la 100 000 persoane</v>
      </c>
      <c r="C20" s="840"/>
      <c r="D20" s="840"/>
      <c r="E20" s="428">
        <f ca="1">OFFSET('Introducerea datelor'!$G$115,1,RIGHT('Introducerea datelor'!$C$16,LEN('Introducerea datelor'!$C$16)-1),1,1)</f>
        <v>10</v>
      </c>
      <c r="F20" s="546">
        <f ca="1">OFFSET('Introducerea datelor'!$G$115,2,RIGHT('Introducerea datelor'!$C$16,LEN('Introducerea datelor'!$C$16)-1),1,1)</f>
        <v>10.130000000000001</v>
      </c>
      <c r="G20" s="837">
        <f ca="1">+IF(ISERROR(F20/E20),0,E20/F20)</f>
        <v>0.98716683119447179</v>
      </c>
      <c r="H20" s="838"/>
      <c r="I20" s="838"/>
      <c r="J20" s="838"/>
      <c r="K20" s="839"/>
      <c r="L20" s="846" t="str">
        <f>C9</f>
        <v xml:space="preserve">Date finale pentru anul 2015: 408 persoane au decedat de tuberculoză în anul 2015 (10,13 decese la 100 000 persoane). 
Notă - Se constată o micșorare cu 19.7% a ratei de mortalitate față de datele anului 2014 (508 cazuri de deces cauzate de tuberculoză) și cu 10.5% față de datele anului 2013 (456 cazuri de deces cauzate de tuberculoză). </v>
      </c>
      <c r="M20" s="847"/>
      <c r="N20" s="847"/>
      <c r="O20" s="847"/>
      <c r="P20" s="847"/>
      <c r="Q20" s="848"/>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08.75" customHeight="1">
      <c r="A21" s="543" t="s">
        <v>462</v>
      </c>
      <c r="B21" s="840"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21" s="840"/>
      <c r="D21" s="840"/>
      <c r="E21" s="428">
        <f ca="1">OFFSET('Introducerea datelor'!$G$115,3,RIGHT('Introducerea datelor'!$C$16,LEN('Introducerea datelor'!$C$16)-1),1,1)</f>
        <v>22</v>
      </c>
      <c r="F21" s="428">
        <f ca="1">OFFSET('Introducerea datelor'!$G$115,4,RIGHT('Introducerea datelor'!$C$16,LEN('Introducerea datelor'!$C$16)-1),1,1)</f>
        <v>25.3</v>
      </c>
      <c r="G21" s="837">
        <f ca="1">+IF(ISERROR(E21/F21),0,E21/F21)</f>
        <v>0.86956521739130432</v>
      </c>
      <c r="H21" s="838"/>
      <c r="I21" s="838"/>
      <c r="J21" s="838"/>
      <c r="K21" s="839"/>
      <c r="L21" s="846" t="str">
        <f>G9</f>
        <v xml:space="preserve">Date finale pentru anul 2015: 338 cazuri noi de tuberculoză cu cultura pozitivă, testate la sensibilitate pentru preparatele de linia I, din 1 336 investigate în 2015, au fost diagnosticate cu MDR.
Notă - Se constată menținerea unei rate înalte a TB MDR printre cazurile noi, situație caracteristică ultimilor ani.                                                                                                                                                                                                                                                                 </v>
      </c>
      <c r="M21" s="847"/>
      <c r="N21" s="847"/>
      <c r="O21" s="847"/>
      <c r="P21" s="847"/>
      <c r="Q21" s="848"/>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117" customHeight="1">
      <c r="A22" s="418" t="s">
        <v>441</v>
      </c>
      <c r="B22" s="840" t="str">
        <f>+'Introducerea datelor'!B120</f>
        <v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v>
      </c>
      <c r="C22" s="840"/>
      <c r="D22" s="840"/>
      <c r="E22" s="428">
        <f ca="1">OFFSET('Introducerea datelor'!$G$115,5,RIGHT('Introducerea datelor'!$C$16,LEN('Introducerea datelor'!$C$16)-1),1,1)</f>
        <v>59</v>
      </c>
      <c r="F22" s="428">
        <f ca="1">OFFSET('Introducerea datelor'!$G$115,6,RIGHT('Introducerea datelor'!$C$16,LEN('Introducerea datelor'!$C$16)-1),1,1)</f>
        <v>65.5</v>
      </c>
      <c r="G22" s="837">
        <f ca="1">+IF(ISERROR(E22/F22),0,E22/F22)</f>
        <v>0.9007633587786259</v>
      </c>
      <c r="H22" s="838"/>
      <c r="I22" s="838"/>
      <c r="J22" s="838"/>
      <c r="K22" s="839"/>
      <c r="L22" s="846" t="str">
        <f>M9</f>
        <v xml:space="preserve">Date finale pentru anul 2015: 514 cazuri de tuberculoză cu cultura pozitivă, anterior tratate, testate la sensibilitate pentru preparatele de linia I, din 785 investigate în 2015, au fost diagnosticate cu MDR.
Notă - Se constată menținerea unei rate înalte a TB MDR printre cazurile anterior tratate, situație caracteristică ultimilor ani.  </v>
      </c>
      <c r="M22" s="847"/>
      <c r="N22" s="847"/>
      <c r="O22" s="847"/>
      <c r="P22" s="847"/>
      <c r="Q22" s="848"/>
      <c r="S22" s="68"/>
      <c r="T22" s="66" t="e">
        <f t="shared" ref="T22:W34" si="0">IF($K20&gt;T$19,IF($K20&lt;=T$20,$K20,NA()),NA())</f>
        <v>#N/A</v>
      </c>
      <c r="U22" s="66" t="e">
        <f t="shared" si="0"/>
        <v>#N/A</v>
      </c>
      <c r="V22" s="66" t="e">
        <f t="shared" si="0"/>
        <v>#N/A</v>
      </c>
      <c r="W22" s="66" t="e">
        <f t="shared" si="0"/>
        <v>#N/A</v>
      </c>
      <c r="X22" s="66" t="e">
        <f>IF($K20&gt;X$19,IF($K20&lt;=X$20,1,NA()),NA())</f>
        <v>#N/A</v>
      </c>
      <c r="Y22" s="70"/>
      <c r="Z22" s="161"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38.75" customHeight="1">
      <c r="A23" s="418" t="s">
        <v>429</v>
      </c>
      <c r="B23" s="840" t="str">
        <f>+'Introducerea datelor'!B122</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23" s="840"/>
      <c r="D23" s="840"/>
      <c r="E23" s="428">
        <f ca="1">OFFSET('Introducerea datelor'!$G$115,7,RIGHT('Introducerea datelor'!$C$16,LEN('Introducerea datelor'!$C$16)-1),1,1)</f>
        <v>55</v>
      </c>
      <c r="F23" s="428">
        <f ca="1">OFFSET('Introducerea datelor'!$G$115,8,RIGHT('Introducerea datelor'!$C$16,LEN('Introducerea datelor'!$C$16)-1),1,1)</f>
        <v>59</v>
      </c>
      <c r="G23" s="837">
        <f ca="1">+IF(ISERROR(F23/E23),0,F23/E23)</f>
        <v>1.0727272727272728</v>
      </c>
      <c r="H23" s="838"/>
      <c r="I23" s="838"/>
      <c r="J23" s="838"/>
      <c r="K23" s="839"/>
      <c r="L23" s="852" t="s">
        <v>496</v>
      </c>
      <c r="M23" s="847"/>
      <c r="N23" s="847"/>
      <c r="O23" s="847"/>
      <c r="P23" s="847"/>
      <c r="Q23" s="848"/>
      <c r="S23" s="68"/>
      <c r="T23" s="66" t="e">
        <f t="shared" si="0"/>
        <v>#N/A</v>
      </c>
      <c r="U23" s="66" t="e">
        <f t="shared" si="0"/>
        <v>#N/A</v>
      </c>
      <c r="V23" s="66" t="e">
        <f t="shared" si="0"/>
        <v>#N/A</v>
      </c>
      <c r="W23" s="66" t="e">
        <f t="shared" si="0"/>
        <v>#N/A</v>
      </c>
      <c r="X23" s="66" t="e">
        <f>IF($K21&gt;X$19,IF($K21&lt;=X$20,1,1),NA())</f>
        <v>#N/A</v>
      </c>
      <c r="Y23" s="70"/>
      <c r="Z23" s="161"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126" customHeight="1">
      <c r="A24" s="418" t="s">
        <v>428</v>
      </c>
      <c r="B24" s="840" t="str">
        <f>+'Introducerea datelor'!B124</f>
        <v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v>
      </c>
      <c r="C24" s="840"/>
      <c r="D24" s="840"/>
      <c r="E24" s="541">
        <f ca="1">OFFSET('Introducerea datelor'!$G$115,9,RIGHT('Introducerea datelor'!$C$16,LEN('Introducerea datelor'!$C$16)-1),1,1)</f>
        <v>107.2</v>
      </c>
      <c r="F24" s="540">
        <f ca="1">OFFSET('Introducerea datelor'!$G$115,10,RIGHT('Introducerea datelor'!$C$16,LEN('Introducerea datelor'!$C$16)-1),1,1)</f>
        <v>89.5</v>
      </c>
      <c r="G24" s="837">
        <f ca="1">+IF(ISERROR(F24/E24),0,F24/E24)</f>
        <v>0.83488805970149249</v>
      </c>
      <c r="H24" s="838"/>
      <c r="I24" s="838"/>
      <c r="J24" s="838"/>
      <c r="K24" s="839"/>
      <c r="L24" s="853" t="s">
        <v>509</v>
      </c>
      <c r="M24" s="847"/>
      <c r="N24" s="847"/>
      <c r="O24" s="847"/>
      <c r="P24" s="847"/>
      <c r="Q24" s="848"/>
      <c r="S24" s="68"/>
      <c r="T24" s="66" t="e">
        <f t="shared" si="0"/>
        <v>#N/A</v>
      </c>
      <c r="U24" s="66" t="e">
        <f t="shared" si="0"/>
        <v>#N/A</v>
      </c>
      <c r="V24" s="66" t="e">
        <f t="shared" si="0"/>
        <v>#N/A</v>
      </c>
      <c r="W24" s="66" t="e">
        <f t="shared" si="0"/>
        <v>#N/A</v>
      </c>
      <c r="X24" s="66" t="e">
        <f t="shared" ref="X24:X34" si="2">IF($K22&gt;X$19,IF($K22&lt;=X$20,1,NA()),NA())</f>
        <v>#N/A</v>
      </c>
      <c r="Y24" s="70"/>
      <c r="Z24" s="161"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89.25" customHeight="1">
      <c r="A25" s="418" t="s">
        <v>430</v>
      </c>
      <c r="B25" s="834" t="str">
        <f>+'Introducerea datelor'!B126</f>
        <v>Rata de notificare a cazurilor de tuberculoză (bacteriologic confirmate) per 100 000 populație - Cazurile de tuberculoză (bacteriologic confirmate, cazuri noi și recidive) notificate către autoritatea națională într-o perioadă anumită de timp per 100 000 populație</v>
      </c>
      <c r="C25" s="835"/>
      <c r="D25" s="836"/>
      <c r="E25" s="428">
        <f ca="1">OFFSET('Introducerea datelor'!$G$115,11,RIGHT('Introducerea datelor'!$C$16,LEN('Introducerea datelor'!$C$16)-1),1,1)</f>
        <v>55.8</v>
      </c>
      <c r="F25" s="428">
        <f ca="1">OFFSET('Introducerea datelor'!$G$115,12,RIGHT('Introducerea datelor'!$C$16,LEN('Introducerea datelor'!$C$16)-1),1,1)</f>
        <v>53.5</v>
      </c>
      <c r="G25" s="837">
        <f t="shared" ref="G25" ca="1" si="3">+IF(ISERROR(F25/E25),0,F25/E25)</f>
        <v>0.95878136200716846</v>
      </c>
      <c r="H25" s="838"/>
      <c r="I25" s="838"/>
      <c r="J25" s="838"/>
      <c r="K25" s="839"/>
      <c r="L25" s="853" t="s">
        <v>494</v>
      </c>
      <c r="M25" s="847"/>
      <c r="N25" s="847"/>
      <c r="O25" s="847"/>
      <c r="P25" s="847"/>
      <c r="Q25" s="848"/>
      <c r="S25" s="68"/>
      <c r="T25" s="66"/>
      <c r="U25" s="66"/>
      <c r="V25" s="66"/>
      <c r="W25" s="66"/>
      <c r="X25" s="66"/>
      <c r="Y25" s="70"/>
      <c r="Z25" s="70"/>
      <c r="AA25" s="70"/>
      <c r="AB25" s="70"/>
      <c r="AC25" s="70"/>
      <c r="AD25" s="70"/>
      <c r="AE25" s="70"/>
      <c r="AF25" s="70"/>
      <c r="AG25" s="70"/>
      <c r="AH25" s="70"/>
      <c r="AI25" s="70"/>
    </row>
    <row r="26" spans="1:35" ht="102" customHeight="1">
      <c r="A26" s="418" t="s">
        <v>463</v>
      </c>
      <c r="B26" s="840" t="str">
        <f>+'Introducerea datelor'!B128</f>
        <v>Rata succesului tratamentului cazurilor noi - Numărul şi procentul cazurilor noi de tuberculoză confirmate bacteriologic, tratate cu succes (vindecate și cu tratamente încheiate), din numărul total de cazuri noi cu tuberculoză confirmate bacteriologic, înregistrate într-un an</v>
      </c>
      <c r="C26" s="840"/>
      <c r="D26" s="840"/>
      <c r="E26" s="428">
        <f ca="1">OFFSET('Introducerea datelor'!$G$115,13,RIGHT('Introducerea datelor'!$C$16,LEN('Introducerea datelor'!$C$16)-1),1,1)</f>
        <v>77</v>
      </c>
      <c r="F26" s="429">
        <f ca="1">OFFSET('Introducerea datelor'!$G$115,14,RIGHT('Introducerea datelor'!$C$16,LEN('Introducerea datelor'!$C$16)-1),1,1)</f>
        <v>79.900000000000006</v>
      </c>
      <c r="G26" s="837">
        <f ca="1">+IF(ISERROR(F26/E26),0,F26/E26)</f>
        <v>1.0376623376623377</v>
      </c>
      <c r="H26" s="838"/>
      <c r="I26" s="838"/>
      <c r="J26" s="838"/>
      <c r="K26" s="839"/>
      <c r="L26" s="849" t="s">
        <v>495</v>
      </c>
      <c r="M26" s="850"/>
      <c r="N26" s="850"/>
      <c r="O26" s="850"/>
      <c r="P26" s="850"/>
      <c r="Q26" s="850"/>
      <c r="S26" s="68"/>
      <c r="T26" s="66" t="e">
        <f>IF($K24&gt;T$19,IF($K24&lt;=T$20,$K24,NA()),NA())</f>
        <v>#N/A</v>
      </c>
      <c r="U26" s="66" t="e">
        <f>IF($K24&gt;U$19,IF($K24&lt;=U$20,$K24,NA()),NA())</f>
        <v>#N/A</v>
      </c>
      <c r="V26" s="66" t="e">
        <f>IF($K24&gt;V$19,IF($K24&lt;=V$20,$K24,NA()),NA())</f>
        <v>#N/A</v>
      </c>
      <c r="W26" s="66" t="e">
        <f>IF($K24&gt;W$19,IF($K24&lt;=W$20,$K24,NA()),NA())</f>
        <v>#N/A</v>
      </c>
      <c r="X26" s="66" t="e">
        <f>IF($K24&gt;X$19,IF($K24&lt;=X$20,1,NA()),NA())</f>
        <v>#N/A</v>
      </c>
      <c r="Y26" s="70"/>
      <c r="Z26" s="70"/>
      <c r="AA26" s="70"/>
      <c r="AB26" s="70"/>
      <c r="AC26" s="70"/>
      <c r="AD26" s="70"/>
      <c r="AE26" s="70"/>
      <c r="AF26" s="70"/>
      <c r="AG26" s="70"/>
      <c r="AH26" s="70"/>
      <c r="AI26" s="70"/>
    </row>
    <row r="27" spans="1:35" ht="198" customHeight="1">
      <c r="A27" s="418" t="s">
        <v>444</v>
      </c>
      <c r="B27" s="834" t="str">
        <f>+'Introducerea datelor'!B130</f>
        <v>Numărul și procentul cazurilor retratamente de tuberculoză, care efectuează teste de diagnostic al sensibilității la preparatele de linia I (doar cazurile TB confirmate bacteriologic) - Numărul cazurilor retratamente de tuberculoză cu rezultatele testelor la sensibilitate pentru preparatele isoniazid și rifampicin, înregistrate în perioada de raportare, din numărul total de cazuri retratamente de tuberculoză confirmate bacteriologic, înregistrate în aceeași perioadă</v>
      </c>
      <c r="C27" s="835"/>
      <c r="D27" s="836"/>
      <c r="E27" s="428">
        <f ca="1">OFFSET('Introducerea datelor'!$G$115,15,RIGHT('Introducerea datelor'!$C$16,LEN('Introducerea datelor'!$C$16)-1),1,1)</f>
        <v>95</v>
      </c>
      <c r="F27" s="428">
        <f ca="1">OFFSET('Introducerea datelor'!$G$115,16,RIGHT('Introducerea datelor'!$C$16,LEN('Introducerea datelor'!$C$16)-1),1,1)</f>
        <v>74.2</v>
      </c>
      <c r="G27" s="837">
        <f ca="1">+IF(ISERROR(F27/E27),0,F27/E27)</f>
        <v>0.78105263157894744</v>
      </c>
      <c r="H27" s="838"/>
      <c r="I27" s="838"/>
      <c r="J27" s="838"/>
      <c r="K27" s="839"/>
      <c r="L27" s="849" t="s">
        <v>510</v>
      </c>
      <c r="M27" s="850"/>
      <c r="N27" s="850"/>
      <c r="O27" s="850"/>
      <c r="P27" s="850"/>
      <c r="Q27" s="850"/>
      <c r="S27" s="68"/>
      <c r="T27" s="66" t="e">
        <f>IF(#REF!&gt;T$19,IF(#REF!&lt;=T$20,#REF!,NA()),NA())</f>
        <v>#REF!</v>
      </c>
      <c r="U27" s="66" t="e">
        <f>IF(#REF!&gt;U$19,IF(#REF!&lt;=U$20,#REF!,NA()),NA())</f>
        <v>#REF!</v>
      </c>
      <c r="V27" s="66" t="e">
        <f>IF(#REF!&gt;V$19,IF(#REF!&lt;=V$20,#REF!,NA()),NA())</f>
        <v>#REF!</v>
      </c>
      <c r="W27" s="66" t="e">
        <f>IF(#REF!&gt;W$19,IF(#REF!&lt;=W$20,#REF!,NA()),NA())</f>
        <v>#REF!</v>
      </c>
      <c r="X27" s="66" t="e">
        <f>IF(#REF!&gt;X$19,IF(#REF!&lt;=X$20,1,NA()),NA())</f>
        <v>#REF!</v>
      </c>
      <c r="Y27" s="70"/>
      <c r="Z27" s="70"/>
      <c r="AA27" s="70"/>
      <c r="AB27" s="70"/>
      <c r="AC27" s="70"/>
      <c r="AD27" s="70"/>
      <c r="AE27" s="70"/>
      <c r="AF27" s="70"/>
      <c r="AG27" s="70"/>
      <c r="AH27" s="70"/>
      <c r="AI27" s="70"/>
    </row>
    <row r="28" spans="1:35" ht="99.75" customHeight="1">
      <c r="A28" s="418" t="s">
        <v>469</v>
      </c>
      <c r="B28" s="834" t="str">
        <f>+'Introducerea datelor'!B132</f>
        <v>Numărul de cazuri de TB DR (RR-TB și/sau MDR-TB), confirmate bacteriologic, notificate</v>
      </c>
      <c r="C28" s="835"/>
      <c r="D28" s="836"/>
      <c r="E28" s="539">
        <f ca="1">OFFSET('Introducerea datelor'!$G$115,17,RIGHT('Introducerea datelor'!$C$16,LEN('Introducerea datelor'!$C$16)-1),1,1)</f>
        <v>456</v>
      </c>
      <c r="F28" s="539">
        <f ca="1">OFFSET('Introducerea datelor'!$G$115,18,RIGHT('Introducerea datelor'!$C$16,LEN('Introducerea datelor'!$C$16)-1),1,1)</f>
        <v>320</v>
      </c>
      <c r="G28" s="841">
        <f ca="1">+IF(ISERROR(F28/E28),0,F28/E28)</f>
        <v>0.70175438596491224</v>
      </c>
      <c r="H28" s="842"/>
      <c r="I28" s="842"/>
      <c r="J28" s="842"/>
      <c r="K28" s="843"/>
      <c r="L28" s="849" t="s">
        <v>511</v>
      </c>
      <c r="M28" s="850"/>
      <c r="N28" s="850"/>
      <c r="O28" s="850"/>
      <c r="P28" s="850"/>
      <c r="Q28" s="850"/>
      <c r="S28" s="68"/>
      <c r="T28" s="66" t="e">
        <f t="shared" si="0"/>
        <v>#N/A</v>
      </c>
      <c r="U28" s="66" t="e">
        <f t="shared" si="0"/>
        <v>#N/A</v>
      </c>
      <c r="V28" s="66" t="e">
        <f t="shared" si="0"/>
        <v>#N/A</v>
      </c>
      <c r="W28" s="66" t="e">
        <f t="shared" si="0"/>
        <v>#N/A</v>
      </c>
      <c r="X28" s="66" t="e">
        <f t="shared" si="2"/>
        <v>#N/A</v>
      </c>
      <c r="Y28" s="70"/>
      <c r="Z28" s="70"/>
      <c r="AA28" s="70"/>
      <c r="AB28" s="70"/>
      <c r="AC28" s="70"/>
      <c r="AD28" s="70"/>
      <c r="AE28" s="70"/>
      <c r="AF28" s="70"/>
      <c r="AG28" s="70"/>
      <c r="AH28" s="70"/>
      <c r="AI28" s="70"/>
    </row>
    <row r="29" spans="1:35" ht="124.5" customHeight="1">
      <c r="A29" s="418" t="s">
        <v>448</v>
      </c>
      <c r="B29" s="834" t="str">
        <f>+'Introducerea datelor'!B134</f>
        <v xml:space="preserve">Numărul cazurilor cu tuberculoză drog-rezistentă (RR-TB și/sau MDR-TB), confirmate bacteriologic, care au demarat tratamentul DOTS-Plus în perioada raportată                 </v>
      </c>
      <c r="C29" s="835"/>
      <c r="D29" s="836"/>
      <c r="E29" s="539">
        <f ca="1">OFFSET('Introducerea datelor'!$G$115,19,RIGHT('Introducerea datelor'!$C$16,LEN('Introducerea datelor'!$C$16)-1),1,1)</f>
        <v>390</v>
      </c>
      <c r="F29" s="539">
        <f ca="1">OFFSET('Introducerea datelor'!$G$115,20,RIGHT('Introducerea datelor'!$C$16,LEN('Introducerea datelor'!$C$16)-1),1,1)</f>
        <v>528</v>
      </c>
      <c r="G29" s="841">
        <f t="shared" ref="G29" ca="1" si="4">+IF(ISERROR(F29/E29),0,F29/E29)</f>
        <v>1.3538461538461539</v>
      </c>
      <c r="H29" s="842"/>
      <c r="I29" s="842"/>
      <c r="J29" s="842"/>
      <c r="K29" s="843"/>
      <c r="L29" s="849" t="s">
        <v>512</v>
      </c>
      <c r="M29" s="850"/>
      <c r="N29" s="850"/>
      <c r="O29" s="850"/>
      <c r="P29" s="850"/>
      <c r="Q29" s="850"/>
      <c r="S29" s="68"/>
      <c r="T29" s="66"/>
      <c r="U29" s="66"/>
      <c r="V29" s="66"/>
      <c r="W29" s="66"/>
      <c r="X29" s="66"/>
      <c r="Y29" s="70"/>
      <c r="Z29" s="70"/>
      <c r="AA29" s="70"/>
      <c r="AB29" s="70"/>
      <c r="AC29" s="70"/>
      <c r="AD29" s="70"/>
      <c r="AE29" s="70"/>
      <c r="AF29" s="70"/>
      <c r="AG29" s="70"/>
      <c r="AH29" s="70"/>
      <c r="AI29" s="70"/>
    </row>
    <row r="30" spans="1:35" ht="303" customHeight="1">
      <c r="A30" s="418" t="s">
        <v>449</v>
      </c>
      <c r="B30" s="834" t="str">
        <f>+'Introducerea datelor'!B136</f>
        <v xml:space="preserve">Rezultatul interimar de abandon al tratamentului cazurilor MDR-TB: numărul și procentul pacienţilor cu tuberculoză drog-rezistentă (RR-TB și/sau MDR-TB) care au întrerupt tratamentul DOTS-Plus către luna a 6 de la demararea acestuia   </v>
      </c>
      <c r="C30" s="835"/>
      <c r="D30" s="836"/>
      <c r="E30" s="428">
        <f ca="1">OFFSET('Introducerea datelor'!$G$115,21,RIGHT('Introducerea datelor'!$C$16,LEN('Introducerea datelor'!$C$16)-1),1,1)</f>
        <v>6.3</v>
      </c>
      <c r="F30" s="428">
        <f ca="1">OFFSET('Introducerea datelor'!$G$115,22,RIGHT('Introducerea datelor'!$C$16,LEN('Introducerea datelor'!$C$16)-1),1,1)</f>
        <v>11.4</v>
      </c>
      <c r="G30" s="841">
        <f ca="1">+IF(ISERROR(E30/F30),0,E30/F30)</f>
        <v>0.55263157894736836</v>
      </c>
      <c r="H30" s="842"/>
      <c r="I30" s="842"/>
      <c r="J30" s="842"/>
      <c r="K30" s="843"/>
      <c r="L30" s="849" t="s">
        <v>502</v>
      </c>
      <c r="M30" s="850"/>
      <c r="N30" s="850"/>
      <c r="O30" s="850"/>
      <c r="P30" s="850"/>
      <c r="Q30" s="850"/>
      <c r="S30" s="68"/>
      <c r="T30" s="66"/>
      <c r="U30" s="66"/>
      <c r="V30" s="66"/>
      <c r="W30" s="66"/>
      <c r="X30" s="66"/>
      <c r="Y30" s="70"/>
      <c r="Z30" s="70"/>
      <c r="AA30" s="70"/>
      <c r="AB30" s="70"/>
      <c r="AC30" s="70"/>
      <c r="AD30" s="70"/>
      <c r="AE30" s="70"/>
      <c r="AF30" s="70"/>
      <c r="AG30" s="70"/>
      <c r="AH30" s="70"/>
      <c r="AI30" s="70"/>
    </row>
    <row r="31" spans="1:35" ht="22.5" customHeight="1">
      <c r="A31" s="379"/>
      <c r="B31" s="833"/>
      <c r="C31" s="833"/>
      <c r="D31" s="833"/>
      <c r="E31" s="833"/>
      <c r="F31" s="832"/>
      <c r="G31" s="832"/>
      <c r="H31" s="832"/>
      <c r="I31" s="832"/>
      <c r="J31" s="832"/>
      <c r="K31" s="832"/>
      <c r="L31" s="851"/>
      <c r="M31" s="851"/>
      <c r="N31" s="851"/>
      <c r="O31" s="851"/>
      <c r="P31" s="851"/>
      <c r="Q31" s="500"/>
      <c r="S31" s="68"/>
      <c r="T31" s="66" t="e">
        <f>IF($K28&gt;T$19,IF($K28&lt;=T$20,$K28,NA()),NA())</f>
        <v>#N/A</v>
      </c>
      <c r="U31" s="66" t="e">
        <f>IF($K28&gt;U$19,IF($K28&lt;=U$20,$K28,NA()),NA())</f>
        <v>#N/A</v>
      </c>
      <c r="V31" s="66" t="e">
        <f>IF($K28&gt;V$19,IF($K28&lt;=V$20,$K28,NA()),NA())</f>
        <v>#N/A</v>
      </c>
      <c r="W31" s="66" t="e">
        <f>IF($K28&gt;W$19,IF($K28&lt;=W$20,$K28,NA()),NA())</f>
        <v>#N/A</v>
      </c>
      <c r="X31" s="66" t="e">
        <f>IF($K28&gt;X$19,IF($K28&lt;=X$20,1,NA()),NA())</f>
        <v>#N/A</v>
      </c>
      <c r="Y31" s="70"/>
      <c r="Z31" s="70"/>
      <c r="AA31" s="70"/>
      <c r="AB31" s="70"/>
      <c r="AC31" s="70"/>
      <c r="AD31" s="70"/>
      <c r="AE31" s="70"/>
      <c r="AF31" s="70"/>
      <c r="AG31" s="70"/>
      <c r="AH31" s="70"/>
      <c r="AI31" s="70"/>
    </row>
    <row r="32" spans="1:35" ht="22.5" customHeight="1">
      <c r="A32" s="379"/>
      <c r="B32" s="857"/>
      <c r="C32" s="857"/>
      <c r="D32" s="857"/>
      <c r="E32" s="858"/>
      <c r="F32" s="844"/>
      <c r="G32" s="845"/>
      <c r="H32" s="845"/>
      <c r="I32" s="845"/>
      <c r="J32" s="845"/>
      <c r="K32" s="858"/>
      <c r="L32" s="844"/>
      <c r="M32" s="845"/>
      <c r="N32" s="845"/>
      <c r="O32" s="845"/>
      <c r="P32" s="845"/>
      <c r="S32" s="68"/>
      <c r="T32" s="66" t="e">
        <f>IF(#REF!&gt;T$19,IF(#REF!&lt;=T$20,#REF!,NA()),NA())</f>
        <v>#REF!</v>
      </c>
      <c r="U32" s="66" t="e">
        <f>IF(#REF!&gt;U$19,IF(#REF!&lt;=U$20,#REF!,NA()),NA())</f>
        <v>#REF!</v>
      </c>
      <c r="V32" s="66" t="e">
        <f>IF(#REF!&gt;V$19,IF(#REF!&lt;=V$20,#REF!,NA()),NA())</f>
        <v>#REF!</v>
      </c>
      <c r="W32" s="66" t="e">
        <f>IF(#REF!&gt;W$19,IF(#REF!&lt;=W$20,#REF!,NA()),NA())</f>
        <v>#REF!</v>
      </c>
      <c r="X32" s="66" t="e">
        <f>IF(#REF!&gt;X$19,IF(#REF!&lt;=X$20,1,NA()),NA())</f>
        <v>#REF!</v>
      </c>
      <c r="Y32" s="70"/>
      <c r="Z32" s="70"/>
      <c r="AA32" s="70"/>
      <c r="AB32" s="70"/>
      <c r="AC32" s="70"/>
      <c r="AD32" s="70"/>
      <c r="AE32" s="70"/>
      <c r="AF32" s="70"/>
      <c r="AG32" s="70"/>
      <c r="AH32" s="70"/>
      <c r="AI32" s="70"/>
    </row>
    <row r="33" spans="1:35">
      <c r="A33" s="379"/>
      <c r="B33" s="189"/>
      <c r="C33" s="189"/>
      <c r="D33" s="189"/>
      <c r="E33" s="383"/>
      <c r="F33" s="383"/>
      <c r="G33" s="189"/>
      <c r="H33" s="190"/>
      <c r="I33" s="189"/>
      <c r="J33" s="189"/>
      <c r="K33" s="189"/>
      <c r="L33" s="189"/>
      <c r="M33" s="189"/>
      <c r="N33" s="189"/>
      <c r="O33" s="189"/>
      <c r="P33" s="189"/>
      <c r="S33" s="68"/>
      <c r="T33" s="66" t="e">
        <f t="shared" si="0"/>
        <v>#N/A</v>
      </c>
      <c r="U33" s="66" t="e">
        <f t="shared" si="0"/>
        <v>#N/A</v>
      </c>
      <c r="V33" s="66" t="e">
        <f t="shared" si="0"/>
        <v>#N/A</v>
      </c>
      <c r="W33" s="66" t="e">
        <f t="shared" si="0"/>
        <v>#N/A</v>
      </c>
      <c r="X33" s="66" t="e">
        <f t="shared" si="2"/>
        <v>#N/A</v>
      </c>
      <c r="Y33" s="70"/>
      <c r="Z33" s="70"/>
      <c r="AA33" s="70"/>
      <c r="AB33" s="70"/>
      <c r="AC33" s="70"/>
      <c r="AD33" s="70"/>
      <c r="AE33" s="70"/>
      <c r="AF33" s="70"/>
      <c r="AG33" s="70"/>
      <c r="AH33" s="70"/>
      <c r="AI33" s="70"/>
    </row>
    <row r="34" spans="1:35">
      <c r="A34" s="379"/>
      <c r="B34" s="856"/>
      <c r="C34" s="856"/>
      <c r="D34" s="856"/>
      <c r="E34" s="856"/>
      <c r="F34" s="856"/>
      <c r="G34" s="856"/>
      <c r="H34" s="856"/>
      <c r="I34" s="856"/>
      <c r="J34" s="856"/>
      <c r="K34" s="856"/>
      <c r="L34" s="189"/>
      <c r="M34" s="189"/>
      <c r="N34" s="189"/>
      <c r="O34" s="189"/>
      <c r="P34" s="189"/>
      <c r="S34" s="68"/>
      <c r="T34" s="66" t="e">
        <f t="shared" si="0"/>
        <v>#N/A</v>
      </c>
      <c r="U34" s="66" t="e">
        <f t="shared" si="0"/>
        <v>#N/A</v>
      </c>
      <c r="V34" s="66" t="e">
        <f t="shared" si="0"/>
        <v>#N/A</v>
      </c>
      <c r="W34" s="66" t="e">
        <f t="shared" si="0"/>
        <v>#N/A</v>
      </c>
      <c r="X34" s="66" t="e">
        <f t="shared" si="2"/>
        <v>#N/A</v>
      </c>
      <c r="Y34" s="70"/>
      <c r="Z34" s="70"/>
      <c r="AA34" s="70"/>
      <c r="AB34" s="70"/>
      <c r="AC34" s="70"/>
      <c r="AD34" s="70"/>
      <c r="AE34" s="70"/>
      <c r="AF34" s="70"/>
      <c r="AG34" s="70"/>
      <c r="AH34" s="70"/>
      <c r="AI34" s="70"/>
    </row>
    <row r="35" spans="1:35">
      <c r="A35" s="379"/>
      <c r="B35" s="856"/>
      <c r="C35" s="856"/>
      <c r="D35" s="856"/>
      <c r="E35" s="856"/>
      <c r="F35" s="856"/>
      <c r="G35" s="856"/>
      <c r="H35" s="856"/>
      <c r="I35" s="856"/>
      <c r="J35" s="856"/>
      <c r="K35" s="856"/>
      <c r="L35" s="189"/>
      <c r="M35" s="189"/>
      <c r="N35" s="189"/>
      <c r="O35" s="189"/>
      <c r="P35" s="189"/>
      <c r="S35" s="70"/>
      <c r="T35" s="70"/>
      <c r="U35" s="70"/>
      <c r="V35" s="70"/>
      <c r="W35" s="70"/>
      <c r="X35" s="70"/>
      <c r="Y35" s="70"/>
      <c r="Z35" s="70"/>
      <c r="AA35" s="70"/>
      <c r="AB35" s="70"/>
      <c r="AC35" s="70"/>
      <c r="AD35" s="70"/>
      <c r="AE35" s="70"/>
      <c r="AF35" s="70"/>
      <c r="AG35" s="70"/>
      <c r="AH35" s="70"/>
      <c r="AI35" s="70"/>
    </row>
    <row r="36" spans="1:35">
      <c r="A36" s="379"/>
      <c r="B36" s="3"/>
      <c r="C36" s="3"/>
      <c r="D36" s="3"/>
      <c r="E36" s="382"/>
      <c r="F36" s="382"/>
      <c r="G36" s="3"/>
      <c r="H36" s="3"/>
      <c r="I36" s="98"/>
      <c r="J36" s="98"/>
      <c r="K36" s="98"/>
      <c r="L36" s="3"/>
      <c r="M36" s="3"/>
      <c r="N36" s="3"/>
      <c r="O36" s="3"/>
      <c r="P36" s="3"/>
      <c r="S36" s="70"/>
      <c r="T36" s="70"/>
      <c r="U36" s="70"/>
      <c r="V36" s="70"/>
      <c r="W36" s="70"/>
      <c r="X36" s="70"/>
      <c r="Y36" s="70"/>
      <c r="Z36" s="70"/>
      <c r="AA36" s="70"/>
      <c r="AB36" s="70"/>
      <c r="AC36" s="70"/>
      <c r="AD36" s="70"/>
      <c r="AE36" s="70"/>
      <c r="AF36" s="70"/>
      <c r="AG36" s="70"/>
      <c r="AH36" s="70"/>
      <c r="AI36" s="70"/>
    </row>
    <row r="37" spans="1:35">
      <c r="A37" s="379"/>
      <c r="B37" s="3"/>
      <c r="C37" s="3"/>
      <c r="D37" s="3"/>
      <c r="E37" s="382"/>
      <c r="F37" s="382"/>
      <c r="G37" s="3"/>
      <c r="H37" s="3"/>
      <c r="I37" s="139"/>
      <c r="J37" s="140"/>
      <c r="K37" s="140"/>
      <c r="L37" s="3"/>
      <c r="M37" s="3"/>
      <c r="N37" s="3"/>
      <c r="O37" s="3"/>
      <c r="P37" s="3"/>
      <c r="S37" s="70"/>
      <c r="T37" s="70"/>
      <c r="U37" s="70"/>
      <c r="V37" s="70"/>
      <c r="W37" s="70"/>
      <c r="X37" s="70"/>
      <c r="Y37" s="70"/>
      <c r="Z37" s="70"/>
      <c r="AA37" s="70"/>
      <c r="AB37" s="70"/>
      <c r="AC37" s="70"/>
      <c r="AD37" s="70"/>
      <c r="AE37" s="70"/>
      <c r="AF37" s="70"/>
      <c r="AG37" s="70"/>
      <c r="AH37" s="70"/>
      <c r="AI37" s="70"/>
    </row>
    <row r="38" spans="1:35">
      <c r="A38" s="379"/>
      <c r="B38" s="3"/>
      <c r="C38" s="3"/>
      <c r="D38" s="3"/>
      <c r="E38" s="382"/>
      <c r="F38" s="382"/>
      <c r="G38" s="3"/>
      <c r="H38" s="3"/>
      <c r="I38" s="141"/>
      <c r="J38" s="142"/>
      <c r="K38" s="100"/>
      <c r="L38" s="3"/>
      <c r="M38" s="3"/>
      <c r="N38" s="3"/>
      <c r="O38" s="3"/>
      <c r="P38" s="3"/>
      <c r="S38" s="70"/>
      <c r="T38" s="70"/>
      <c r="U38" s="70"/>
      <c r="V38" s="70"/>
      <c r="W38" s="70"/>
      <c r="X38" s="70"/>
      <c r="Y38" s="70"/>
      <c r="Z38" s="70"/>
      <c r="AA38" s="70"/>
      <c r="AB38" s="70"/>
      <c r="AC38" s="70"/>
      <c r="AD38" s="70"/>
      <c r="AE38" s="70"/>
      <c r="AF38" s="70"/>
      <c r="AG38" s="70"/>
      <c r="AH38" s="70"/>
      <c r="AI38" s="70"/>
    </row>
    <row r="39" spans="1:35">
      <c r="A39" s="379"/>
      <c r="B39" s="3"/>
      <c r="C39" s="3"/>
      <c r="D39" s="3"/>
      <c r="E39" s="382"/>
      <c r="F39" s="382"/>
      <c r="G39" s="3"/>
      <c r="H39" s="3"/>
      <c r="I39" s="143"/>
      <c r="J39" s="142"/>
      <c r="K39" s="100"/>
      <c r="L39" s="3"/>
      <c r="M39" s="3"/>
      <c r="N39" s="3"/>
      <c r="O39" s="3"/>
      <c r="P39" s="3"/>
      <c r="S39" s="70"/>
      <c r="T39" s="70"/>
      <c r="U39" s="70"/>
      <c r="V39" s="70"/>
      <c r="W39" s="70"/>
      <c r="X39" s="70"/>
      <c r="Y39" s="70"/>
      <c r="Z39" s="70"/>
      <c r="AA39" s="70"/>
      <c r="AB39" s="70"/>
      <c r="AC39" s="70"/>
      <c r="AD39" s="70"/>
      <c r="AE39" s="70"/>
      <c r="AF39" s="70"/>
      <c r="AG39" s="70"/>
      <c r="AH39" s="70"/>
      <c r="AI39" s="70"/>
    </row>
    <row r="40" spans="1:35">
      <c r="A40" s="379"/>
      <c r="B40" s="3"/>
      <c r="C40" s="3"/>
      <c r="D40" s="3"/>
      <c r="E40" s="382"/>
      <c r="F40" s="382"/>
      <c r="G40" s="3"/>
      <c r="H40" s="3"/>
      <c r="I40" s="141"/>
      <c r="J40" s="142"/>
      <c r="K40" s="100"/>
      <c r="L40" s="3"/>
      <c r="M40" s="3"/>
      <c r="N40" s="3"/>
      <c r="O40" s="3"/>
      <c r="P40" s="3"/>
      <c r="S40" s="70"/>
      <c r="T40" s="70"/>
      <c r="U40" s="70"/>
      <c r="V40" s="70"/>
      <c r="W40" s="70"/>
      <c r="X40" s="70"/>
      <c r="Y40" s="70"/>
      <c r="Z40" s="70"/>
      <c r="AA40" s="70"/>
      <c r="AB40" s="70"/>
      <c r="AC40" s="70"/>
      <c r="AD40" s="70"/>
      <c r="AE40" s="70"/>
      <c r="AF40" s="70"/>
      <c r="AG40" s="70"/>
      <c r="AH40" s="70"/>
      <c r="AI40" s="70"/>
    </row>
    <row r="41" spans="1:35">
      <c r="A41" s="379"/>
      <c r="B41" s="3"/>
      <c r="C41" s="3"/>
      <c r="D41" s="3"/>
      <c r="E41" s="382"/>
      <c r="F41" s="382"/>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79"/>
      <c r="B42" s="3"/>
      <c r="C42" s="3"/>
      <c r="D42" s="3"/>
      <c r="E42" s="382"/>
      <c r="F42" s="382"/>
      <c r="G42" s="3"/>
      <c r="H42" s="3"/>
      <c r="I42" s="3"/>
      <c r="J42" s="3"/>
      <c r="K42" s="3"/>
      <c r="L42" s="3"/>
      <c r="M42" s="3"/>
      <c r="N42" s="3"/>
      <c r="O42" s="3"/>
      <c r="P42" s="3"/>
      <c r="S42" s="70"/>
      <c r="T42" s="70"/>
      <c r="U42" s="70"/>
      <c r="V42" s="70"/>
      <c r="W42" s="70"/>
      <c r="X42" s="70"/>
      <c r="Y42" s="70"/>
      <c r="Z42" s="70"/>
      <c r="AA42" s="70"/>
      <c r="AB42" s="70"/>
      <c r="AC42" s="70"/>
      <c r="AD42" s="70"/>
      <c r="AE42" s="70"/>
      <c r="AF42" s="70"/>
      <c r="AG42" s="70"/>
      <c r="AH42" s="70"/>
      <c r="AI42" s="70"/>
    </row>
    <row r="43" spans="1:35">
      <c r="A43" s="379"/>
      <c r="B43" s="3"/>
      <c r="C43" s="3"/>
      <c r="D43" s="3"/>
      <c r="E43" s="382"/>
      <c r="F43" s="382"/>
      <c r="G43" s="3"/>
      <c r="H43" s="3"/>
      <c r="I43" s="3"/>
      <c r="J43" s="3"/>
      <c r="K43" s="3"/>
      <c r="L43" s="3"/>
      <c r="M43" s="3"/>
      <c r="N43" s="3"/>
      <c r="O43" s="3"/>
      <c r="P43" s="3"/>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row r="47" spans="1:35">
      <c r="S47" s="63"/>
      <c r="T47" s="63"/>
      <c r="U47" s="63"/>
      <c r="V47" s="63"/>
      <c r="W47" s="63"/>
      <c r="X47" s="63"/>
      <c r="Y47" s="63"/>
      <c r="Z47" s="63"/>
      <c r="AA47" s="63"/>
      <c r="AB47" s="63"/>
    </row>
  </sheetData>
  <mergeCells count="61">
    <mergeCell ref="B2:Q2"/>
    <mergeCell ref="D5:N5"/>
    <mergeCell ref="F6:K6"/>
    <mergeCell ref="E3:K3"/>
    <mergeCell ref="C4:D4"/>
    <mergeCell ref="G24:K24"/>
    <mergeCell ref="G26:K26"/>
    <mergeCell ref="L19:Q19"/>
    <mergeCell ref="L26:Q26"/>
    <mergeCell ref="G22:K22"/>
    <mergeCell ref="G19:H19"/>
    <mergeCell ref="I19:J19"/>
    <mergeCell ref="L25:Q25"/>
    <mergeCell ref="E18:K18"/>
    <mergeCell ref="B19:D19"/>
    <mergeCell ref="B20:D20"/>
    <mergeCell ref="G20:K20"/>
    <mergeCell ref="B34:D35"/>
    <mergeCell ref="E34:G35"/>
    <mergeCell ref="H34:K35"/>
    <mergeCell ref="B23:D23"/>
    <mergeCell ref="B24:D24"/>
    <mergeCell ref="B22:D22"/>
    <mergeCell ref="G21:K21"/>
    <mergeCell ref="B32:E32"/>
    <mergeCell ref="F32:K32"/>
    <mergeCell ref="B21:D21"/>
    <mergeCell ref="G28:K28"/>
    <mergeCell ref="G23:K23"/>
    <mergeCell ref="L32:P32"/>
    <mergeCell ref="L20:Q20"/>
    <mergeCell ref="L21:Q21"/>
    <mergeCell ref="L22:Q22"/>
    <mergeCell ref="L28:Q28"/>
    <mergeCell ref="L31:P31"/>
    <mergeCell ref="L23:Q23"/>
    <mergeCell ref="L24:Q24"/>
    <mergeCell ref="L27:Q27"/>
    <mergeCell ref="L29:Q29"/>
    <mergeCell ref="L30:Q30"/>
    <mergeCell ref="F31:K31"/>
    <mergeCell ref="B31:E31"/>
    <mergeCell ref="B27:D27"/>
    <mergeCell ref="B28:D28"/>
    <mergeCell ref="G25:K25"/>
    <mergeCell ref="B25:D25"/>
    <mergeCell ref="B26:D26"/>
    <mergeCell ref="G27:K27"/>
    <mergeCell ref="B29:D29"/>
    <mergeCell ref="B30:D30"/>
    <mergeCell ref="G29:K29"/>
    <mergeCell ref="G30:K30"/>
    <mergeCell ref="C9:E9"/>
    <mergeCell ref="G9:K9"/>
    <mergeCell ref="M9:Q9"/>
    <mergeCell ref="C3:D3"/>
    <mergeCell ref="E4:L4"/>
    <mergeCell ref="N3:P3"/>
    <mergeCell ref="M8:Q8"/>
    <mergeCell ref="G8:K8"/>
    <mergeCell ref="C8:E8"/>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30">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256" scale="56" fitToHeight="0" orientation="portrait" r:id="rId1"/>
  <headerFooter alignWithMargins="0">
    <oddFooter>&amp;L&amp;F&amp;C&amp;A&amp;RV1.0          &amp;D</oddFooter>
  </headerFooter>
  <rowBreaks count="1" manualBreakCount="1">
    <brk id="30"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pageSetUpPr fitToPage="1"/>
  </sheetPr>
  <dimension ref="A1:T42"/>
  <sheetViews>
    <sheetView showGridLines="0" view="pageBreakPreview" topLeftCell="A25" zoomScale="75" zoomScaleNormal="90" zoomScaleSheetLayoutView="75" workbookViewId="0">
      <selection activeCell="I38" sqref="I38:N38"/>
    </sheetView>
  </sheetViews>
  <sheetFormatPr defaultColWidth="9.125" defaultRowHeight="11.25"/>
  <cols>
    <col min="1" max="1" width="1.125" style="30" customWidth="1"/>
    <col min="2" max="2" width="19.25" style="30" customWidth="1"/>
    <col min="3" max="3" width="1.125" style="30" customWidth="1"/>
    <col min="4" max="4" width="17.125" style="30" customWidth="1"/>
    <col min="5" max="5" width="17.625" style="30" customWidth="1"/>
    <col min="6" max="6" width="9.75" style="30" customWidth="1"/>
    <col min="7" max="7" width="38.125" style="30" customWidth="1"/>
    <col min="8" max="8" width="4.25" style="30" customWidth="1"/>
    <col min="9" max="9" width="15.875" style="30" customWidth="1"/>
    <col min="10" max="10" width="3.625" style="30" customWidth="1"/>
    <col min="11" max="11" width="7.625" style="31" customWidth="1"/>
    <col min="12" max="12" width="14.25" style="30" customWidth="1"/>
    <col min="13" max="13" width="12" style="30" customWidth="1"/>
    <col min="14" max="14" width="5.375" style="30" customWidth="1"/>
    <col min="15" max="15" width="2.625" style="30" customWidth="1"/>
    <col min="16" max="16384" width="9.1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66" t="str">
        <f>+"Tabel Programatic de evaluare:  "&amp;"  "&amp;IF(+'Introducerea datelor'!C4="Please Select","",'Introducerea datelor'!C4&amp;" - ")&amp;IF('Introducerea datelor'!G6="Please Select","",'Introducerea datelor'!G6)</f>
        <v>Tabel Programatic de evaluare:    Moldova - TB</v>
      </c>
      <c r="C2" s="866"/>
      <c r="D2" s="866"/>
      <c r="E2" s="866"/>
      <c r="F2" s="866"/>
      <c r="G2" s="866"/>
      <c r="H2" s="866"/>
      <c r="I2" s="866"/>
      <c r="J2" s="866"/>
      <c r="K2" s="866"/>
      <c r="L2" s="866"/>
      <c r="M2" s="866"/>
      <c r="N2" s="866"/>
      <c r="O2" s="72"/>
    </row>
    <row r="3" spans="1:15" customFormat="1" ht="18.75">
      <c r="A3" s="3"/>
      <c r="B3" s="128" t="str">
        <f>+IF('Introducerea datelor'!G8="Please Select","",'Introducerea datelor'!G8)</f>
        <v/>
      </c>
      <c r="C3" s="823" t="str">
        <f>+IF('Introducerea datelor'!I8="Please Select","",'Introducerea datelor'!I8)</f>
        <v>Period 1</v>
      </c>
      <c r="D3" s="823"/>
      <c r="E3" s="368"/>
      <c r="F3" s="368"/>
      <c r="G3" s="368"/>
      <c r="H3" s="368"/>
      <c r="I3" s="368"/>
      <c r="J3" s="368"/>
      <c r="K3" s="368"/>
      <c r="L3" s="128" t="str">
        <f>+'Introducerea datelor'!B16</f>
        <v>Perioada de Raportare:</v>
      </c>
      <c r="M3" s="163" t="str">
        <f>+'Introducerea datelor'!C16</f>
        <v>P2</v>
      </c>
      <c r="N3" s="163"/>
      <c r="O3" s="30"/>
    </row>
    <row r="4" spans="1:15" customFormat="1" ht="15">
      <c r="A4" s="3"/>
      <c r="B4" s="128" t="str">
        <f>+'Introducerea datelor'!B12</f>
        <v>Ultimul Rating:</v>
      </c>
      <c r="C4" s="869" t="str">
        <f>+IF('Introducerea datelor'!C12="Please Select","",'Introducerea datelor'!C12)</f>
        <v>A2</v>
      </c>
      <c r="D4" s="869"/>
      <c r="E4" s="822" t="str">
        <f>+'Introducerea datelor'!C8</f>
        <v>IP UCIMP DS</v>
      </c>
      <c r="F4" s="822"/>
      <c r="G4" s="822"/>
      <c r="H4" s="822"/>
      <c r="I4" s="822"/>
      <c r="J4" s="822"/>
      <c r="K4" s="822"/>
      <c r="L4" s="128" t="str">
        <f>+'Introducerea datelor'!D16</f>
        <v>De la:</v>
      </c>
      <c r="M4" s="164">
        <f>+IF(ISBLANK('Introducerea datelor'!E16),"",'Introducerea datelor'!E16)</f>
        <v>42370</v>
      </c>
      <c r="N4" s="164"/>
      <c r="O4" s="30"/>
    </row>
    <row r="5" spans="1:15" customFormat="1" ht="18.75" customHeight="1">
      <c r="A5" s="3"/>
      <c r="B5" s="128"/>
      <c r="C5" s="128"/>
      <c r="D5" s="129"/>
      <c r="E5" s="822" t="str">
        <f>+'Introducerea datelor'!G4</f>
        <v>Consolidarea controlului Tuberculozei în Republica Moldova</v>
      </c>
      <c r="F5" s="822"/>
      <c r="G5" s="822"/>
      <c r="H5" s="822"/>
      <c r="I5" s="822"/>
      <c r="J5" s="822"/>
      <c r="K5" s="822"/>
      <c r="L5" s="128" t="str">
        <f>+'Introducerea datelor'!F16</f>
        <v>Pînă la:</v>
      </c>
      <c r="M5" s="164">
        <f>+IF(ISBLANK('Introducerea datelor'!G16),"",'Introducerea datelor'!G16)</f>
        <v>42551</v>
      </c>
      <c r="N5" s="164"/>
    </row>
    <row r="6" spans="1:15" customFormat="1" ht="22.5" customHeight="1">
      <c r="A6" s="3"/>
      <c r="B6" s="133"/>
      <c r="C6" s="134"/>
      <c r="D6" s="135"/>
      <c r="E6" s="898" t="s">
        <v>394</v>
      </c>
      <c r="F6" s="898"/>
      <c r="G6" s="898"/>
      <c r="H6" s="898"/>
      <c r="I6" s="898"/>
      <c r="J6" s="898"/>
      <c r="K6" s="898"/>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897" t="s">
        <v>400</v>
      </c>
      <c r="C8" s="897"/>
      <c r="D8" s="897"/>
      <c r="E8" s="897"/>
      <c r="F8" s="897"/>
      <c r="G8" s="897"/>
      <c r="H8" s="897"/>
      <c r="I8" s="897"/>
      <c r="J8" s="897"/>
      <c r="K8" s="897"/>
      <c r="L8" s="897"/>
      <c r="M8" s="897"/>
      <c r="N8" s="897"/>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915" t="s">
        <v>395</v>
      </c>
      <c r="C10" s="916"/>
      <c r="D10" s="905" t="s">
        <v>396</v>
      </c>
      <c r="E10" s="906"/>
      <c r="F10" s="906"/>
      <c r="G10" s="907"/>
      <c r="H10" s="152"/>
      <c r="I10" s="905" t="s">
        <v>394</v>
      </c>
      <c r="J10" s="906"/>
      <c r="K10" s="906"/>
      <c r="L10" s="906"/>
      <c r="M10" s="906"/>
      <c r="N10" s="907"/>
    </row>
    <row r="11" spans="1:15" s="33" customFormat="1" ht="40.5" customHeight="1">
      <c r="A11" s="151"/>
      <c r="B11" s="388" t="s">
        <v>58</v>
      </c>
      <c r="C11" s="389"/>
      <c r="D11" s="924" t="str">
        <f>IF(ISBLANK(Financiar!C9),"",(Financiar!C9))</f>
        <v>Fondul Global a debursat în avans 3 863 104,00 EUR din suma grantului către data de 30 iunie 2016.</v>
      </c>
      <c r="E11" s="924"/>
      <c r="F11" s="924"/>
      <c r="G11" s="925"/>
      <c r="H11" s="502"/>
      <c r="I11" s="917"/>
      <c r="J11" s="918"/>
      <c r="K11" s="918"/>
      <c r="L11" s="918"/>
      <c r="M11" s="918"/>
      <c r="N11" s="919"/>
    </row>
    <row r="12" spans="1:15" s="33" customFormat="1" ht="225" customHeight="1">
      <c r="A12" s="151"/>
      <c r="B12" s="392" t="s">
        <v>59</v>
      </c>
      <c r="C12" s="393"/>
      <c r="D12" s="889" t="str">
        <f>IF(ISBLANK(Financiar!C23),"",(Financiar!C23))</f>
        <v xml:space="preserve">
În cadrul activităților din Obiectivul I a fost valorificată în semestrul I.2016  suma de 224 713,31 EUR față de 579 658,00 EUR bugetați (38,8%), iar cumulativ în perioada 01 iulie 2015 - 30 iunie 2016 a fost valorificată suma de de 472 719,12 EUR față de 1 304 050,08 EUR bugetați (36,3%). 
În cadrul activităților din Obiectivul II a fost valorificată în semestrul I.2016  suma de 348 020,55 EUR față de 1 059 974,57 EUR bugetați (32,8%), iar cumulativ în perioada 01 iulie 2015 - 30 iunie 2016 a fost valorificată suma de de 1 692 441,52 EUR față de 3 249 061,5 EUR bugetați (52,1%). 
În cadrul activităților din Obiectivul V a fost valorificată în semestrul I.2016  suma de 41 288,31 EUR față de 74 983,44 EUR bugetați (55,1%), iar cumulativ în perioada 01 iulie 2015 - 30 iunie 2016 a fost valorificată suma de de 92 202,16 EUR față de 170 448,94 EUR bugetați (54,1%). 
Totodată au fost finalizate angajamentele pentru perioada II a Grantului consolidat în sumă de 11 710,80 EUR.
Analiza detaliată a cheltuielilor, inclusiv sumele restante și economiile obținute către 30 iunie 2016 sunt prezentate în nota informativă narativă la dashboard.
</v>
      </c>
      <c r="E12" s="889"/>
      <c r="F12" s="889"/>
      <c r="G12" s="920"/>
      <c r="H12" s="502"/>
      <c r="I12" s="917"/>
      <c r="J12" s="918"/>
      <c r="K12" s="918"/>
      <c r="L12" s="918"/>
      <c r="M12" s="918"/>
      <c r="N12" s="919"/>
    </row>
    <row r="13" spans="1:15" s="33" customFormat="1" ht="255.75" customHeight="1">
      <c r="A13" s="151"/>
      <c r="B13" s="392" t="s">
        <v>60</v>
      </c>
      <c r="C13" s="393"/>
      <c r="D13" s="889" t="str">
        <f>IF(ISBLANK(Financiar!I9),"",(Financiar!I9))</f>
        <v>În perioada semestrului I, 2016 au fost valorificați 
702 823,31 EUR față de 1 803 981,99 EUR bugetați pentru perioada raportată, ceea ce constituie 39,0%.
Variația pentru perioada stipulată constituie suma de 
1 101 158,68 EUR, compusă din: 
(-) 82 615,33 EUR - cheltuieli peste nivelul planificat, 
1 188 013,14 EUR – cheltuieli sub nivelul planificat și 
(-) 4 239,13 EUR utilizarea dobânzii inițial ne bugetate. 
Cumulativ, de la demararea Grantului, în perioada        01 Iulie 2015 - 30 Iunie 2016, au fost valorificați  
2 444 088,38 EUR față de 4 897 770,05 EUR planificați pentru această perioada, ceea ce constituie 49,9%. 
Variația pentru perioada cumulativă constituie suma de 2 453 681,67 EUR, compusă din:  
(-)  29 948,73 EUR – cheltuieli peste nivelul planificat, 
2 502 085,91 EUR – cheltuieli sub nivelul planificat, 
(-) 11,710.79 EUR – angajamente din perioada 2 a Grantului TB consolidat la data de 30 Iunie 2015 și 
(-) 6 744,72 EUR utilizarea dobânzii inițial ne bugetate. 
Analiza detaliată a cheltuielilor, inclusiv sumele restante și economiile obținute către 30 iunie 2016 sunt prezentate în nota informativă narativă la dashboard.</v>
      </c>
      <c r="E13" s="889"/>
      <c r="F13" s="889"/>
      <c r="G13" s="920"/>
      <c r="H13" s="502"/>
      <c r="I13" s="917"/>
      <c r="J13" s="918"/>
      <c r="K13" s="918"/>
      <c r="L13" s="918"/>
      <c r="M13" s="918"/>
      <c r="N13" s="919"/>
    </row>
    <row r="14" spans="1:15" s="33" customFormat="1" ht="46.5" customHeight="1" thickBot="1">
      <c r="A14" s="151"/>
      <c r="B14" s="390" t="s">
        <v>61</v>
      </c>
      <c r="C14" s="391"/>
      <c r="D14" s="926" t="str">
        <f>IF(ISBLANK(Financiar!I23),"",(Financiar!I23))</f>
        <v xml:space="preserve">Raportul de progres standard către Secretariatul Fondului Global pentru semestrul I.2016 a fost remis donatorului pentru examinare la 15 august 2016. </v>
      </c>
      <c r="E14" s="926"/>
      <c r="F14" s="926"/>
      <c r="G14" s="927"/>
      <c r="H14" s="502"/>
      <c r="I14" s="899"/>
      <c r="J14" s="900"/>
      <c r="K14" s="900"/>
      <c r="L14" s="900"/>
      <c r="M14" s="900"/>
      <c r="N14" s="901"/>
    </row>
    <row r="15" spans="1:15" s="33" customFormat="1" ht="4.5" customHeight="1">
      <c r="A15" s="151"/>
      <c r="B15" s="156"/>
      <c r="C15" s="157"/>
      <c r="D15" s="503"/>
      <c r="E15" s="503"/>
      <c r="F15" s="503"/>
      <c r="G15" s="503"/>
      <c r="H15" s="502"/>
      <c r="I15" s="504"/>
      <c r="J15" s="504"/>
      <c r="K15" s="504"/>
      <c r="L15" s="504"/>
      <c r="M15" s="504"/>
      <c r="N15" s="504"/>
      <c r="O15" s="74"/>
    </row>
    <row r="16" spans="1:15" s="32" customFormat="1" ht="21" customHeight="1" thickBot="1">
      <c r="A16" s="147"/>
      <c r="B16" s="897" t="s">
        <v>399</v>
      </c>
      <c r="C16" s="897"/>
      <c r="D16" s="897"/>
      <c r="E16" s="897"/>
      <c r="F16" s="897"/>
      <c r="G16" s="897"/>
      <c r="H16" s="897"/>
      <c r="I16" s="897"/>
      <c r="J16" s="897"/>
      <c r="K16" s="897"/>
      <c r="L16" s="897"/>
      <c r="M16" s="897"/>
      <c r="N16" s="897"/>
    </row>
    <row r="17" spans="1:20" s="33" customFormat="1" ht="3.75" customHeight="1" thickBot="1">
      <c r="A17" s="151"/>
      <c r="B17" s="505"/>
      <c r="C17" s="154"/>
      <c r="D17" s="506"/>
      <c r="E17" s="507"/>
      <c r="F17" s="508"/>
      <c r="G17" s="508"/>
      <c r="H17" s="509"/>
      <c r="I17" s="155"/>
      <c r="J17" s="510"/>
      <c r="K17" s="511"/>
      <c r="L17" s="512"/>
      <c r="M17" s="153"/>
      <c r="N17" s="513"/>
    </row>
    <row r="18" spans="1:20" s="33" customFormat="1" ht="22.5" customHeight="1" thickBot="1">
      <c r="A18" s="151"/>
      <c r="B18" s="914" t="s">
        <v>57</v>
      </c>
      <c r="C18" s="894"/>
      <c r="D18" s="886" t="s">
        <v>396</v>
      </c>
      <c r="E18" s="887"/>
      <c r="F18" s="887"/>
      <c r="G18" s="888"/>
      <c r="H18" s="514"/>
      <c r="I18" s="921" t="s">
        <v>394</v>
      </c>
      <c r="J18" s="922"/>
      <c r="K18" s="922"/>
      <c r="L18" s="922"/>
      <c r="M18" s="923"/>
      <c r="N18" s="923"/>
    </row>
    <row r="19" spans="1:20" s="33" customFormat="1" ht="70.5" customHeight="1">
      <c r="A19" s="151"/>
      <c r="B19" s="394" t="s">
        <v>66</v>
      </c>
      <c r="C19" s="395"/>
      <c r="D19" s="891" t="str">
        <f>IF(ISBLANK(Management!C8),"",(Management!C8))</f>
        <v>Două din cele trei condiții precedente stipulate în Acordul de Grant au fost îndeplinite, axate pe procurarea medicamentelor antituberculoase de linia a doua pentru tratamentul pacienților cu TB DR.  Termenul limită pentru îndeplinirea celei de a treia condiție, de dezvoltare a planului de sustenabilitate, este de 31 decembrie 2016.</v>
      </c>
      <c r="E19" s="891"/>
      <c r="F19" s="891"/>
      <c r="G19" s="892"/>
      <c r="H19" s="515"/>
      <c r="I19" s="908"/>
      <c r="J19" s="909"/>
      <c r="K19" s="909"/>
      <c r="L19" s="909"/>
      <c r="M19" s="909"/>
      <c r="N19" s="910"/>
    </row>
    <row r="20" spans="1:20" ht="47.25" customHeight="1">
      <c r="A20" s="145"/>
      <c r="B20" s="398" t="s">
        <v>67</v>
      </c>
      <c r="C20" s="399"/>
      <c r="D20" s="889" t="str">
        <f>IF(ISBLANK(Management!I8),"",(Management!I8))</f>
        <v>Toate posturile în cadrul echipei ce gestionează Grantul TB al Noului Mecanism de Finanțare sunt ocupate.</v>
      </c>
      <c r="E20" s="889" t="e">
        <f>+'Introducerea datelor'!D72/'Introducerea datelor'!G72</f>
        <v>#DIV/0!</v>
      </c>
      <c r="F20" s="889" t="e">
        <f>+('Introducerea datelor'!E72+'Introducerea datelor'!F72)/'Introducerea datelor'!G72</f>
        <v>#DIV/0!</v>
      </c>
      <c r="G20" s="890"/>
      <c r="H20" s="515"/>
      <c r="I20" s="902"/>
      <c r="J20" s="903"/>
      <c r="K20" s="903"/>
      <c r="L20" s="903"/>
      <c r="M20" s="903"/>
      <c r="N20" s="904"/>
      <c r="O20" s="34"/>
    </row>
    <row r="21" spans="1:20" ht="90.75" customHeight="1">
      <c r="A21" s="145"/>
      <c r="B21" s="400" t="s">
        <v>68</v>
      </c>
      <c r="C21" s="399"/>
      <c r="D21" s="889" t="str">
        <f>IF(ISBLANK(Management!C16),"",(Management!C16))</f>
        <v>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89"/>
      <c r="F21" s="889"/>
      <c r="G21" s="890"/>
      <c r="H21" s="515"/>
      <c r="I21" s="902"/>
      <c r="J21" s="903"/>
      <c r="K21" s="903"/>
      <c r="L21" s="903"/>
      <c r="M21" s="903"/>
      <c r="N21" s="904"/>
      <c r="O21" s="34"/>
    </row>
    <row r="22" spans="1:20" ht="46.5" customHeight="1">
      <c r="A22" s="145"/>
      <c r="B22" s="400" t="s">
        <v>69</v>
      </c>
      <c r="C22" s="399"/>
      <c r="D22" s="889" t="str">
        <f>IF(ISBLANK(Management!I16),"",(Management!I16))</f>
        <v>În perioada raportată Sub-Recipientul a prezentat în conformitate cu Acordul două rapoarte trimestriale și raportul cumulativ anual pentru 2015.</v>
      </c>
      <c r="E22" s="889"/>
      <c r="F22" s="889"/>
      <c r="G22" s="890"/>
      <c r="H22" s="515"/>
      <c r="I22" s="902"/>
      <c r="J22" s="903"/>
      <c r="K22" s="903"/>
      <c r="L22" s="903"/>
      <c r="M22" s="903"/>
      <c r="N22" s="904"/>
      <c r="O22" s="34"/>
    </row>
    <row r="23" spans="1:20" ht="41.25" customHeight="1">
      <c r="A23" s="145"/>
      <c r="B23" s="400" t="s">
        <v>70</v>
      </c>
      <c r="C23" s="399"/>
      <c r="D23" s="889" t="str">
        <f>IF(ISBLANK(Management!C27),"",(Management!C27))</f>
        <v>RP avea la 30 iunie 2016 angajamente semnate pentru livrarea consumabilelor și reagenților in suma de 477 236 EUR.</v>
      </c>
      <c r="E23" s="889"/>
      <c r="F23" s="889"/>
      <c r="G23" s="890"/>
      <c r="H23" s="515"/>
      <c r="I23" s="902"/>
      <c r="J23" s="903"/>
      <c r="K23" s="903"/>
      <c r="L23" s="903"/>
      <c r="M23" s="903"/>
      <c r="N23" s="904"/>
      <c r="O23" s="34"/>
    </row>
    <row r="24" spans="1:20" ht="56.25" customHeight="1" thickBot="1">
      <c r="A24" s="145"/>
      <c r="B24" s="396" t="s">
        <v>71</v>
      </c>
      <c r="C24" s="397"/>
      <c r="D24" s="895" t="str">
        <f>IF(ISBLANK(Management!I27),"",(Management!I27))</f>
        <v>Analiza stocului (la data de 30 iunie 2016) a medicamentelor de linia a II și a III, a numărului de pacienți în tratament la aceeași dată, precum si a livrarilor planificate arata prezența unui stock buffer între 5 și 28 de luni ce previne riscul lipsei de preparate.</v>
      </c>
      <c r="E24" s="895"/>
      <c r="F24" s="895"/>
      <c r="G24" s="896"/>
      <c r="H24" s="515"/>
      <c r="I24" s="911"/>
      <c r="J24" s="912"/>
      <c r="K24" s="912"/>
      <c r="L24" s="912"/>
      <c r="M24" s="912"/>
      <c r="N24" s="913"/>
      <c r="O24" s="34"/>
      <c r="T24" s="471"/>
    </row>
    <row r="25" spans="1:20" ht="4.5" customHeight="1">
      <c r="A25" s="147"/>
      <c r="B25" s="516"/>
      <c r="C25" s="517"/>
      <c r="D25" s="518"/>
      <c r="E25" s="519"/>
      <c r="F25" s="520"/>
      <c r="G25" s="520"/>
      <c r="H25" s="514"/>
      <c r="I25" s="519"/>
      <c r="J25" s="521"/>
      <c r="K25" s="511"/>
      <c r="L25" s="512"/>
      <c r="M25" s="153"/>
      <c r="N25" s="513"/>
      <c r="O25" s="34"/>
    </row>
    <row r="26" spans="1:20" s="32" customFormat="1" ht="21" customHeight="1" thickBot="1">
      <c r="A26" s="147"/>
      <c r="B26" s="897" t="s">
        <v>398</v>
      </c>
      <c r="C26" s="897"/>
      <c r="D26" s="897"/>
      <c r="E26" s="897"/>
      <c r="F26" s="897"/>
      <c r="G26" s="897"/>
      <c r="H26" s="897"/>
      <c r="I26" s="897"/>
      <c r="J26" s="897"/>
      <c r="K26" s="897"/>
      <c r="L26" s="897"/>
      <c r="M26" s="897"/>
      <c r="N26" s="897"/>
      <c r="R26" s="472"/>
    </row>
    <row r="27" spans="1:20" ht="3.75" customHeight="1" thickBot="1">
      <c r="A27" s="147"/>
      <c r="B27" s="516"/>
      <c r="C27" s="517"/>
      <c r="D27" s="518"/>
      <c r="E27" s="519"/>
      <c r="F27" s="520"/>
      <c r="G27" s="520"/>
      <c r="H27" s="514"/>
      <c r="I27" s="519"/>
      <c r="J27" s="521"/>
      <c r="K27" s="511"/>
      <c r="L27" s="512"/>
      <c r="M27" s="153"/>
      <c r="N27" s="513"/>
      <c r="O27" s="34"/>
    </row>
    <row r="28" spans="1:20" ht="21.75" customHeight="1" thickBot="1">
      <c r="A28" s="145"/>
      <c r="B28" s="893" t="s">
        <v>397</v>
      </c>
      <c r="C28" s="894"/>
      <c r="D28" s="876" t="s">
        <v>396</v>
      </c>
      <c r="E28" s="877"/>
      <c r="F28" s="877"/>
      <c r="G28" s="878"/>
      <c r="H28" s="514"/>
      <c r="I28" s="876" t="s">
        <v>394</v>
      </c>
      <c r="J28" s="877"/>
      <c r="K28" s="877"/>
      <c r="L28" s="877"/>
      <c r="M28" s="877"/>
      <c r="N28" s="878"/>
      <c r="O28" s="34"/>
    </row>
    <row r="29" spans="1:20" ht="86.25" hidden="1" customHeight="1">
      <c r="A29" s="145"/>
      <c r="B29" s="522" t="s">
        <v>244</v>
      </c>
      <c r="C29" s="523"/>
      <c r="D29" s="879" t="str">
        <f>IF(ISBLANK(Programatic!C9),"",(Programatic!C9))</f>
        <v xml:space="preserve">Date finale pentru anul 2015: 408 persoane au decedat de tuberculoză în anul 2015 (10,13 decese la 100 000 persoane). 
Notă - Se constată o micșorare cu 19.7% a ratei de mortalitate față de datele anului 2014 (508 cazuri de deces cauzate de tuberculoză) și cu 10.5% față de datele anului 2013 (456 cazuri de deces cauzate de tuberculoză). </v>
      </c>
      <c r="E29" s="880"/>
      <c r="F29" s="880"/>
      <c r="G29" s="881"/>
      <c r="H29" s="515"/>
      <c r="I29" s="882"/>
      <c r="J29" s="883"/>
      <c r="K29" s="883"/>
      <c r="L29" s="883"/>
      <c r="M29" s="883"/>
      <c r="N29" s="884"/>
      <c r="O29" s="34"/>
    </row>
    <row r="30" spans="1:20" ht="87" hidden="1" customHeight="1">
      <c r="A30" s="145"/>
      <c r="B30" s="524" t="s">
        <v>245</v>
      </c>
      <c r="C30" s="525"/>
      <c r="D30" s="885" t="str">
        <f>IF(ISBLANK(Programatic!G9),"",(Programatic!G9))</f>
        <v xml:space="preserve">Date finale pentru anul 2015: 338 cazuri noi de tuberculoză cu cultura pozitivă, testate la sensibilitate pentru preparatele de linia I, din 1 336 investigate în 2015, au fost diagnosticate cu MDR.
Notă - Se constată menținerea unei rate înalte a TB MDR printre cazurile noi, situație caracteristică ultimilor ani.                                                                                                                                                                                                                                                                 </v>
      </c>
      <c r="E30" s="871"/>
      <c r="F30" s="871"/>
      <c r="G30" s="872"/>
      <c r="H30" s="515"/>
      <c r="I30" s="873"/>
      <c r="J30" s="874"/>
      <c r="K30" s="874"/>
      <c r="L30" s="874"/>
      <c r="M30" s="874"/>
      <c r="N30" s="875"/>
      <c r="O30" s="34"/>
    </row>
    <row r="31" spans="1:20" ht="75" hidden="1" customHeight="1">
      <c r="A31" s="145"/>
      <c r="B31" s="524" t="s">
        <v>246</v>
      </c>
      <c r="C31" s="525"/>
      <c r="D31" s="885" t="str">
        <f>IF(ISBLANK(Programatic!M9),"",(Programatic!M9))</f>
        <v xml:space="preserve">Date finale pentru anul 2015: 514 cazuri de tuberculoză cu cultura pozitivă, anterior tratate, testate la sensibilitate pentru preparatele de linia I, din 785 investigate în 2015, au fost diagnosticate cu MDR.
Notă - Se constată menținerea unei rate înalte a TB MDR printre cazurile anterior tratate, situație caracteristică ultimilor ani.  </v>
      </c>
      <c r="E31" s="871"/>
      <c r="F31" s="871"/>
      <c r="G31" s="872"/>
      <c r="H31" s="515"/>
      <c r="I31" s="873"/>
      <c r="J31" s="874"/>
      <c r="K31" s="874"/>
      <c r="L31" s="874"/>
      <c r="M31" s="874"/>
      <c r="N31" s="875"/>
      <c r="O31" s="34"/>
    </row>
    <row r="32" spans="1:20" ht="77.25" customHeight="1">
      <c r="A32" s="145"/>
      <c r="B32" s="526" t="s">
        <v>62</v>
      </c>
      <c r="C32" s="525"/>
      <c r="D32" s="870" t="str">
        <f>IF(ISBLANK(Programatic!L20),"",(Programatic!L20))</f>
        <v xml:space="preserve">Date finale pentru anul 2015: 408 persoane au decedat de tuberculoză în anul 2015 (10,13 decese la 100 000 persoane). 
Notă - Se constată o micșorare cu 19.7% a ratei de mortalitate față de datele anului 2014 (508 cazuri de deces cauzate de tuberculoză) și cu 10.5% față de datele anului 2013 (456 cazuri de deces cauzate de tuberculoză). </v>
      </c>
      <c r="E32" s="871"/>
      <c r="F32" s="871"/>
      <c r="G32" s="872"/>
      <c r="H32" s="515"/>
      <c r="I32" s="873"/>
      <c r="J32" s="874"/>
      <c r="K32" s="874"/>
      <c r="L32" s="874"/>
      <c r="M32" s="874"/>
      <c r="N32" s="875"/>
      <c r="O32" s="34"/>
    </row>
    <row r="33" spans="1:15" ht="77.25" customHeight="1">
      <c r="A33" s="145"/>
      <c r="B33" s="526" t="s">
        <v>63</v>
      </c>
      <c r="C33" s="525"/>
      <c r="D33" s="870" t="str">
        <f>IF(ISBLANK(Programatic!L21),"",(Programatic!L21))</f>
        <v xml:space="preserve">Date finale pentru anul 2015: 338 cazuri noi de tuberculoză cu cultura pozitivă, testate la sensibilitate pentru preparatele de linia I, din 1 336 investigate în 2015, au fost diagnosticate cu MDR.
Notă - Se constată menținerea unei rate înalte a TB MDR printre cazurile noi, situație caracteristică ultimilor ani.                                                                                                                                                                                                                                                                 </v>
      </c>
      <c r="E33" s="871"/>
      <c r="F33" s="871"/>
      <c r="G33" s="872"/>
      <c r="H33" s="515"/>
      <c r="I33" s="873"/>
      <c r="J33" s="874"/>
      <c r="K33" s="874"/>
      <c r="L33" s="874"/>
      <c r="M33" s="874"/>
      <c r="N33" s="875"/>
      <c r="O33" s="34"/>
    </row>
    <row r="34" spans="1:15" ht="80.25" customHeight="1">
      <c r="A34" s="145"/>
      <c r="B34" s="526" t="s">
        <v>64</v>
      </c>
      <c r="C34" s="525"/>
      <c r="D34" s="870" t="str">
        <f>IF(ISBLANK(Programatic!L22),"",(Programatic!L22))</f>
        <v xml:space="preserve">Date finale pentru anul 2015: 514 cazuri de tuberculoză cu cultura pozitivă, anterior tratate, testate la sensibilitate pentru preparatele de linia I, din 785 investigate în 2015, au fost diagnosticate cu MDR.
Notă - Se constată menținerea unei rate înalte a TB MDR printre cazurile anterior tratate, situație caracteristică ultimilor ani.  </v>
      </c>
      <c r="E34" s="871"/>
      <c r="F34" s="871"/>
      <c r="G34" s="872"/>
      <c r="H34" s="515"/>
      <c r="I34" s="873"/>
      <c r="J34" s="874"/>
      <c r="K34" s="874"/>
      <c r="L34" s="874"/>
      <c r="M34" s="874"/>
      <c r="N34" s="875"/>
      <c r="O34" s="34"/>
    </row>
    <row r="35" spans="1:15" ht="119.25" customHeight="1">
      <c r="A35" s="145"/>
      <c r="B35" s="526" t="s">
        <v>65</v>
      </c>
      <c r="C35" s="527"/>
      <c r="D35" s="870" t="str">
        <f>IF(ISBLANK(Programatic!L23),"",(Programatic!L23))</f>
        <v xml:space="preserve">Date finale pentru cohorta MDR-TB anul 2012: 505 cazuri confirmate de TB MDR au fost tratate cu succes (vindecate și cu tratamente încheiate) din 857 incluse în tratment DOTS Plus în 2012.                                                                                  
Notă -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v>
      </c>
      <c r="E35" s="871"/>
      <c r="F35" s="871"/>
      <c r="G35" s="872"/>
      <c r="H35" s="515"/>
      <c r="I35" s="873"/>
      <c r="J35" s="874"/>
      <c r="K35" s="874"/>
      <c r="L35" s="874"/>
      <c r="M35" s="874"/>
      <c r="N35" s="875"/>
      <c r="O35" s="34"/>
    </row>
    <row r="36" spans="1:15" ht="98.25" customHeight="1">
      <c r="A36" s="145"/>
      <c r="B36" s="526" t="s">
        <v>72</v>
      </c>
      <c r="C36" s="527"/>
      <c r="D36" s="870" t="str">
        <f>IF(ISBLANK(Programatic!L24),"",(Programatic!L24))</f>
        <v xml:space="preserve">Date preliminare pentru anul 2015: 3 607 cazuri de tuberculoză (toate formele, bacteriologic confirmate și diagnosticate clinic, cazuri noi și recidive) au fost notificate către autoritatea națională în anul 2015. 
Notă - Se constată o descreștere a ratei de notificare înregistrate în 2015, precum urmează: cu 3,2% comparativ cu datele anului 2014 (92,5 per 100 000), cu 8,3% comparativ cu datele anului 2013 (97,6 per 100 000) și cu 12,9% comparativ cu anul 2012 (102,7 per 100 000).     </v>
      </c>
      <c r="E36" s="871"/>
      <c r="F36" s="871"/>
      <c r="G36" s="872"/>
      <c r="H36" s="515"/>
      <c r="I36" s="873"/>
      <c r="J36" s="874"/>
      <c r="K36" s="874"/>
      <c r="L36" s="874"/>
      <c r="M36" s="874"/>
      <c r="N36" s="875"/>
      <c r="O36" s="34"/>
    </row>
    <row r="37" spans="1:15" ht="43.5" customHeight="1">
      <c r="A37" s="145"/>
      <c r="B37" s="526" t="s">
        <v>73</v>
      </c>
      <c r="C37" s="527"/>
      <c r="D37" s="870" t="str">
        <f>IF(ISBLANK(Programatic!L25),"",(Programatic!L25))</f>
        <v xml:space="preserve">Date finale pentru anul 2015: 2 155 cazuri de tuberculoză (bacteriologic confirmate, cazuri noi și recidive) au fost notificate către autoritatea națională în anul 2015.                                                                 </v>
      </c>
      <c r="E37" s="871"/>
      <c r="F37" s="871"/>
      <c r="G37" s="872"/>
      <c r="H37" s="515"/>
      <c r="I37" s="873"/>
      <c r="J37" s="874"/>
      <c r="K37" s="874"/>
      <c r="L37" s="874"/>
      <c r="M37" s="874"/>
      <c r="N37" s="875"/>
      <c r="O37" s="34"/>
    </row>
    <row r="38" spans="1:15" ht="69.75" customHeight="1">
      <c r="A38" s="145"/>
      <c r="B38" s="526" t="s">
        <v>74</v>
      </c>
      <c r="C38" s="527"/>
      <c r="D38" s="870" t="str">
        <f>IF(ISBLANK(Programatic!L26),"",(Programatic!L26))</f>
        <v xml:space="preserve">Date finale pentru cohorta anului 2014: 1 120 cazuri noi de tuberculoză confirmate bacteriologic, din 1 402 diagnosticate în 2014, au fost tratate cu succes. Comparativ cu datele cohortelor anilor 2013 (75,8%), 2012 (62,56%), 2011 (62.2%) și 2010 (57.81%), se observă o creștere a valorii indicatorului pînă la 79,88% pentru cohorta anului 2014.
</v>
      </c>
      <c r="E38" s="871"/>
      <c r="F38" s="871"/>
      <c r="G38" s="872"/>
      <c r="H38" s="515"/>
      <c r="I38" s="873"/>
      <c r="J38" s="874"/>
      <c r="K38" s="874"/>
      <c r="L38" s="874"/>
      <c r="M38" s="874"/>
      <c r="N38" s="875"/>
      <c r="O38" s="34"/>
    </row>
    <row r="39" spans="1:15" ht="132" customHeight="1">
      <c r="A39" s="145"/>
      <c r="B39" s="526" t="s">
        <v>75</v>
      </c>
      <c r="C39" s="527"/>
      <c r="D39" s="870" t="str">
        <f>IF(ISBLANK(Programatic!L27),"",(Programatic!L27))</f>
        <v>Date pentru Sem.II.2015: 307 pacienți din 414 cazuri de retratamente cu tuberculoză, confirmate bacteriologic (prin microscopie, cultură și Xpert), au efectuat teste de sensibilitate la preparatele de linia I (prin cultură și Xpert) în aceeași perioadă. 
Notă 1 - Trebuie să menționăm că, dacă se iau în considerație și cele 67 de cazuri "după abandon/pierdute din supraveghere" înregistrate, cu testul de diagnostic al sensibilității la preparatele de linia I efectuat anterior perioadei raportate, atunci vom avea 307+67=374 pacienți din 414, adică indicatorul va crește pînă la 90,3%. Iar, rata atingerii indicatorului pentru perioada raportată va fi de 95,05% (90,3%/95%). 
Notă 2 - Acest indicator se referă atît la sectorul civil, cît și la cel penitenciar.</v>
      </c>
      <c r="E39" s="871"/>
      <c r="F39" s="871"/>
      <c r="G39" s="872"/>
      <c r="H39" s="515"/>
      <c r="I39" s="873"/>
      <c r="J39" s="874"/>
      <c r="K39" s="874"/>
      <c r="L39" s="874"/>
      <c r="M39" s="874"/>
      <c r="N39" s="875"/>
      <c r="O39" s="34"/>
    </row>
    <row r="40" spans="1:15" ht="88.5" customHeight="1">
      <c r="A40" s="145"/>
      <c r="B40" s="526" t="s">
        <v>76</v>
      </c>
      <c r="C40" s="195"/>
      <c r="D40" s="870" t="str">
        <f>IF(ISBLANK(Programatic!L28),"",(Programatic!L28))</f>
        <v xml:space="preserve">Date pentru Sem.II.2015: 320 pacienți cu tuberculoză drog-rezistentă (RR-TB și/sau MDR-TB), confirmate bacteriologic, au fost notificate, față de 456 cazuri estimate pentru perioada raportată. 
Notă - Se constată o descreștere a numărului de cazuri de TB DR, confirmate bacteriologic, notificate, pe fonul descreșterii numarului cazurilor TB (toate formele) notificate.                                                              </v>
      </c>
      <c r="E40" s="871"/>
      <c r="F40" s="871"/>
      <c r="G40" s="872"/>
      <c r="H40" s="158"/>
      <c r="I40" s="873"/>
      <c r="J40" s="874"/>
      <c r="K40" s="874"/>
      <c r="L40" s="874"/>
      <c r="M40" s="874"/>
      <c r="N40" s="875"/>
      <c r="O40" s="34"/>
    </row>
    <row r="41" spans="1:15" ht="86.25" customHeight="1" thickBot="1">
      <c r="A41" s="145"/>
      <c r="B41" s="526" t="s">
        <v>77</v>
      </c>
      <c r="C41" s="159"/>
      <c r="D41" s="870" t="str">
        <f>IF(ISBLANK(Programatic!L29),"",(Programatic!L29))</f>
        <v xml:space="preserve">Date pentru Sem.I.2016: 528 pacienți cu tuberculoză drog-rezistentă (RR-TB și/sau MDR-TB), confirmate bacteriologic, au demarat tratamentul DOTS-Plus, față de 390 pacienți preconizați pentru perioada raportată.
Notă - Ținta a fost depășită din cauza includerii în tratamentul DOTS Plus a unui număr adițional de pacienți MDR TB în locul cazurilor de eșec, mortalitate sau pierdute din supraveghere înregistrate.               </v>
      </c>
      <c r="E41" s="871"/>
      <c r="F41" s="871"/>
      <c r="G41" s="872"/>
      <c r="H41" s="158"/>
      <c r="I41" s="873"/>
      <c r="J41" s="874"/>
      <c r="K41" s="874"/>
      <c r="L41" s="874"/>
      <c r="M41" s="874"/>
      <c r="N41" s="875"/>
      <c r="O41" s="34"/>
    </row>
    <row r="42" spans="1:15" ht="240.75" customHeight="1" thickBot="1">
      <c r="A42" s="145"/>
      <c r="B42" s="526" t="s">
        <v>78</v>
      </c>
      <c r="C42" s="159"/>
      <c r="D42" s="870" t="str">
        <f>IF(ISBLANK(Programatic!L30),"",(Programatic!L30))</f>
        <v xml:space="preserve">Date pentru Sem.I.2015: 62 pacienți din 541 incluși în tratamentul DOTS Plus în Sem.I.2015, au abandonat tratamentul după 6 luni de tratament DOTS Plus.                                                                                        Notă 1 - Analiza cazurilor care au abandonat tratamentul pentru DR-TB ne arată că există o diferență a ratei abandonului printre diferite categorii de pacienți. Astfel, rata interimară de abandon printre cazurile noi de pacienți cu DR-TB aflați în tratament a constituit doar 6,4% (14/220), pe când printre cazurile anterior tratate aceasta a constituit 14,9%  (48/321). Totodată, analizând rata interimară de abandon printre cazurile anterior tratate de pacienți cu DR-TB, se observă că aceasta s-a deosebit la diferite tipuri de pacienți: dacă la cazurile după eșec aceasta a fost de 5,1% (5/99), atunci printre recidive a ajuns la 15,1% (20/132) și printre cazurile după abandon - la 25,3% (22/87) . 
Astfel, este indicată o abordare mai specială pentru cazurile de retratamente după abandon, în special axată pe activități de comunicare, educare (atât a pacientului, cât și pentru membrii familiei), monitorizare a tratamentului, în paralel cu asigurarea unui suport social în vederea fortificării aderenței la tratament.                                                                            Notă 2 - Se observă creșterea ratei interimare de abandon al tratamentului cazurilor MDR-TB pentru anul 2015, în comparație cu rata anului 2014 (8,7%), 2013 (8,3%) și 2012 (7,5%).                                                                               </v>
      </c>
      <c r="E42" s="871"/>
      <c r="F42" s="871"/>
      <c r="G42" s="872"/>
      <c r="H42" s="145"/>
      <c r="I42" s="873"/>
      <c r="J42" s="874"/>
      <c r="K42" s="874"/>
      <c r="L42" s="874"/>
      <c r="M42" s="874"/>
      <c r="N42" s="875"/>
      <c r="O42" s="34"/>
    </row>
  </sheetData>
  <mergeCells count="66">
    <mergeCell ref="I19:N19"/>
    <mergeCell ref="I24:N24"/>
    <mergeCell ref="I20:N20"/>
    <mergeCell ref="B18:C18"/>
    <mergeCell ref="B10:C10"/>
    <mergeCell ref="D10:G10"/>
    <mergeCell ref="I12:N12"/>
    <mergeCell ref="D12:G12"/>
    <mergeCell ref="I11:N11"/>
    <mergeCell ref="D23:G23"/>
    <mergeCell ref="I18:N18"/>
    <mergeCell ref="D11:G11"/>
    <mergeCell ref="D13:G13"/>
    <mergeCell ref="I13:N13"/>
    <mergeCell ref="D14:G14"/>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30:G30"/>
    <mergeCell ref="D31:G31"/>
    <mergeCell ref="D33:G33"/>
    <mergeCell ref="D18:G18"/>
    <mergeCell ref="D20:G20"/>
    <mergeCell ref="D19:G19"/>
    <mergeCell ref="D21:G21"/>
    <mergeCell ref="D22:G22"/>
    <mergeCell ref="I28:N28"/>
    <mergeCell ref="D40:G40"/>
    <mergeCell ref="D34:G34"/>
    <mergeCell ref="D29:G29"/>
    <mergeCell ref="D28:G28"/>
    <mergeCell ref="D35:G35"/>
    <mergeCell ref="D32:G32"/>
    <mergeCell ref="D39:G39"/>
    <mergeCell ref="D38:G38"/>
    <mergeCell ref="I29:N29"/>
    <mergeCell ref="I30:N30"/>
    <mergeCell ref="I31:N31"/>
    <mergeCell ref="I32:N32"/>
    <mergeCell ref="I33:N33"/>
    <mergeCell ref="D37:G37"/>
    <mergeCell ref="D36:G36"/>
    <mergeCell ref="I34:N34"/>
    <mergeCell ref="I35:N35"/>
    <mergeCell ref="I36:N36"/>
    <mergeCell ref="I37:N37"/>
    <mergeCell ref="I38:N38"/>
    <mergeCell ref="D42:G42"/>
    <mergeCell ref="I40:N40"/>
    <mergeCell ref="I41:N41"/>
    <mergeCell ref="I42:N42"/>
    <mergeCell ref="I39:N39"/>
    <mergeCell ref="D41:G41"/>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pageSetUpPr fitToPage="1"/>
  </sheetPr>
  <dimension ref="A1:M43"/>
  <sheetViews>
    <sheetView showGridLines="0" view="pageBreakPreview" zoomScaleNormal="100" zoomScaleSheetLayoutView="100" workbookViewId="0">
      <selection activeCell="D47" sqref="D47"/>
    </sheetView>
  </sheetViews>
  <sheetFormatPr defaultColWidth="11" defaultRowHeight="15"/>
  <cols>
    <col min="1" max="1" width="4.125" customWidth="1"/>
    <col min="2" max="2" width="14.625" customWidth="1"/>
    <col min="3" max="3" width="12.375" customWidth="1"/>
    <col min="4" max="4" width="11.625" customWidth="1"/>
    <col min="5" max="5" width="19" customWidth="1"/>
    <col min="6" max="6" width="1.375" customWidth="1"/>
    <col min="7" max="7" width="11.375" customWidth="1"/>
    <col min="8" max="8" width="9.625" customWidth="1"/>
    <col min="9" max="9" width="11.625" customWidth="1"/>
    <col min="10" max="10" width="12.625" customWidth="1"/>
    <col min="11" max="11" width="10.625" customWidth="1"/>
    <col min="12" max="12" width="9.75" customWidth="1"/>
  </cols>
  <sheetData>
    <row r="1" spans="1:13" ht="30.75" customHeight="1"/>
    <row r="2" spans="1:13" ht="27.75" customHeight="1">
      <c r="B2" s="792" t="str">
        <f>+"Tabel Programatic de Evaluare:  "&amp;"  "&amp;IF(+'Introducerea datelor'!C4="Please Select","",'Introducerea datelor'!C4&amp;" - ")&amp;IF('Introducerea datelor'!G6="Please Select","",'Introducerea datelor'!G6)</f>
        <v>Tabel Programatic de Evaluare:    Moldova - TB</v>
      </c>
      <c r="C2" s="792"/>
      <c r="D2" s="792"/>
      <c r="E2" s="792"/>
      <c r="F2" s="792"/>
      <c r="G2" s="792"/>
      <c r="H2" s="792"/>
      <c r="I2" s="792"/>
      <c r="J2" s="792"/>
      <c r="K2" s="792"/>
      <c r="L2" s="792"/>
    </row>
    <row r="3" spans="1:13">
      <c r="B3" s="23" t="str">
        <f>+IF('Introducerea datelor'!G8="Please Select","",'Introducerea datelor'!G8)</f>
        <v/>
      </c>
      <c r="C3" s="796" t="str">
        <f>+IF('Introducerea datelor'!I8="Please Select","",'Introducerea datelor'!I8)</f>
        <v>Period 1</v>
      </c>
      <c r="D3" s="796"/>
      <c r="E3" s="790"/>
      <c r="F3" s="790"/>
      <c r="G3" s="790"/>
      <c r="H3" s="790"/>
      <c r="I3" s="790"/>
      <c r="J3" s="795" t="str">
        <f>+'Introducerea datelor'!B16</f>
        <v>Perioada de Raportare:</v>
      </c>
      <c r="K3" s="795"/>
      <c r="L3" s="163" t="str">
        <f>+'Introducerea datelor'!C16</f>
        <v>P2</v>
      </c>
      <c r="M3" s="84"/>
    </row>
    <row r="4" spans="1:13">
      <c r="B4" s="23" t="str">
        <f>+'Introducerea datelor'!B12</f>
        <v>Ultimul Rating:</v>
      </c>
      <c r="C4" s="946" t="str">
        <f>+IF('Introducerea datelor'!C12="Please Select","",'Introducerea datelor'!C12)</f>
        <v>A2</v>
      </c>
      <c r="D4" s="946"/>
      <c r="E4" s="790" t="str">
        <f>+'Introducerea datelor'!C8</f>
        <v>IP UCIMP DS</v>
      </c>
      <c r="F4" s="790"/>
      <c r="G4" s="790"/>
      <c r="H4" s="790"/>
      <c r="I4" s="790"/>
      <c r="J4" s="795" t="str">
        <f>+'Introducerea datelor'!D16</f>
        <v>De la:</v>
      </c>
      <c r="K4" s="797"/>
      <c r="L4" s="164">
        <f>+IF(ISBLANK('Introducerea datelor'!E16),"",'Introducerea datelor'!E16)</f>
        <v>42370</v>
      </c>
    </row>
    <row r="5" spans="1:13" ht="18.75" customHeight="1">
      <c r="B5" s="23"/>
      <c r="C5" s="23"/>
      <c r="D5" s="790" t="str">
        <f>+'Introducerea datelor'!G4</f>
        <v>Consolidarea controlului Tuberculozei în Republica Moldova</v>
      </c>
      <c r="E5" s="790"/>
      <c r="F5" s="790"/>
      <c r="G5" s="790"/>
      <c r="H5" s="790"/>
      <c r="I5" s="790"/>
      <c r="J5" s="790"/>
      <c r="K5" s="23" t="str">
        <f>+'Introducerea datelor'!F16</f>
        <v>Pînă la:</v>
      </c>
      <c r="L5" s="164">
        <f>+IF(ISBLANK('Introducerea datelor'!G16),"",'Introducerea datelor'!G16)</f>
        <v>42551</v>
      </c>
    </row>
    <row r="6" spans="1:13" ht="18.75">
      <c r="B6" s="22"/>
      <c r="C6" s="23"/>
      <c r="D6" s="24"/>
      <c r="E6" s="794" t="s">
        <v>401</v>
      </c>
      <c r="F6" s="794"/>
      <c r="G6" s="794"/>
      <c r="H6" s="794"/>
      <c r="I6" s="794"/>
    </row>
    <row r="7" spans="1:13" ht="18.75">
      <c r="E7" s="71"/>
      <c r="F7" s="71"/>
      <c r="G7" s="71"/>
      <c r="H7" s="71"/>
      <c r="I7" s="71"/>
    </row>
    <row r="8" spans="1:13" s="32" customFormat="1" ht="21" customHeight="1" thickBot="1">
      <c r="B8" s="75" t="s">
        <v>402</v>
      </c>
      <c r="C8" s="75"/>
      <c r="D8" s="75"/>
      <c r="E8" s="75"/>
      <c r="F8" s="75"/>
      <c r="G8" s="75"/>
      <c r="H8" s="75"/>
      <c r="I8" s="75"/>
      <c r="J8" s="75"/>
      <c r="K8" s="75"/>
      <c r="L8" s="75"/>
    </row>
    <row r="9" spans="1:13" ht="6" customHeight="1">
      <c r="B9" s="73"/>
    </row>
    <row r="10" spans="1:13" ht="18" customHeight="1">
      <c r="B10" s="928"/>
      <c r="C10" s="929"/>
      <c r="D10" s="929"/>
      <c r="E10" s="929"/>
      <c r="F10" s="929"/>
      <c r="G10" s="929"/>
      <c r="H10" s="929"/>
      <c r="I10" s="929"/>
      <c r="J10" s="929"/>
      <c r="K10" s="929"/>
      <c r="L10" s="930"/>
    </row>
    <row r="11" spans="1:13" ht="18" customHeight="1">
      <c r="B11" s="931"/>
      <c r="C11" s="932"/>
      <c r="D11" s="932"/>
      <c r="E11" s="932"/>
      <c r="F11" s="932"/>
      <c r="G11" s="932"/>
      <c r="H11" s="932"/>
      <c r="I11" s="932"/>
      <c r="J11" s="932"/>
      <c r="K11" s="932"/>
      <c r="L11" s="933"/>
    </row>
    <row r="12" spans="1:13" ht="15.75" thickBot="1"/>
    <row r="13" spans="1:13" ht="26.25" customHeight="1" thickBot="1">
      <c r="B13" s="942" t="s">
        <v>431</v>
      </c>
      <c r="C13" s="943"/>
      <c r="D13" s="943"/>
      <c r="E13" s="944"/>
      <c r="F13" s="76"/>
      <c r="G13" s="936" t="s">
        <v>403</v>
      </c>
      <c r="H13" s="934"/>
      <c r="I13" s="934"/>
      <c r="J13" s="77" t="s">
        <v>404</v>
      </c>
      <c r="K13" s="934" t="s">
        <v>405</v>
      </c>
      <c r="L13" s="935"/>
    </row>
    <row r="14" spans="1:13" ht="18.75" customHeight="1">
      <c r="A14" s="953" t="s">
        <v>406</v>
      </c>
      <c r="B14" s="967"/>
      <c r="C14" s="968"/>
      <c r="D14" s="968"/>
      <c r="E14" s="969"/>
      <c r="F14" s="45"/>
      <c r="G14" s="966"/>
      <c r="H14" s="947"/>
      <c r="I14" s="947"/>
      <c r="J14" s="947"/>
      <c r="K14" s="947"/>
      <c r="L14" s="948"/>
    </row>
    <row r="15" spans="1:13" ht="18.75" customHeight="1">
      <c r="A15" s="954"/>
      <c r="B15" s="959"/>
      <c r="C15" s="960"/>
      <c r="D15" s="960"/>
      <c r="E15" s="961"/>
      <c r="F15" s="45"/>
      <c r="G15" s="937"/>
      <c r="H15" s="938"/>
      <c r="I15" s="938"/>
      <c r="J15" s="938"/>
      <c r="K15" s="938"/>
      <c r="L15" s="949"/>
    </row>
    <row r="16" spans="1:13" ht="18.75" customHeight="1">
      <c r="A16" s="954"/>
      <c r="B16" s="956"/>
      <c r="C16" s="957"/>
      <c r="D16" s="957"/>
      <c r="E16" s="958"/>
      <c r="F16" s="45"/>
      <c r="G16" s="937"/>
      <c r="H16" s="938"/>
      <c r="I16" s="938"/>
      <c r="J16" s="938"/>
      <c r="K16" s="938"/>
      <c r="L16" s="949"/>
    </row>
    <row r="17" spans="1:12" ht="18.75" customHeight="1">
      <c r="A17" s="954"/>
      <c r="B17" s="959"/>
      <c r="C17" s="960"/>
      <c r="D17" s="960"/>
      <c r="E17" s="961"/>
      <c r="F17" s="45"/>
      <c r="G17" s="937"/>
      <c r="H17" s="938"/>
      <c r="I17" s="938"/>
      <c r="J17" s="938"/>
      <c r="K17" s="938"/>
      <c r="L17" s="949"/>
    </row>
    <row r="18" spans="1:12" ht="18.75" customHeight="1">
      <c r="A18" s="954"/>
      <c r="B18" s="956"/>
      <c r="C18" s="957"/>
      <c r="D18" s="957"/>
      <c r="E18" s="958"/>
      <c r="F18" s="45"/>
      <c r="G18" s="971"/>
      <c r="H18" s="972"/>
      <c r="I18" s="973"/>
      <c r="J18" s="938"/>
      <c r="K18" s="938"/>
      <c r="L18" s="949"/>
    </row>
    <row r="19" spans="1:12" ht="18.75" customHeight="1">
      <c r="A19" s="954"/>
      <c r="B19" s="959"/>
      <c r="C19" s="960"/>
      <c r="D19" s="960"/>
      <c r="E19" s="961"/>
      <c r="F19" s="45"/>
      <c r="G19" s="974"/>
      <c r="H19" s="975"/>
      <c r="I19" s="976"/>
      <c r="J19" s="938"/>
      <c r="K19" s="938"/>
      <c r="L19" s="949"/>
    </row>
    <row r="20" spans="1:12" ht="18.75" customHeight="1">
      <c r="A20" s="954"/>
      <c r="B20" s="962"/>
      <c r="C20" s="962"/>
      <c r="D20" s="962"/>
      <c r="E20" s="963"/>
      <c r="F20" s="45"/>
      <c r="G20" s="937"/>
      <c r="H20" s="938"/>
      <c r="I20" s="938"/>
      <c r="J20" s="938"/>
      <c r="K20" s="938"/>
      <c r="L20" s="949"/>
    </row>
    <row r="21" spans="1:12" ht="18.75" customHeight="1">
      <c r="A21" s="954"/>
      <c r="B21" s="962"/>
      <c r="C21" s="962"/>
      <c r="D21" s="962"/>
      <c r="E21" s="963"/>
      <c r="F21" s="45"/>
      <c r="G21" s="937"/>
      <c r="H21" s="938"/>
      <c r="I21" s="938"/>
      <c r="J21" s="938"/>
      <c r="K21" s="938"/>
      <c r="L21" s="949"/>
    </row>
    <row r="22" spans="1:12" ht="18.75" customHeight="1">
      <c r="A22" s="954"/>
      <c r="B22" s="962"/>
      <c r="C22" s="962"/>
      <c r="D22" s="962"/>
      <c r="E22" s="963"/>
      <c r="F22" s="45"/>
      <c r="G22" s="937"/>
      <c r="H22" s="938"/>
      <c r="I22" s="938"/>
      <c r="J22" s="938"/>
      <c r="K22" s="938"/>
      <c r="L22" s="949"/>
    </row>
    <row r="23" spans="1:12" ht="18.75" customHeight="1">
      <c r="A23" s="954"/>
      <c r="B23" s="962"/>
      <c r="C23" s="962"/>
      <c r="D23" s="962"/>
      <c r="E23" s="963"/>
      <c r="F23" s="45"/>
      <c r="G23" s="937"/>
      <c r="H23" s="938"/>
      <c r="I23" s="938"/>
      <c r="J23" s="938"/>
      <c r="K23" s="938"/>
      <c r="L23" s="949"/>
    </row>
    <row r="24" spans="1:12" ht="18.75" customHeight="1">
      <c r="A24" s="954"/>
      <c r="B24" s="962"/>
      <c r="C24" s="962"/>
      <c r="D24" s="962"/>
      <c r="E24" s="963"/>
      <c r="F24" s="45"/>
      <c r="G24" s="937"/>
      <c r="H24" s="938"/>
      <c r="I24" s="938"/>
      <c r="J24" s="938"/>
      <c r="K24" s="938"/>
      <c r="L24" s="949"/>
    </row>
    <row r="25" spans="1:12" ht="18.75" customHeight="1" thickBot="1">
      <c r="A25" s="955"/>
      <c r="B25" s="964"/>
      <c r="C25" s="964"/>
      <c r="D25" s="964"/>
      <c r="E25" s="965"/>
      <c r="F25" s="45"/>
      <c r="G25" s="939"/>
      <c r="H25" s="940"/>
      <c r="I25" s="940"/>
      <c r="J25" s="940"/>
      <c r="K25" s="940"/>
      <c r="L25" s="977"/>
    </row>
    <row r="27" spans="1:12" ht="18.75">
      <c r="E27" s="941" t="s">
        <v>407</v>
      </c>
      <c r="F27" s="941"/>
      <c r="G27" s="941"/>
      <c r="H27" s="941"/>
      <c r="I27" s="941"/>
    </row>
    <row r="28" spans="1:12" ht="6" customHeight="1">
      <c r="E28" s="71"/>
      <c r="F28" s="71"/>
      <c r="G28" s="71"/>
      <c r="H28" s="71"/>
      <c r="I28" s="71"/>
    </row>
    <row r="29" spans="1:12" s="32" customFormat="1" ht="21" customHeight="1" thickBot="1">
      <c r="B29" s="75" t="s">
        <v>408</v>
      </c>
      <c r="C29" s="75"/>
      <c r="D29" s="75"/>
      <c r="E29" s="75"/>
      <c r="F29" s="75"/>
      <c r="G29" s="75"/>
      <c r="H29" s="75"/>
      <c r="I29" s="75"/>
      <c r="J29" s="75"/>
      <c r="K29" s="75"/>
      <c r="L29" s="75"/>
    </row>
    <row r="30" spans="1:12" ht="6" customHeight="1" thickBot="1">
      <c r="B30" s="73"/>
    </row>
    <row r="31" spans="1:12" ht="38.25" customHeight="1" thickBot="1">
      <c r="B31" s="942" t="s">
        <v>403</v>
      </c>
      <c r="C31" s="943"/>
      <c r="D31" s="943"/>
      <c r="E31" s="944"/>
      <c r="F31" s="76"/>
      <c r="G31" s="936" t="s">
        <v>409</v>
      </c>
      <c r="H31" s="934"/>
      <c r="I31" s="934"/>
      <c r="J31" s="77" t="s">
        <v>410</v>
      </c>
      <c r="K31" s="934" t="s">
        <v>405</v>
      </c>
      <c r="L31" s="935"/>
    </row>
    <row r="32" spans="1:12" ht="16.5" customHeight="1">
      <c r="A32" s="953" t="s">
        <v>411</v>
      </c>
      <c r="B32" s="988"/>
      <c r="C32" s="989"/>
      <c r="D32" s="989"/>
      <c r="E32" s="990"/>
      <c r="F32" s="45"/>
      <c r="G32" s="950"/>
      <c r="H32" s="951"/>
      <c r="I32" s="951"/>
      <c r="J32" s="951"/>
      <c r="K32" s="951"/>
      <c r="L32" s="980"/>
    </row>
    <row r="33" spans="1:12" ht="16.5" customHeight="1">
      <c r="A33" s="954"/>
      <c r="B33" s="974"/>
      <c r="C33" s="975"/>
      <c r="D33" s="975"/>
      <c r="E33" s="991"/>
      <c r="F33" s="45"/>
      <c r="G33" s="952"/>
      <c r="H33" s="945"/>
      <c r="I33" s="945"/>
      <c r="J33" s="945"/>
      <c r="K33" s="945"/>
      <c r="L33" s="978"/>
    </row>
    <row r="34" spans="1:12" ht="16.5" customHeight="1">
      <c r="A34" s="954"/>
      <c r="B34" s="981" t="str">
        <f>IF(Recomandari!I43="","",Recomandari!I43)</f>
        <v/>
      </c>
      <c r="C34" s="982"/>
      <c r="D34" s="982"/>
      <c r="E34" s="983"/>
      <c r="F34" s="45"/>
      <c r="G34" s="952"/>
      <c r="H34" s="945"/>
      <c r="I34" s="945"/>
      <c r="J34" s="945"/>
      <c r="K34" s="945"/>
      <c r="L34" s="978"/>
    </row>
    <row r="35" spans="1:12" ht="16.5" customHeight="1">
      <c r="A35" s="954"/>
      <c r="B35" s="981"/>
      <c r="C35" s="982"/>
      <c r="D35" s="982"/>
      <c r="E35" s="983"/>
      <c r="F35" s="45"/>
      <c r="G35" s="952"/>
      <c r="H35" s="945"/>
      <c r="I35" s="945"/>
      <c r="J35" s="945"/>
      <c r="K35" s="945"/>
      <c r="L35" s="978"/>
    </row>
    <row r="36" spans="1:12" ht="16.5" customHeight="1">
      <c r="A36" s="954"/>
      <c r="B36" s="981" t="str">
        <f>+IF(Recomandari!I53="","",Recomandari!I53)</f>
        <v/>
      </c>
      <c r="C36" s="982"/>
      <c r="D36" s="982"/>
      <c r="E36" s="983"/>
      <c r="F36" s="45"/>
      <c r="G36" s="952"/>
      <c r="H36" s="945"/>
      <c r="I36" s="945"/>
      <c r="J36" s="945"/>
      <c r="K36" s="945"/>
      <c r="L36" s="978"/>
    </row>
    <row r="37" spans="1:12" ht="16.5" customHeight="1">
      <c r="A37" s="954"/>
      <c r="B37" s="981"/>
      <c r="C37" s="982"/>
      <c r="D37" s="982"/>
      <c r="E37" s="983"/>
      <c r="F37" s="45"/>
      <c r="G37" s="952"/>
      <c r="H37" s="945"/>
      <c r="I37" s="945"/>
      <c r="J37" s="945"/>
      <c r="K37" s="945"/>
      <c r="L37" s="978"/>
    </row>
    <row r="38" spans="1:12" ht="16.5" customHeight="1">
      <c r="A38" s="954"/>
      <c r="B38" s="981"/>
      <c r="C38" s="982"/>
      <c r="D38" s="982"/>
      <c r="E38" s="983"/>
      <c r="F38" s="45"/>
      <c r="G38" s="952"/>
      <c r="H38" s="945"/>
      <c r="I38" s="945"/>
      <c r="J38" s="945"/>
      <c r="K38" s="945"/>
      <c r="L38" s="978"/>
    </row>
    <row r="39" spans="1:12" ht="16.5" customHeight="1">
      <c r="A39" s="954"/>
      <c r="B39" s="981"/>
      <c r="C39" s="982"/>
      <c r="D39" s="982"/>
      <c r="E39" s="983"/>
      <c r="F39" s="45"/>
      <c r="G39" s="952"/>
      <c r="H39" s="945"/>
      <c r="I39" s="945"/>
      <c r="J39" s="945"/>
      <c r="K39" s="945"/>
      <c r="L39" s="978"/>
    </row>
    <row r="40" spans="1:12" ht="16.5" customHeight="1">
      <c r="A40" s="954"/>
      <c r="B40" s="981"/>
      <c r="C40" s="982"/>
      <c r="D40" s="982"/>
      <c r="E40" s="983"/>
      <c r="F40" s="45"/>
      <c r="G40" s="952"/>
      <c r="H40" s="945"/>
      <c r="I40" s="945"/>
      <c r="J40" s="945"/>
      <c r="K40" s="945"/>
      <c r="L40" s="978"/>
    </row>
    <row r="41" spans="1:12" ht="16.5" customHeight="1">
      <c r="A41" s="954"/>
      <c r="B41" s="981"/>
      <c r="C41" s="982"/>
      <c r="D41" s="982"/>
      <c r="E41" s="983"/>
      <c r="F41" s="45"/>
      <c r="G41" s="952"/>
      <c r="H41" s="945"/>
      <c r="I41" s="945"/>
      <c r="J41" s="945"/>
      <c r="K41" s="945"/>
      <c r="L41" s="978"/>
    </row>
    <row r="42" spans="1:12" ht="16.5" customHeight="1">
      <c r="A42" s="954"/>
      <c r="B42" s="981"/>
      <c r="C42" s="982"/>
      <c r="D42" s="982"/>
      <c r="E42" s="983"/>
      <c r="F42" s="45"/>
      <c r="G42" s="952"/>
      <c r="H42" s="945"/>
      <c r="I42" s="945"/>
      <c r="J42" s="945"/>
      <c r="K42" s="945"/>
      <c r="L42" s="978"/>
    </row>
    <row r="43" spans="1:12" ht="16.5" customHeight="1" thickBot="1">
      <c r="A43" s="955"/>
      <c r="B43" s="984"/>
      <c r="C43" s="985"/>
      <c r="D43" s="985"/>
      <c r="E43" s="986"/>
      <c r="F43" s="45"/>
      <c r="G43" s="987"/>
      <c r="H43" s="970"/>
      <c r="I43" s="970"/>
      <c r="J43" s="970"/>
      <c r="K43" s="970"/>
      <c r="L43" s="979"/>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Violeta</cp:lastModifiedBy>
  <cp:lastPrinted>2016-10-11T06:41:10Z</cp:lastPrinted>
  <dcterms:created xsi:type="dcterms:W3CDTF">2011-10-24T05:51:11Z</dcterms:created>
  <dcterms:modified xsi:type="dcterms:W3CDTF">2016-10-22T10:20:21Z</dcterms:modified>
</cp:coreProperties>
</file>