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Communication CCM\10. Recipienții Principali - granturi FG\UCIMP\Dashboard&amp;NoteInfo\Dashboard\"/>
    </mc:Choice>
  </mc:AlternateContent>
  <bookViews>
    <workbookView xWindow="0" yWindow="0" windowWidth="28800" windowHeight="11535" tabRatio="721" activeTab="2"/>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datelor'!$A$1:$O$146</definedName>
    <definedName name="_xlnm.Print_Area" localSheetId="4">Management!$A$2:$L$34</definedName>
    <definedName name="_xlnm.Print_Area" localSheetId="6">Programatic!$A$1:$Q$26</definedName>
    <definedName name="PrintA">Actiuni!$A$2:$L$34</definedName>
    <definedName name="PrintDataF">'Introducerea datelor'!$B$25:$J$64</definedName>
    <definedName name="PrintDataM">'Introducerea datelor'!$B$66:$H$110</definedName>
    <definedName name="PrintF">Financiar!$A$2:$K$31</definedName>
    <definedName name="PrintGD">'Detail despre Grant'!$A$2:$J$13</definedName>
    <definedName name="PrintM" localSheetId="8">Actiuni!$A$2:$L$6</definedName>
    <definedName name="PrintM">Management!$A$2:$L$36</definedName>
    <definedName name="PrintP">Programatic!$A$2:$P$27</definedName>
    <definedName name="PrintR">Recomandari!$A$2:$N$38</definedName>
    <definedName name="Rating">Setup!$G$9:$G$14</definedName>
    <definedName name="Round">Setup!$D$9:$D$21</definedName>
  </definedNames>
  <calcPr calcId="152511"/>
</workbook>
</file>

<file path=xl/calcChain.xml><?xml version="1.0" encoding="utf-8"?>
<calcChain xmlns="http://schemas.openxmlformats.org/spreadsheetml/2006/main">
  <c r="O31" i="29" l="1"/>
  <c r="L22" i="37" l="1"/>
  <c r="L21" i="37" l="1"/>
  <c r="B145" i="29" l="1"/>
  <c r="E145" i="29"/>
  <c r="F145" i="29"/>
  <c r="H145" i="29"/>
  <c r="M145" i="29"/>
  <c r="N145" i="29"/>
  <c r="O145" i="29"/>
  <c r="P145" i="29"/>
  <c r="Q145" i="29"/>
  <c r="R145" i="29"/>
  <c r="S145" i="29"/>
  <c r="H146" i="29"/>
  <c r="M146" i="29"/>
  <c r="N146" i="29"/>
  <c r="O146" i="29"/>
  <c r="P146" i="29"/>
  <c r="Q146" i="29"/>
  <c r="R146" i="29"/>
  <c r="S146" i="29"/>
  <c r="B25" i="37" l="1"/>
  <c r="D32" i="29" l="1"/>
  <c r="L20" i="37" l="1"/>
  <c r="C46" i="29" l="1"/>
  <c r="D46" i="29"/>
  <c r="D99" i="29" l="1"/>
  <c r="E99" i="29" s="1"/>
  <c r="F99" i="29" s="1"/>
  <c r="G99" i="29" s="1"/>
  <c r="H99" i="29" s="1"/>
  <c r="I99" i="29" s="1"/>
  <c r="J99" i="29" s="1"/>
  <c r="K99" i="29" s="1"/>
  <c r="L99" i="29" s="1"/>
  <c r="M99" i="29" s="1"/>
  <c r="N99" i="29" s="1"/>
  <c r="D98" i="29"/>
  <c r="E98" i="29" s="1"/>
  <c r="F98" i="29" s="1"/>
  <c r="G98" i="29" s="1"/>
  <c r="H98" i="29" s="1"/>
  <c r="I98" i="29" s="1"/>
  <c r="J98" i="29" s="1"/>
  <c r="K98" i="29" s="1"/>
  <c r="L98" i="29" s="1"/>
  <c r="M98" i="29" s="1"/>
  <c r="N98" i="29" s="1"/>
  <c r="D97" i="29"/>
  <c r="E97" i="29" s="1"/>
  <c r="F97" i="29" s="1"/>
  <c r="G97" i="29" s="1"/>
  <c r="H97" i="29" s="1"/>
  <c r="I97" i="29" s="1"/>
  <c r="J97" i="29" s="1"/>
  <c r="K97" i="29" s="1"/>
  <c r="L97" i="29" s="1"/>
  <c r="M97" i="29" s="1"/>
  <c r="N97" i="29" s="1"/>
  <c r="E51" i="29"/>
  <c r="E54" i="29"/>
  <c r="E53" i="29"/>
  <c r="E52" i="29"/>
  <c r="D33" i="29"/>
  <c r="E33" i="29" s="1"/>
  <c r="F33" i="29" s="1"/>
  <c r="N34" i="29"/>
  <c r="M34" i="29"/>
  <c r="L34" i="29"/>
  <c r="K34" i="29"/>
  <c r="J34" i="29"/>
  <c r="I34" i="29"/>
  <c r="H34" i="29"/>
  <c r="G34" i="29"/>
  <c r="D34" i="29"/>
  <c r="N33" i="29"/>
  <c r="M33" i="29"/>
  <c r="L33" i="29"/>
  <c r="K33" i="29"/>
  <c r="J33" i="29"/>
  <c r="I33" i="29"/>
  <c r="H33" i="29"/>
  <c r="G33" i="29"/>
  <c r="E34" i="29" l="1"/>
  <c r="F34" i="29" s="1"/>
  <c r="E78" i="29"/>
  <c r="E25" i="37" l="1"/>
  <c r="F26" i="37"/>
  <c r="E26" i="37"/>
  <c r="F25" i="37"/>
  <c r="F24" i="37"/>
  <c r="E24" i="37"/>
  <c r="F23" i="37"/>
  <c r="E23" i="37"/>
  <c r="F22" i="37"/>
  <c r="E22" i="37"/>
  <c r="F21" i="37"/>
  <c r="E21" i="37"/>
  <c r="F20" i="37"/>
  <c r="E20" i="37"/>
  <c r="G25" i="37" l="1"/>
  <c r="G22" i="37"/>
  <c r="G26" i="37"/>
  <c r="G24" i="37"/>
  <c r="G20" i="37"/>
  <c r="G21" i="37"/>
  <c r="G23" i="37"/>
  <c r="H144" i="29" l="1"/>
  <c r="H143" i="29"/>
  <c r="H142" i="29"/>
  <c r="H141" i="29"/>
  <c r="D30" i="42" l="1"/>
  <c r="D37" i="42" l="1"/>
  <c r="R30" i="29" l="1"/>
  <c r="B26" i="37"/>
  <c r="B24" i="37"/>
  <c r="B23" i="37"/>
  <c r="Q143" i="29"/>
  <c r="R143" i="29"/>
  <c r="Q144" i="29"/>
  <c r="R144" i="29"/>
  <c r="M143" i="29"/>
  <c r="N143" i="29"/>
  <c r="O143" i="29"/>
  <c r="P143" i="29"/>
  <c r="M144" i="29"/>
  <c r="N144" i="29"/>
  <c r="O144" i="29"/>
  <c r="P144" i="29"/>
  <c r="M8" i="37"/>
  <c r="B2" i="39"/>
  <c r="B2" i="42"/>
  <c r="B20" i="37"/>
  <c r="B2" i="37"/>
  <c r="B2" i="35"/>
  <c r="B2" i="30"/>
  <c r="B2" i="45"/>
  <c r="B3" i="27"/>
  <c r="B2" i="1" s="1"/>
  <c r="I9" i="27"/>
  <c r="E50" i="29"/>
  <c r="C38" i="29"/>
  <c r="D38" i="29"/>
  <c r="B32" i="29"/>
  <c r="B31" i="29"/>
  <c r="D29" i="42"/>
  <c r="B22" i="45"/>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89" i="29"/>
  <c r="E88" i="29"/>
  <c r="D11" i="42"/>
  <c r="J3" i="35"/>
  <c r="L3" i="35"/>
  <c r="H15" i="35" s="1"/>
  <c r="I3" i="30"/>
  <c r="K3" i="30"/>
  <c r="D33" i="42"/>
  <c r="D34" i="42"/>
  <c r="D35" i="42"/>
  <c r="D36" i="42"/>
  <c r="D38" i="42"/>
  <c r="D32" i="42"/>
  <c r="D31" i="42"/>
  <c r="E108" i="29"/>
  <c r="G108" i="29" s="1"/>
  <c r="I108" i="29" s="1"/>
  <c r="E107" i="29"/>
  <c r="G107" i="29" s="1"/>
  <c r="I107" i="29" s="1"/>
  <c r="E109" i="29"/>
  <c r="G109" i="29" s="1"/>
  <c r="I109" i="29" s="1"/>
  <c r="E110" i="29"/>
  <c r="G110" i="29" s="1"/>
  <c r="I110" i="29" s="1"/>
  <c r="K30" i="35"/>
  <c r="K31" i="35"/>
  <c r="K32" i="35"/>
  <c r="K33" i="35"/>
  <c r="M142" i="29"/>
  <c r="N142" i="29"/>
  <c r="O142" i="29"/>
  <c r="P142" i="29"/>
  <c r="Q142" i="29"/>
  <c r="R142" i="29"/>
  <c r="S142" i="29"/>
  <c r="S143" i="29"/>
  <c r="S144" i="29"/>
  <c r="M141" i="29"/>
  <c r="N141" i="29"/>
  <c r="O141" i="29"/>
  <c r="P141" i="29"/>
  <c r="Q141" i="29"/>
  <c r="R141" i="29"/>
  <c r="S141" i="29"/>
  <c r="F143" i="29"/>
  <c r="F141" i="29"/>
  <c r="E143" i="29"/>
  <c r="E141" i="29"/>
  <c r="B143" i="29"/>
  <c r="B141" i="29"/>
  <c r="N35" i="29"/>
  <c r="H29" i="30"/>
  <c r="H28" i="30"/>
  <c r="H27" i="30"/>
  <c r="D24" i="42"/>
  <c r="D23" i="42"/>
  <c r="D22" i="42"/>
  <c r="D21" i="42"/>
  <c r="D20" i="42"/>
  <c r="D19" i="42"/>
  <c r="D14" i="42"/>
  <c r="D13" i="42"/>
  <c r="D12" i="42"/>
  <c r="B25" i="45"/>
  <c r="B23" i="45"/>
  <c r="B21" i="45"/>
  <c r="B20" i="45"/>
  <c r="B19" i="45"/>
  <c r="B11" i="45"/>
  <c r="B10" i="45"/>
  <c r="B9" i="45"/>
  <c r="B8" i="45"/>
  <c r="B4" i="37"/>
  <c r="B4" i="35"/>
  <c r="B4" i="30"/>
  <c r="G72" i="29"/>
  <c r="F20" i="42" s="1"/>
  <c r="G12" i="27"/>
  <c r="H4" i="1"/>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N3" i="37"/>
  <c r="J5" i="30"/>
  <c r="D5" i="30"/>
  <c r="I4" i="30"/>
  <c r="E4" i="30"/>
  <c r="G8" i="37"/>
  <c r="C8" i="37"/>
  <c r="S140" i="29"/>
  <c r="R140" i="29"/>
  <c r="Q140" i="29"/>
  <c r="P140" i="29"/>
  <c r="O140" i="29"/>
  <c r="B22" i="37"/>
  <c r="B21" i="37"/>
  <c r="N140" i="29"/>
  <c r="M140" i="29"/>
  <c r="L140" i="29"/>
  <c r="K140" i="29"/>
  <c r="J140" i="29"/>
  <c r="I140" i="29"/>
  <c r="H140" i="29"/>
  <c r="B36" i="39"/>
  <c r="B34" i="39"/>
  <c r="B34" i="35"/>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6" i="37"/>
  <c r="U26" i="37"/>
  <c r="V26" i="37"/>
  <c r="W26" i="37"/>
  <c r="X26" i="37"/>
  <c r="T28" i="37"/>
  <c r="T27" i="37"/>
  <c r="U27" i="37"/>
  <c r="V27" i="37"/>
  <c r="W27" i="37"/>
  <c r="X27" i="37"/>
  <c r="U28" i="37"/>
  <c r="W28" i="37"/>
  <c r="T29" i="37"/>
  <c r="U29" i="37"/>
  <c r="V29" i="37"/>
  <c r="W29" i="37"/>
  <c r="X29" i="37"/>
  <c r="T30" i="37"/>
  <c r="U30" i="37"/>
  <c r="V30" i="37"/>
  <c r="W30" i="37"/>
  <c r="X30" i="37"/>
  <c r="X28" i="37"/>
  <c r="V28" i="37"/>
  <c r="C35" i="29"/>
  <c r="R29" i="29"/>
  <c r="E35" i="29"/>
  <c r="R33" i="29"/>
  <c r="H35" i="29"/>
  <c r="R35" i="29"/>
  <c r="J35" i="29"/>
  <c r="R49" i="29"/>
  <c r="L35" i="29"/>
  <c r="M35" i="29"/>
  <c r="H22" i="30" l="1"/>
  <c r="B3" i="32"/>
  <c r="AD23" i="37"/>
  <c r="AB23" i="37"/>
  <c r="AF23" i="37"/>
  <c r="AE23" i="37"/>
  <c r="AD22" i="37"/>
  <c r="AC22" i="37"/>
  <c r="AB22" i="37"/>
  <c r="AF22" i="37"/>
  <c r="AE22" i="37"/>
  <c r="AC23" i="37"/>
  <c r="E20" i="42"/>
  <c r="K110" i="29"/>
  <c r="L33" i="35" s="1"/>
  <c r="J33" i="35"/>
  <c r="H7" i="35"/>
  <c r="D35" i="29"/>
  <c r="R32" i="29"/>
  <c r="F46" i="29"/>
  <c r="B22" i="30"/>
  <c r="AB24" i="37"/>
  <c r="AF24" i="37"/>
  <c r="AC24" i="37"/>
  <c r="AD24" i="37"/>
  <c r="AE24" i="37"/>
  <c r="J30" i="35"/>
  <c r="K107" i="29"/>
  <c r="L30" i="35" s="1"/>
  <c r="K108" i="29"/>
  <c r="L31" i="35" s="1"/>
  <c r="J31" i="35"/>
  <c r="J32" i="35"/>
  <c r="K109" i="29"/>
  <c r="L32" i="35" s="1"/>
  <c r="H8" i="30"/>
  <c r="H26" i="35"/>
  <c r="B8" i="30"/>
  <c r="B7" i="35"/>
  <c r="B15" i="35"/>
  <c r="K35" i="29"/>
  <c r="I35" i="29"/>
  <c r="G35" i="29"/>
  <c r="R31" i="29"/>
  <c r="R34" i="29"/>
  <c r="F35" i="29"/>
  <c r="R48" i="29"/>
  <c r="Q50"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1" authorId="1" shapeId="0">
      <text>
        <r>
          <rPr>
            <b/>
            <sz val="8"/>
            <color indexed="81"/>
            <rFont val="Tahoma"/>
            <family val="2"/>
            <charset val="204"/>
          </rPr>
          <t xml:space="preserve">If data are not available, do not enter zeros; rather, leave the cells in the table blank. </t>
        </r>
      </text>
    </comment>
    <comment ref="B72" authorId="1" shapeId="0">
      <text>
        <r>
          <rPr>
            <b/>
            <sz val="8"/>
            <color indexed="81"/>
            <rFont val="Tahoma"/>
            <family val="2"/>
            <charset val="204"/>
          </rPr>
          <t>If data are not available, do not enter zeros; rather, leave the cells in this table blank.</t>
        </r>
      </text>
    </comment>
    <comment ref="B78" authorId="0" shapeId="0">
      <text>
        <r>
          <rPr>
            <sz val="8"/>
            <color indexed="81"/>
            <rFont val="Tahoma"/>
            <family val="2"/>
            <charset val="204"/>
          </rPr>
          <t xml:space="preserve">If data are not available, do not enter zeros; rather, leave the cells in this table blank. </t>
        </r>
      </text>
    </comment>
    <comment ref="B93"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<sst xmlns="http://schemas.openxmlformats.org/spreadsheetml/2006/main" count="652" uniqueCount="502">
  <si>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</si>
  <si>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</si>
  <si>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</si>
  <si>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</si>
  <si>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</si>
  <si>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</si>
  <si>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</si>
  <si>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</si>
  <si>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</si>
  <si>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</si>
  <si>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</si>
  <si>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</si>
  <si>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</si>
  <si>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</si>
  <si>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</si>
  <si>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</si>
  <si>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</si>
  <si>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</si>
  <si>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</si>
  <si>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</si>
  <si>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</si>
  <si>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</si>
  <si>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</si>
  <si>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</si>
  <si>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</si>
  <si>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</si>
  <si>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</si>
  <si>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</si>
  <si>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</si>
  <si>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</si>
  <si>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</si>
  <si>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</si>
  <si>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</si>
  <si>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</si>
  <si>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</si>
  <si>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</si>
  <si>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</si>
  <si>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</si>
  <si>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</si>
  <si>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</si>
  <si>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</si>
  <si>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</si>
  <si>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</si>
  <si>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</si>
  <si>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</si>
  <si>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</si>
  <si>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</si>
  <si>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</si>
  <si>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</si>
  <si>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</si>
  <si>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</si>
  <si>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</si>
  <si>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</si>
  <si>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</si>
  <si>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</si>
  <si>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</si>
  <si>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</si>
  <si>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</si>
  <si>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</si>
  <si>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</si>
  <si>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</si>
  <si>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</si>
  <si>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</si>
  <si>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</si>
  <si>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</si>
  <si>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</si>
  <si>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</si>
  <si>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</si>
  <si>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</si>
  <si>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</si>
  <si>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</si>
  <si>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</si>
  <si>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</si>
  <si>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</si>
  <si>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</si>
  <si>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</si>
  <si>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</si>
  <si>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</si>
  <si>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</si>
  <si>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</si>
  <si>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</si>
  <si>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</si>
  <si>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</si>
  <si>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</si>
  <si>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</si>
  <si>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</si>
  <si>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</si>
  <si>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</si>
  <si>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</si>
  <si>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</si>
  <si>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</si>
  <si>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</si>
  <si>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</si>
  <si>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</si>
  <si>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</si>
  <si>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</si>
  <si>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</si>
  <si>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</si>
  <si>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</si>
  <si>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</si>
  <si>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</si>
  <si>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</si>
  <si>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</si>
  <si>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</si>
  <si>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</si>
  <si>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</si>
  <si>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</si>
  <si>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</si>
  <si>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</si>
  <si>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</si>
  <si>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</si>
  <si>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</si>
  <si>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</si>
  <si>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</si>
  <si>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</si>
  <si>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</si>
  <si>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</si>
  <si>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</si>
  <si>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</si>
  <si>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</si>
  <si>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</si>
  <si>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</si>
  <si>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</si>
  <si>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</si>
  <si>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</si>
  <si>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</si>
  <si>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</si>
  <si>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</si>
  <si>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</si>
  <si>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</si>
  <si>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</si>
  <si>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</si>
  <si>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</si>
  <si>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</si>
  <si>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</si>
  <si>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</si>
  <si>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</si>
  <si>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</si>
  <si>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</si>
  <si>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</si>
  <si>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</si>
  <si>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</si>
  <si>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</si>
  <si>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</si>
  <si>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</si>
  <si>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</si>
  <si>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</si>
  <si>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</si>
  <si>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</si>
  <si>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</si>
  <si>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</si>
  <si>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</si>
  <si>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</si>
  <si>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</si>
  <si>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</si>
  <si>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</si>
  <si>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</si>
  <si>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</si>
  <si>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</si>
  <si>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</si>
  <si>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</si>
  <si>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</si>
  <si>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</si>
  <si>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</si>
  <si>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</si>
  <si>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</si>
  <si>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</si>
  <si>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</si>
  <si>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</si>
  <si>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</si>
  <si>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</si>
  <si>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</si>
  <si>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</si>
  <si>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</si>
  <si>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</si>
  <si>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</si>
  <si>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</si>
  <si>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</si>
  <si>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</si>
  <si>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</si>
  <si>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</si>
  <si>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</si>
  <si>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</si>
  <si>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</si>
  <si>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</si>
  <si>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</si>
  <si>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</si>
  <si>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</si>
  <si>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</si>
  <si>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</si>
  <si>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</si>
  <si>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</si>
  <si>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</si>
  <si>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</si>
  <si>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</si>
  <si>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</si>
  <si>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</si>
  <si>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</si>
  <si>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</si>
  <si>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</si>
  <si>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</si>
  <si>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</si>
  <si>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</si>
  <si>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</si>
  <si>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</si>
  <si>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</si>
  <si>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</si>
  <si>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</si>
  <si>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</si>
  <si>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</si>
  <si>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</si>
  <si>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</si>
  <si>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</si>
  <si>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</si>
  <si>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</si>
  <si>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</si>
  <si>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</si>
  <si>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</si>
  <si>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</si>
  <si>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</si>
  <si>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</si>
  <si>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</si>
  <si>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</si>
  <si>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</si>
  <si>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</si>
  <si>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</si>
  <si>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</si>
  <si>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</si>
  <si>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</si>
  <si>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</si>
  <si>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</si>
  <si>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</si>
  <si>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</si>
  <si>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</si>
  <si>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</si>
  <si>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</si>
  <si>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</si>
  <si>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</si>
  <si>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</si>
  <si>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</si>
  <si>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</si>
  <si>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</si>
  <si>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</si>
  <si>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</si>
  <si>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</si>
  <si>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</si>
  <si>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</si>
  <si>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</si>
  <si>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</si>
  <si>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</si>
  <si>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</si>
  <si>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</si>
  <si>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</si>
  <si>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</si>
  <si>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</si>
  <si>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</si>
  <si>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</si>
  <si>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</si>
  <si>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</si>
  <si>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</si>
  <si>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</si>
  <si>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</si>
  <si>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</si>
  <si>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</si>
  <si>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</si>
  <si>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</si>
  <si>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</si>
  <si>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</si>
  <si>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</si>
  <si>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</si>
  <si>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</si>
  <si>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</si>
  <si>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</si>
  <si>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</si>
  <si>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</si>
  <si>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</si>
  <si>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</si>
  <si>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</si>
  <si>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</si>
  <si>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</si>
  <si>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</si>
  <si>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</si>
  <si>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</si>
  <si>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</si>
  <si>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</si>
  <si>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</si>
  <si>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</si>
  <si>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</si>
  <si>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</si>
  <si>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</si>
  <si>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</si>
  <si>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</si>
  <si>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</si>
  <si>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</si>
  <si>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</si>
  <si>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</si>
  <si>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</si>
  <si>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</si>
  <si>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</si>
  <si>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</si>
  <si>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</si>
  <si>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</si>
  <si>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</si>
  <si>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</si>
  <si>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</si>
  <si>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</si>
  <si>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</si>
  <si>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</si>
  <si>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</si>
  <si>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</si>
  <si>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</si>
  <si>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</si>
  <si>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</si>
  <si>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</si>
  <si>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</si>
  <si>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</si>
  <si>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</si>
  <si>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</si>
  <si>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</si>
  <si>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</si>
  <si>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</si>
  <si>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</si>
  <si>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</si>
  <si>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</si>
  <si>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</si>
  <si>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</si>
  <si>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</si>
  <si>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</si>
  <si>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</si>
  <si>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</si>
  <si>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</si>
  <si>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</si>
  <si>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</si>
  <si>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</si>
  <si>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</si>
  <si>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</si>
  <si>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</si>
  <si>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</si>
  <si>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</si>
  <si>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</si>
  <si>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</si>
  <si>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</si>
  <si>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</si>
  <si>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</si>
  <si>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</si>
  <si>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</si>
  <si>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</si>
  <si>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</si>
  <si>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</si>
  <si>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</si>
  <si>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</si>
  <si>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</si>
  <si>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</si>
  <si>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</si>
  <si>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</si>
  <si>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</si>
  <si>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</si>
  <si>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</si>
  <si>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</si>
  <si>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</si>
  <si>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</si>
  <si>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</si>
  <si>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</si>
  <si>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</si>
  <si>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</si>
  <si>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</si>
  <si>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</si>
  <si>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</si>
  <si>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</si>
  <si>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</si>
  <si>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</si>
  <si>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</si>
  <si>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</si>
  <si>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</si>
  <si>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</si>
  <si>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</si>
  <si>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</si>
  <si>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</si>
  <si>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</si>
  <si>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</si>
  <si>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</si>
  <si>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</si>
  <si>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</si>
  <si>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</si>
  <si>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</si>
  <si>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</si>
  <si>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</si>
  <si>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</si>
  <si>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</si>
  <si>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</si>
  <si>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</si>
  <si>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</si>
  <si>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</si>
  <si>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</si>
  <si>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</si>
  <si>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</si>
  <si>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</si>
  <si>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</si>
  <si>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</si>
  <si>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</si>
  <si>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</si>
  <si>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</si>
  <si>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</si>
  <si>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</si>
  <si>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</si>
  <si>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</si>
  <si>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</si>
  <si>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</si>
  <si>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</si>
  <si>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</si>
  <si>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</si>
  <si>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</si>
  <si>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</si>
  <si>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</si>
  <si>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</si>
  <si>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Formular de notificare a cazurilor TB (089); Registrul cazurilor TB (03);
Fișa de tratament a pacienților TB (01).</t>
  </si>
  <si>
    <t>Numărător: Numărul de decese cauzate de TB (toate formele) înregistrate într-o anumită perioadă per 100,000 persoane; Numitor: Numărul total al populației în țară</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</si>
  <si>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</si>
  <si>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</si>
  <si>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</si>
  <si>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</si>
  <si>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</si>
  <si>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</si>
  <si>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</si>
  <si>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</si>
  <si>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</si>
  <si>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</si>
  <si>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Y - nu este cumulativ</t>
  </si>
  <si>
    <t>Rezultat 2</t>
  </si>
  <si>
    <t>Rezultat 1</t>
  </si>
  <si>
    <t>Recomandările cheie a Comisiei de Supraveghere</t>
  </si>
  <si>
    <t>IP UCIMP DS</t>
  </si>
  <si>
    <t>Tsovinar Sakanyan</t>
  </si>
  <si>
    <t xml:space="preserve">                               Introduceți datele pentru management în celulele albastre</t>
  </si>
  <si>
    <t>Asigurarea accesului universal la diagnosticul la timp şi de calitate al tuturor formelor de tuberculoză, inclusiv al celor cu TB-M/EDR</t>
  </si>
  <si>
    <t>Consolidarea managementului, coordonării, monitorizării și evaluării Programului Național de control al tuberculozei</t>
  </si>
  <si>
    <t>Fortificarea managementului Programului</t>
  </si>
  <si>
    <t>Asigurarea accesului universal la tratamentul calitativ al tuturor formelor de tuberculoză, inclusiv al celor cu TB-M/EDR</t>
  </si>
  <si>
    <t>Impact 2</t>
  </si>
  <si>
    <t>Proces 1</t>
  </si>
  <si>
    <t>Numărul de cazuri de TB DR (RR-TB și/sau MDR-TB), confirmate bacteriologic, notificate</t>
  </si>
  <si>
    <t xml:space="preserve">Proces 2 </t>
  </si>
  <si>
    <t xml:space="preserve">Numărul cazurilor cu tuberculoză drog-rezistentă (RR-TB și/sau MDR-TB), confirmate bacteriologic, care au demarat tratamentul DOTS-Plus în perioada raportată                 </t>
  </si>
  <si>
    <t>Proces 3</t>
  </si>
  <si>
    <t>Proces 4</t>
  </si>
  <si>
    <t xml:space="preserve">Rezultatul interimar de abandon al tratamentului cazurilor MDR-TB: numărul și procentul pacienţilor cu tuberculoză drog-rezistentă (RR-TB și/sau MDR-TB) care au întrerupt tratamentul DOTS-Plus către luna a 6 de la demararea acestuia   </t>
  </si>
  <si>
    <t>Indicator de impact 1. Rata mortalităţii  - Numărul estimat de decese cauzate de TB (toate formele) pe an, la 100,000 persoane</t>
  </si>
  <si>
    <t>Indicator de impact 3. Prevalența TB MDR printre cazurile de tuberculoză anterior tratate</t>
  </si>
  <si>
    <t xml:space="preserve">Indicator de impact 2. Prevalența TB MDR printre cazurile noi de tuberculoză </t>
  </si>
  <si>
    <t>Indicator de rezultat 1. Rata succesului tratamentului pacienților cu TB MDR</t>
  </si>
  <si>
    <t xml:space="preserve">Indicator de rezultat 2. Rata de notificare a cazurilor de tuberculoză (toate formele) per 100,000 populație        </t>
  </si>
  <si>
    <t>Indicator de rezultat 3. Rata de notificare a cazurilor de tuberculoză per 100,000 populație</t>
  </si>
  <si>
    <t>Indicator de rezultat 4. Rata succesului tratamentului cazurilor noi</t>
  </si>
  <si>
    <t>Indicator de proces 1. Numărul și procentul cazurilor retratamente de tuberculoză, care efectuează teste de diagnostic al sensibilității la preparatele de linia I (doar cazurile TB confirmate bacteriologic)</t>
  </si>
  <si>
    <t>Indicator de proces 2. Numărul de cazuri de TB DR (RR-TB și/sau MDR-TB), confirmate bacteriologic, notificate</t>
  </si>
  <si>
    <t xml:space="preserve">Indicator de proces 3. Numărul cazurilor cu tuberculoză drog-rezistentă (RR-TB și/sau MDR-TB), confirmate bacteriologic, care au demarat tratamentul DOTS-Plus în perioada raportată                 </t>
  </si>
  <si>
    <t>Indicator de proces 4. Rezultatul interimar de abandon al tratamentului cazurilor MDR-TB</t>
  </si>
  <si>
    <t xml:space="preserve">Impact 2 </t>
  </si>
  <si>
    <t>Definiție (din M&amp;E Plan, Ianuarie 2015)</t>
  </si>
  <si>
    <t xml:space="preserve">Formular de notificare a cazurilor MDR TB (090); Registrul cazurilor MDR TB (03MDR = registru categoria IV); Fișa de tratament a pacienților MDR TB (01)  
</t>
  </si>
  <si>
    <t xml:space="preserve">Formular de notificare a cazurilor MDR TB (090); Registrul cazurilor MDR TB (03MDR = registru categoria IV); Fișa de tratament a pacienților MDR TB (01)  
</t>
  </si>
  <si>
    <t>Numărător: Numărul cazurilor noi de tuberculoză cu cultura pozitivă, testate la sensibilitate pentru preparatele de linia I, diagnosticate cu MDR; Numitor: Numărul total de cazuri noi de tuberculoză cu cultura pozitivă, testate lasensibilitate pentru preparatele de linia I, pe parcursul anului</t>
  </si>
  <si>
    <t xml:space="preserve">Numărător: Numărul cazurilor de tuberculoză cu cultura pozitivă, anterior tratate, testate la sensibilitate pentru preparatele de linia I, diagnosticate cu MDR; Numitor: Numărul total de cazuri de tuberculoză cu cultura pozitivă, anterior tratate, testate la sensibilitate pentru preparatele de linia I, pe parcursul anului </t>
  </si>
  <si>
    <t>Proces 2</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</si>
  <si>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</si>
  <si>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cazurilor retratamente de tuberculoză cu rezultatele testelor la sensibilitate pentru preparatele isoniazid și rifampicin, înregistrate în perioada de raportare; Numitor: Numărul total de cazuri retratamente de tuberculoză confirmate bacteriologic, înregistrate în aceeași perioadă</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</si>
  <si>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</si>
  <si>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</si>
  <si>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Numărător: Cazurile de tuberculoză (bacteriologic confirmate, cazuri noi și recidive) notificate către autoritatea națională, într-o perioadă anumită de timp, per 100,000 populație; Numitor: Numărul total al populației în țară</t>
  </si>
  <si>
    <t xml:space="preserve">Numărător: Numărul de cazuri de TB DR (RR-TB și/sau MDR-TB), confirmate bacteriologic, notificate către autoritatea națională, în perioada raportată; Numitor: Nu este   </t>
  </si>
  <si>
    <t xml:space="preserve">Formular de notificare a cazurilor TB (089); Registrul cazurilor TB (03); Fișa de tratament a pacienților TB (01)
</t>
  </si>
  <si>
    <t>Sistemul R&amp;R TB; Rapoarte trimestriale; SYME TB</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</si>
  <si>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</si>
  <si>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</si>
  <si>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</si>
  <si>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</si>
  <si>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Numărul cazurilor noi de tuberculoză confirmate bacteriologic, tratate cu succes (vindecate și cu tratamente încheiate); Numitor: Numărul total de cazuri noi cu tuberculoză confirmate bacteriologic, înregistrate într-un an</t>
  </si>
  <si>
    <t>MDA-T-PCIMU (#678)</t>
  </si>
  <si>
    <t>Period 1</t>
  </si>
  <si>
    <t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t>
  </si>
  <si>
    <t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t>
  </si>
  <si>
    <t>Toate posturile în cadrul echipei ce gestionează Grantul TB al Noului Mecanism de Finanțare sunt ocupate.</t>
  </si>
  <si>
    <t>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</si>
  <si>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Rata mortalităţii  - Numărul de decese cauzate de TB (toate formele) pe an, la 100 000 persoane</t>
  </si>
  <si>
    <t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t>
  </si>
  <si>
    <t>Angajamente TB la 30.06.2015</t>
  </si>
  <si>
    <t>* Include numai AFR categoriile 4,5 și 6  (Produse medicale și Echipamente medicale &amp; Medicamente și Produse farmaceutice)</t>
  </si>
  <si>
    <t>Două din cele trei condiții precedente stipulate în Acordul de Grant au fost îndeplinite, axate pe procurarea medicamentelor antituberculoase de linia a doua pentru tratamentul pacienților cu TB DR.  Termenul limită pentru îndeplinirea celei de a treia condiție, de dezvoltare a planului de sustenabilitate, este de 31 decembrie 2016.</t>
  </si>
  <si>
    <t>În perioada raportată Sub-Recipientul a prezentat în conformitate cu Acordul două rapoarte trimestriale și raportul cumulativ anual pentru 2015.</t>
  </si>
  <si>
    <t>Analiza stocului (la data de 31 decembrie 2016) a medicamentelor de linia a II și a III, a numărului de pacienți în tratament la aceeași dată, precum si a livrarilor planificate arata prezența unui stock buffer între 4 și 16 de luni ce previne riscul lipsei de preparate.</t>
  </si>
  <si>
    <t>În perioada semestrului II, 2016 au fost valorificați 
1 312 662,07 EUR față de 1 386 625,26 EUR bugetați pentru perioada raportată, ceea ce constituie 94,7%.
Variația pentru perioada stipulată constituie suma de 
73 963,19 compusă din: 
(-) 263 776,33 EUR - cheltuieli peste nivelul planificat, 
342 835,81 EUR – cheltuieli sub nivelul planificat și 
(-) 5 096,29 EUR utilizarea interesului bancar inițial ne bugetat. 
Cumulativ, de la demararea Grantului, în perioada        01 Iulie 2015 - 31 Decembrie 2016, au fost valorificați  
3 756 750,40 EUR față de 6 203 618,04 EUR planificați pentru această perioada, ceea ce constituie 60,6%. 
Variația pentru perioada cumulativă constituie suma de 2 446 867,64 EUR, compusă din:  
(-)  33 536,69 EUR – cheltuieli peste nivelul planificat, 
2 490 916,88 EUR – cheltuieli sub nivelul planificat, 
(-) 10 512,55 EUR – utilizarea interesului bancar inițial ne bugetat. 
Analiza detaliată a cheltuielilor, inclusiv sumele restante și economiile obținute către 31 decembrie 2016 sunt prezentate în nota informativă narativă la dashboard.</t>
  </si>
  <si>
    <t xml:space="preserve">Raportul de progres standard către Secretariatul Fondului Global pentru semestrul II.2016 a fost remis donatorului pentru examinare la 20 martie 2017. </t>
  </si>
  <si>
    <t xml:space="preserve">
În cadrul activităților din Obiectivul I a fost valorificată în semestrul II.2016  suma de 456 967,39 EUR față de 312 510,67 EUR bugetați (146,2%), iar cumulativ în perioada 01 iulie 2015 - 31 decembrie 2016 a fost valorificată suma de 940 106,00 EUR față de 1 543 242,68 EUR bugetați (60,9%). 
În cadrul activităților din Obiectivul II a fost valorificată în semestrul II.2016  suma de 728 625,96 EUR față de 909 030,60 EUR bugetați (80,2%), iar cumulativ în perioada 01 iulie 2015 - 31 decembrie 2016 a fost valorificată suma de 2 423 056,26 EUR față de 4 158 092,10 EUR bugetați (58,3%). 
În cadrul activităților din Obiectivul V a fost valorificată în semestrul II.2016  suma de 40 083,88 EUR față de 81 647,20 EUR bugetați (49,1%), iar cumulativ în perioada 01 iulie 2015 - 31 decembrie 2016 a fost valorificată suma de 132 286,04 EUR față de 252 096,14 EUR bugetați (52,5%). 
În cadrul activităților Managementului Proiectului a fost valorificată în semestrul II.2016  suma de 81 888,55 EUR față de83 436,79 EUR bugetați (98,1%), iar cumulativ în perioada 01 iulie 2015 - 31 decembrie 2016 a fost valorificată suma de 250 789,55 EUR față de 250 187,12 EUR bugetați (100,2%). 
Analiza detaliată a cheltuielilor, inclusiv sumele restante și economiile obținute către 31 decembrie 2016 sunt prezentate în nota informativă narativă la dashboard.
</t>
  </si>
  <si>
    <r>
      <t xml:space="preserve">Date preliminare pentru anul 2016: </t>
    </r>
    <r>
      <rPr>
        <sz val="9"/>
        <rFont val="Calibri"/>
        <family val="2"/>
        <charset val="204"/>
      </rPr>
      <t xml:space="preserve">373 persoane au decedat de tuberculoză în anul 2016 (9,3 decese la 100 000 persoane). </t>
    </r>
    <r>
      <rPr>
        <b/>
        <sz val="9"/>
        <rFont val="Calibri"/>
        <family val="2"/>
      </rPr>
      <t xml:space="preserve">
Notă: </t>
    </r>
    <r>
      <rPr>
        <sz val="9"/>
        <rFont val="Calibri"/>
        <family val="2"/>
        <charset val="204"/>
      </rPr>
      <t xml:space="preserve">Se constată o micșorare cu 8,6% a ratei de mortalitate față de datele anului 2015 (408 cazuri de deces cauzate de tuberculoză), cu 26,5% a ratei de mortalitate față de datele anului 2014 (508 cazuri de deces cauzate de tuberculoză) și cu 18,2% față de datele anului 2013 (456 cazuri de deces cauzate de tuberculoză). </t>
    </r>
  </si>
  <si>
    <r>
      <rPr>
        <b/>
        <sz val="9"/>
        <rFont val="Calibri"/>
        <family val="2"/>
      </rPr>
      <t xml:space="preserve">Date preliminare pentru anul 2016: </t>
    </r>
    <r>
      <rPr>
        <sz val="9"/>
        <rFont val="Calibri"/>
        <family val="2"/>
        <charset val="204"/>
      </rPr>
      <t>321 cazuri noi de tuberculoză cu cultura pozitivă, testate la sensibilitate pentru preparatele de linia I, din 1 289 investigate în 2016, au fost diagnosticate cu MDR.</t>
    </r>
    <r>
      <rPr>
        <b/>
        <sz val="9"/>
        <rFont val="Calibri"/>
        <family val="2"/>
      </rPr>
      <t xml:space="preserve">
Notă: </t>
    </r>
    <r>
      <rPr>
        <sz val="9"/>
        <rFont val="Calibri"/>
        <family val="2"/>
        <charset val="204"/>
      </rPr>
      <t xml:space="preserve">Se constată menținerea unei rate înalte a TB MDR printre cazurile noi, situație caracteristică ultimilor ani.                         </t>
    </r>
    <r>
      <rPr>
        <sz val="9"/>
        <rFont val="Calibri"/>
        <family val="2"/>
      </rPr>
      <t xml:space="preserve">                                                                                                                                                                                                                                         </t>
    </r>
  </si>
  <si>
    <r>
      <t xml:space="preserve">Date finale pentru cohorta MDR-TB 2013: </t>
    </r>
    <r>
      <rPr>
        <sz val="9"/>
        <rFont val="Calibri"/>
        <family val="2"/>
        <charset val="204"/>
      </rPr>
      <t xml:space="preserve">538 cazuri confirmate de TB MDR, din 943 incluse în tratmentul DOTS Plus în 2013, au fost tratate cu succes (vindecate și cu tratamente încheiate).                              </t>
    </r>
    <r>
      <rPr>
        <b/>
        <sz val="9"/>
        <rFont val="Calibri"/>
        <family val="2"/>
      </rPr>
      <t xml:space="preserve">                                                    
Notă: </t>
    </r>
    <r>
      <rPr>
        <sz val="9"/>
        <rFont val="Calibri"/>
        <family val="2"/>
        <charset val="204"/>
      </rPr>
      <t xml:space="preserve">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t>
    </r>
  </si>
  <si>
    <r>
      <rPr>
        <b/>
        <sz val="10"/>
        <rFont val="Calibri"/>
        <family val="2"/>
        <charset val="204"/>
      </rPr>
      <t xml:space="preserve">Date preliminare pentru anul 2016: </t>
    </r>
    <r>
      <rPr>
        <sz val="10"/>
        <rFont val="Calibri"/>
        <family val="2"/>
        <charset val="204"/>
      </rPr>
      <t xml:space="preserve">3 573 cazuri de tuberculoză (toate formele, bacteriologic confirmate și diagnosticate clinic, cazuri noi și recidive) au fost notificate către autoritatea națională în anul 2016.                                                  </t>
    </r>
    <r>
      <rPr>
        <b/>
        <sz val="10"/>
        <rFont val="Calibri"/>
        <family val="2"/>
        <charset val="204"/>
      </rPr>
      <t xml:space="preserve">                                               Notă: </t>
    </r>
    <r>
      <rPr>
        <sz val="10"/>
        <rFont val="Calibri"/>
        <family val="2"/>
        <charset val="204"/>
      </rPr>
      <t xml:space="preserve">Se constată o descreștere continuă a ratei de notificare înregistrate, precum urmează: cu 0,9% comparativ cu datele anului 2015 (89,5 per 100 000), cu 4,1% comparativ cu datele anului 2014 (92,5 per 100 000), cu 9,1% comparativ cu datele anului 2013 (97,6 per 100 000) și cu 13,7% comparativ cu anul 2012 (102,7 per 100 000).             </t>
    </r>
    <r>
      <rPr>
        <b/>
        <sz val="10"/>
        <rFont val="Calibri"/>
        <family val="2"/>
      </rPr>
      <t xml:space="preserve"> </t>
    </r>
  </si>
  <si>
    <r>
      <rPr>
        <b/>
        <sz val="10"/>
        <rFont val="Calibri"/>
        <family val="2"/>
        <charset val="204"/>
      </rPr>
      <t xml:space="preserve">Date finale pentru anul 2015: </t>
    </r>
    <r>
      <rPr>
        <sz val="10"/>
        <rFont val="Calibri"/>
        <family val="2"/>
        <charset val="204"/>
      </rPr>
      <t>754 pacienți cu tuberculoză drog-rezistentă (RR-TB și/sau MDR-TB), confirmate bacteriologic, au fost notificate, față de 912 cazuri estimate pentru perioada raportată.</t>
    </r>
    <r>
      <rPr>
        <b/>
        <sz val="10"/>
        <rFont val="Calibri"/>
        <family val="2"/>
        <charset val="204"/>
      </rPr>
      <t xml:space="preserve">    </t>
    </r>
    <r>
      <rPr>
        <sz val="10"/>
        <rFont val="Calibri"/>
        <family val="2"/>
        <charset val="204"/>
      </rPr>
      <t xml:space="preserve">                                                    </t>
    </r>
    <r>
      <rPr>
        <b/>
        <sz val="10"/>
        <rFont val="Calibri"/>
        <family val="2"/>
        <charset val="204"/>
      </rPr>
      <t xml:space="preserve">
Notă</t>
    </r>
    <r>
      <rPr>
        <sz val="10"/>
        <rFont val="Calibri"/>
        <family val="2"/>
        <charset val="204"/>
      </rPr>
      <t xml:space="preserve"> - Se constată o descreștere a numărului de cazuri de TB DR, confirmate bacteriologic, notificate, pe fondalul descreșterii numarului cazurilor TB (toate formele) notificate.   </t>
    </r>
    <r>
      <rPr>
        <b/>
        <sz val="10"/>
        <rFont val="Calibri"/>
        <family val="2"/>
        <charset val="204"/>
      </rPr>
      <t xml:space="preserve">                                                           </t>
    </r>
  </si>
  <si>
    <r>
      <rPr>
        <b/>
        <sz val="10"/>
        <rFont val="Calibri"/>
        <family val="2"/>
        <charset val="204"/>
      </rPr>
      <t xml:space="preserve">Date preliminare pentru anul 2016: </t>
    </r>
    <r>
      <rPr>
        <sz val="10"/>
        <rFont val="Calibri"/>
        <family val="2"/>
        <charset val="204"/>
      </rPr>
      <t xml:space="preserve">1 036 (și anume: 272 în Q1.2016, 256 în Q2.2016, 233 în Q3.2016 și 275 în Q4.2016) pacienți cu tuberculoză drog-rezistentă (RR-TB și/sau MDR-TB), confirmate bacteriologic, au demarat tratamentul DOTS-Plus, față de 780 pacienți preconizați pentru perioada raportată.         </t>
    </r>
    <r>
      <rPr>
        <b/>
        <sz val="10"/>
        <rFont val="Calibri"/>
        <family val="2"/>
        <charset val="204"/>
      </rPr>
      <t xml:space="preserve">                                                                 Notă: </t>
    </r>
    <r>
      <rPr>
        <sz val="10"/>
        <rFont val="Calibri"/>
        <family val="2"/>
        <charset val="204"/>
      </rPr>
      <t xml:space="preserve">Ținta a fost depășită din cauza includerii în tratamentul DOTS Plus a unui număr adițional de pacienți MDR TB în locul cazurilor de eșec, mortalitate sau pierdute din supraveghere înregistrate.            </t>
    </r>
    <r>
      <rPr>
        <b/>
        <sz val="10"/>
        <rFont val="Calibri"/>
        <family val="2"/>
        <charset val="204"/>
      </rPr>
      <t xml:space="preserve">          </t>
    </r>
  </si>
  <si>
    <r>
      <rPr>
        <b/>
        <sz val="10"/>
        <rFont val="Calibri"/>
        <family val="2"/>
        <charset val="204"/>
      </rPr>
      <t xml:space="preserve">Date finale pentru cohorta 2015: </t>
    </r>
    <r>
      <rPr>
        <sz val="10"/>
        <rFont val="Calibri"/>
        <family val="2"/>
        <charset val="204"/>
      </rPr>
      <t xml:space="preserve">102 pacienți din 1 020 incluși în tratamentul DOTS Plus în anul 2015, au abandonat tratamentul după 6 luni de tratament DOTS Plus.  </t>
    </r>
    <r>
      <rPr>
        <b/>
        <sz val="10"/>
        <rFont val="Calibri"/>
        <family val="2"/>
        <charset val="204"/>
      </rPr>
      <t xml:space="preserve">                  
Notă: </t>
    </r>
    <r>
      <rPr>
        <sz val="10"/>
        <rFont val="Calibri"/>
        <family val="2"/>
        <charset val="204"/>
      </rPr>
      <t xml:space="preserve">Analiza cazurilor care au abandonat tratamentul pentru DR-TB ne arată că există o diferență a ratei abandonului printre diferite categorii de pacienți. Astfel, rata interimară de abandon printre cazurile noi de pacienți cu DR-TB aflați în tratament a constituit doar 7,2% (30/411), pe când printre cazurile de retratamente aceasta a constituit 11,8% (72/609). Totodată, analizând rata interimară de abandon printre cazurile anterior tratate de pacienții cu DR-TB, se observă că aceasta, la fel, s-a deosebit la diferite tipuri de pacienți: dacă la cazurile după eșec aceasta a fost de 3,7% (8/217), atunci  printre recidive a ajuns la 10,8% (24/221) și printre cazurile după abandon - la 23,4% (40/171).                                                                     
                                                               </t>
    </r>
    <r>
      <rPr>
        <b/>
        <sz val="10"/>
        <rFont val="Calibri"/>
        <family val="2"/>
        <charset val="204"/>
      </rPr>
      <t xml:space="preserve">           </t>
    </r>
  </si>
  <si>
    <t>RP avea la 31 decembrie 2016 angajamente semnate pentru livrarea consumabilelor și reagenților in suma de 295 000 EUR.</t>
  </si>
  <si>
    <t>Fondul Global a debursat în avans 4 443 699 EUR din suma grantului către data de 31 decembrie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</si>
</sst>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409]#,##0_);\([$$-409]#,##0\)"/>
    <numFmt numFmtId="170" formatCode="dd/mm/yy;@"/>
    <numFmt numFmtId="171" formatCode="_-[$€-2]\ * #,##0_-;\-[$€-2]\ * #,##0_-;_-[$€-2]\ * &quot;-&quot;_-;_-@_-"/>
    <numFmt numFmtId="172" formatCode="[$€-2]\ #,##0"/>
    <numFmt numFmtId="173" formatCode="#,##0.00_р_."/>
    <numFmt numFmtId="174" formatCode="#,##0.0"/>
    <numFmt numFmtId="175" formatCode="0.0%"/>
  </numFmts>
  <fonts count="139">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0"/>
      <color rgb="FFFF0000"/>
      <name val="Arial"/>
      <family val="2"/>
      <charset val="204"/>
    </font>
    <font>
      <sz val="11"/>
      <color rgb="FF7030A0"/>
      <name val="Calibri"/>
      <family val="2"/>
      <scheme val="minor"/>
    </font>
    <font>
      <sz val="11"/>
      <name val="Calibri"/>
      <family val="2"/>
      <charset val="204"/>
      <scheme val="minor"/>
    </font>
    <font>
      <sz val="11"/>
      <color theme="1"/>
      <name val="Arial"/>
      <family val="2"/>
    </font>
    <font>
      <sz val="11"/>
      <color rgb="FFFF0000"/>
      <name val="Calibri"/>
      <family val="2"/>
      <scheme val="minor"/>
    </font>
    <font>
      <b/>
      <sz val="10"/>
      <name val="Calibri"/>
      <family val="2"/>
    </font>
    <font>
      <sz val="10"/>
      <name val="Calibri"/>
      <family val="2"/>
      <charset val="204"/>
    </font>
    <font>
      <b/>
      <sz val="10"/>
      <name val="Calibri"/>
      <family val="2"/>
      <charset val="204"/>
    </font>
    <font>
      <sz val="9"/>
      <name val="Calibri"/>
      <family val="2"/>
    </font>
    <font>
      <sz val="9"/>
      <name val="Calibri"/>
      <family val="2"/>
      <scheme val="minor"/>
    </font>
    <font>
      <sz val="9"/>
      <name val="Calibri"/>
      <family val="2"/>
      <charset val="204"/>
    </font>
    <font>
      <sz val="8"/>
      <name val="Calibri"/>
      <family val="2"/>
      <charset val="204"/>
    </font>
    <font>
      <sz val="7.7"/>
      <name val="Calibri"/>
      <family val="2"/>
      <charset val="204"/>
    </font>
    <font>
      <sz val="7.7"/>
      <name val="Calibri"/>
      <family val="2"/>
      <charset val="204"/>
      <scheme val="minor"/>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s>
  <borders count="230">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medium">
        <color indexed="51"/>
      </right>
      <top style="thin">
        <color indexed="64"/>
      </top>
      <bottom style="thin">
        <color theme="1"/>
      </bottom>
      <diagonal/>
    </border>
    <border>
      <left/>
      <right style="thin">
        <color indexed="64"/>
      </right>
      <top style="thin">
        <color indexed="64"/>
      </top>
      <bottom style="thin">
        <color theme="1"/>
      </bottom>
      <diagonal/>
    </border>
    <border>
      <left style="medium">
        <color indexed="51"/>
      </left>
      <right style="medium">
        <color indexed="51"/>
      </right>
      <top style="thin">
        <color theme="1"/>
      </top>
      <bottom style="thin">
        <color theme="1"/>
      </bottom>
      <diagonal/>
    </border>
    <border>
      <left/>
      <right style="thin">
        <color indexed="64"/>
      </right>
      <top style="thin">
        <color theme="1"/>
      </top>
      <bottom style="thin">
        <color theme="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s>
  <cellStyleXfs count="24">
    <xf numFmtId="169" fontId="0" fillId="0" borderId="0"/>
    <xf numFmtId="43" fontId="3" fillId="0" borderId="0" applyFont="0" applyFill="0" applyBorder="0" applyAlignment="0" applyProtection="0"/>
    <xf numFmtId="169" fontId="2" fillId="0" borderId="0" applyFont="0" applyFill="0" applyBorder="0" applyAlignment="0" applyProtection="0"/>
    <xf numFmtId="43" fontId="2" fillId="0" borderId="0" applyFill="0" applyBorder="0" applyAlignment="0" applyProtection="0"/>
    <xf numFmtId="43" fontId="105" fillId="0" borderId="0"/>
    <xf numFmtId="169" fontId="2" fillId="0" borderId="0"/>
    <xf numFmtId="169" fontId="2" fillId="0" borderId="0"/>
    <xf numFmtId="169" fontId="2" fillId="0" borderId="0"/>
    <xf numFmtId="169" fontId="2" fillId="0" borderId="0"/>
    <xf numFmtId="169" fontId="2" fillId="0" borderId="0"/>
    <xf numFmtId="169" fontId="2" fillId="0" borderId="0"/>
    <xf numFmtId="169" fontId="2" fillId="0" borderId="0"/>
    <xf numFmtId="43" fontId="1" fillId="0" borderId="0"/>
    <xf numFmtId="43" fontId="1" fillId="0" borderId="0"/>
    <xf numFmtId="43" fontId="105" fillId="0" borderId="0"/>
    <xf numFmtId="43" fontId="105" fillId="0" borderId="0"/>
    <xf numFmtId="43" fontId="105" fillId="0" borderId="0"/>
    <xf numFmtId="43" fontId="105" fillId="0" borderId="0"/>
    <xf numFmtId="169" fontId="45" fillId="0" borderId="0"/>
    <xf numFmtId="9" fontId="3" fillId="0" borderId="0" applyFont="0" applyFill="0" applyBorder="0" applyAlignment="0" applyProtection="0"/>
    <xf numFmtId="43" fontId="105" fillId="0" borderId="1" applyNumberFormat="0" applyFill="0" applyAlignment="0" applyProtection="0"/>
    <xf numFmtId="43" fontId="1" fillId="0" borderId="1" applyNumberFormat="0" applyFill="0" applyAlignment="0" applyProtection="0"/>
    <xf numFmtId="43" fontId="1" fillId="0" borderId="1" applyNumberFormat="0" applyFill="0" applyAlignment="0" applyProtection="0"/>
    <xf numFmtId="43" fontId="105" fillId="0" borderId="1" applyNumberFormat="0" applyFill="0" applyAlignment="0" applyProtection="0"/>
  </cellStyleXfs>
  <cellXfs count="980">
    <xf numFmtId="169" fontId="0" fillId="0" borderId="0" xfId="0"/>
    <xf numFmtId="43" fontId="9" fillId="0" borderId="0" xfId="4" applyFont="1" applyFill="1" applyAlignment="1">
      <alignment vertical="center"/>
    </xf>
    <xf numFmtId="169" fontId="0" fillId="0" borderId="0" xfId="0" applyBorder="1" applyProtection="1"/>
    <xf numFmtId="169" fontId="0" fillId="0" borderId="0" xfId="0" applyProtection="1"/>
    <xf numFmtId="43" fontId="15" fillId="0" borderId="0" xfId="4" applyFont="1" applyFill="1" applyAlignment="1" applyProtection="1">
      <alignment vertical="center"/>
    </xf>
    <xf numFmtId="169" fontId="14" fillId="0" borderId="0" xfId="0" applyFont="1" applyProtection="1"/>
    <xf numFmtId="43" fontId="12" fillId="0" borderId="0" xfId="15" applyFont="1" applyFill="1" applyAlignment="1" applyProtection="1"/>
    <xf numFmtId="43" fontId="12" fillId="0" borderId="0" xfId="15" applyFont="1" applyFill="1" applyAlignment="1" applyProtection="1">
      <alignment horizontal="center"/>
    </xf>
    <xf numFmtId="43" fontId="12" fillId="0" borderId="0" xfId="15" applyFont="1" applyFill="1" applyAlignment="1" applyProtection="1">
      <alignment horizontal="right"/>
    </xf>
    <xf numFmtId="43" fontId="12" fillId="0" borderId="0" xfId="15" applyFont="1" applyFill="1" applyBorder="1" applyAlignment="1" applyProtection="1">
      <alignment horizontal="center"/>
    </xf>
    <xf numFmtId="43" fontId="105" fillId="0" borderId="0" xfId="14" applyProtection="1"/>
    <xf numFmtId="43" fontId="8" fillId="0" borderId="0" xfId="14" applyFont="1" applyProtection="1"/>
    <xf numFmtId="169" fontId="11" fillId="0" borderId="0" xfId="14" applyNumberFormat="1" applyFont="1" applyBorder="1" applyProtection="1"/>
    <xf numFmtId="43" fontId="105" fillId="0" borderId="0" xfId="16" applyProtection="1"/>
    <xf numFmtId="43" fontId="105" fillId="0" borderId="0" xfId="16" applyFill="1" applyBorder="1" applyAlignment="1" applyProtection="1">
      <alignment horizontal="left"/>
    </xf>
    <xf numFmtId="169" fontId="0" fillId="0" borderId="0" xfId="0" applyFill="1" applyBorder="1" applyProtection="1"/>
    <xf numFmtId="43" fontId="105" fillId="0" borderId="0" xfId="16" applyFill="1" applyBorder="1" applyProtection="1"/>
    <xf numFmtId="169" fontId="8" fillId="0" borderId="0" xfId="0" applyFont="1" applyProtection="1"/>
    <xf numFmtId="43" fontId="8" fillId="0" borderId="0" xfId="16" applyFont="1" applyProtection="1"/>
    <xf numFmtId="169" fontId="0" fillId="0" borderId="0" xfId="0" applyBorder="1"/>
    <xf numFmtId="169" fontId="0" fillId="0" borderId="0" xfId="0" applyFill="1" applyBorder="1"/>
    <xf numFmtId="15" fontId="22" fillId="0" borderId="0" xfId="0" applyNumberFormat="1" applyFont="1" applyFill="1" applyBorder="1" applyAlignment="1" applyProtection="1">
      <alignment horizontal="center" vertical="center" wrapText="1"/>
      <protection locked="0"/>
    </xf>
    <xf numFmtId="43" fontId="21" fillId="0" borderId="0" xfId="0" applyNumberFormat="1" applyFont="1"/>
    <xf numFmtId="43" fontId="21" fillId="0" borderId="0" xfId="0" applyNumberFormat="1" applyFont="1" applyAlignment="1">
      <alignment horizontal="right"/>
    </xf>
    <xf numFmtId="165" fontId="21" fillId="0" borderId="0" xfId="1" applyNumberFormat="1" applyFont="1" applyAlignment="1">
      <alignment horizontal="left"/>
    </xf>
    <xf numFmtId="43" fontId="9" fillId="0" borderId="0" xfId="13" applyFont="1" applyFill="1" applyAlignment="1">
      <alignment vertical="center"/>
    </xf>
    <xf numFmtId="169" fontId="0" fillId="0" borderId="2" xfId="0" applyBorder="1" applyAlignment="1">
      <alignment horizontal="center"/>
    </xf>
    <xf numFmtId="169" fontId="7" fillId="0" borderId="0" xfId="0" applyFont="1" applyBorder="1" applyAlignment="1">
      <alignment horizontal="center"/>
    </xf>
    <xf numFmtId="169" fontId="1" fillId="0" borderId="0" xfId="0" applyFont="1" applyBorder="1" applyAlignment="1"/>
    <xf numFmtId="169" fontId="1" fillId="0" borderId="0" xfId="0" applyFont="1" applyFill="1" applyBorder="1" applyAlignment="1"/>
    <xf numFmtId="169" fontId="34" fillId="0" borderId="0" xfId="0" applyFont="1"/>
    <xf numFmtId="169" fontId="34" fillId="0" borderId="0" xfId="0" applyFont="1" applyAlignment="1">
      <alignment horizontal="right"/>
    </xf>
    <xf numFmtId="169" fontId="34" fillId="0" borderId="0" xfId="0" applyFont="1" applyBorder="1"/>
    <xf numFmtId="169" fontId="36" fillId="0" borderId="0" xfId="0" applyFont="1"/>
    <xf numFmtId="169" fontId="34" fillId="0" borderId="0" xfId="0" applyNumberFormat="1" applyFont="1" applyBorder="1"/>
    <xf numFmtId="169"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43" fontId="21" fillId="0" borderId="0" xfId="0" applyNumberFormat="1" applyFont="1" applyFill="1" applyBorder="1" applyAlignment="1"/>
    <xf numFmtId="43" fontId="105" fillId="0" borderId="0" xfId="23" applyFill="1" applyBorder="1" applyAlignment="1" applyProtection="1">
      <alignment vertical="center"/>
      <protection locked="0"/>
    </xf>
    <xf numFmtId="164" fontId="25" fillId="0" borderId="0" xfId="0" applyNumberFormat="1" applyFont="1" applyFill="1" applyBorder="1" applyAlignment="1">
      <alignment horizontal="center"/>
    </xf>
    <xf numFmtId="169" fontId="19" fillId="0" borderId="0" xfId="0" applyFont="1" applyFill="1" applyBorder="1" applyAlignment="1">
      <alignment horizontal="centerContinuous"/>
    </xf>
    <xf numFmtId="169" fontId="0" fillId="0" borderId="0" xfId="0" applyFill="1" applyBorder="1" applyAlignment="1">
      <alignment horizontal="centerContinuous"/>
    </xf>
    <xf numFmtId="43" fontId="32" fillId="0" borderId="0" xfId="23" applyFont="1" applyFill="1" applyBorder="1" applyAlignment="1" applyProtection="1">
      <alignment vertical="center"/>
      <protection locked="0"/>
    </xf>
    <xf numFmtId="169" fontId="0" fillId="0" borderId="2" xfId="0" applyBorder="1"/>
    <xf numFmtId="169" fontId="0" fillId="0" borderId="0" xfId="0" applyFill="1" applyBorder="1" applyAlignment="1">
      <alignment horizontal="center"/>
    </xf>
    <xf numFmtId="22" fontId="0" fillId="0" borderId="0" xfId="0" applyNumberFormat="1"/>
    <xf numFmtId="2" fontId="0" fillId="0" borderId="0" xfId="0" applyNumberFormat="1" applyFill="1"/>
    <xf numFmtId="2" fontId="105" fillId="0" borderId="0" xfId="20" applyNumberFormat="1" applyFill="1" applyBorder="1" applyAlignment="1" applyProtection="1">
      <alignment horizontal="center"/>
      <protection locked="0"/>
    </xf>
    <xf numFmtId="169" fontId="8" fillId="0" borderId="0" xfId="0" applyFont="1" applyFill="1" applyBorder="1" applyAlignment="1" applyProtection="1">
      <alignment horizontal="center"/>
    </xf>
    <xf numFmtId="169" fontId="16" fillId="0" borderId="0" xfId="0" applyFont="1" applyFill="1" applyAlignment="1" applyProtection="1"/>
    <xf numFmtId="169" fontId="8" fillId="0" borderId="0" xfId="0" applyFont="1" applyAlignment="1" applyProtection="1">
      <alignment horizontal="left" indent="1"/>
    </xf>
    <xf numFmtId="169" fontId="11" fillId="0" borderId="0" xfId="0" applyFont="1" applyAlignment="1" applyProtection="1">
      <alignment horizontal="left" indent="1"/>
    </xf>
    <xf numFmtId="169" fontId="8" fillId="0" borderId="0" xfId="0" applyFont="1" applyFill="1" applyBorder="1" applyProtection="1"/>
    <xf numFmtId="43" fontId="47" fillId="0" borderId="0" xfId="14" applyFont="1" applyProtection="1"/>
    <xf numFmtId="43" fontId="47" fillId="0" borderId="0" xfId="16" applyFont="1" applyProtection="1"/>
    <xf numFmtId="169" fontId="47" fillId="0" borderId="2" xfId="0" applyFont="1" applyFill="1" applyBorder="1" applyAlignment="1" applyProtection="1">
      <alignment horizontal="center"/>
    </xf>
    <xf numFmtId="169" fontId="47" fillId="0" borderId="2" xfId="0" applyFont="1" applyFill="1" applyBorder="1" applyProtection="1"/>
    <xf numFmtId="43" fontId="47" fillId="0" borderId="2" xfId="16" applyFont="1" applyBorder="1" applyProtection="1"/>
    <xf numFmtId="169" fontId="48" fillId="0" borderId="2" xfId="0" applyFont="1" applyBorder="1" applyAlignment="1" applyProtection="1">
      <alignment horizontal="left" indent="1"/>
    </xf>
    <xf numFmtId="169" fontId="49" fillId="0" borderId="2" xfId="0" applyFont="1" applyBorder="1"/>
    <xf numFmtId="169" fontId="50" fillId="2" borderId="2" xfId="0" applyFont="1" applyFill="1" applyBorder="1" applyAlignment="1" applyProtection="1">
      <alignment horizontal="center"/>
    </xf>
    <xf numFmtId="169" fontId="50" fillId="2" borderId="2" xfId="0" applyFont="1" applyFill="1" applyBorder="1" applyAlignment="1">
      <alignment horizontal="center"/>
    </xf>
    <xf numFmtId="169"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69" fontId="8" fillId="3" borderId="3" xfId="0" applyFont="1" applyFill="1" applyBorder="1"/>
    <xf numFmtId="9" fontId="8" fillId="3" borderId="3" xfId="19" applyFont="1" applyFill="1" applyBorder="1" applyAlignment="1">
      <alignment horizontal="center"/>
    </xf>
    <xf numFmtId="169" fontId="8" fillId="0" borderId="0" xfId="0" applyFont="1"/>
    <xf numFmtId="169" fontId="26" fillId="0" borderId="0" xfId="0" applyFont="1" applyAlignment="1">
      <alignment horizontal="center"/>
    </xf>
    <xf numFmtId="43" fontId="42" fillId="0" borderId="0" xfId="13" applyFont="1" applyFill="1" applyAlignment="1">
      <alignment vertical="center"/>
    </xf>
    <xf numFmtId="169" fontId="7" fillId="0" borderId="0" xfId="0" applyFont="1"/>
    <xf numFmtId="169" fontId="36" fillId="0" borderId="0" xfId="0" applyFont="1" applyFill="1"/>
    <xf numFmtId="169" fontId="53" fillId="2" borderId="4" xfId="0" applyFont="1" applyFill="1" applyBorder="1" applyAlignment="1">
      <alignment vertical="center"/>
    </xf>
    <xf numFmtId="169" fontId="51" fillId="0" borderId="0" xfId="18" applyNumberFormat="1" applyFont="1" applyFill="1" applyBorder="1" applyAlignment="1">
      <alignment horizontal="center" vertical="center" wrapText="1"/>
    </xf>
    <xf numFmtId="169" fontId="51"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54" fillId="3" borderId="0" xfId="0" applyNumberFormat="1" applyFont="1" applyFill="1" applyBorder="1" applyAlignment="1">
      <alignment horizontal="center"/>
    </xf>
    <xf numFmtId="169" fontId="54" fillId="0" borderId="0" xfId="0" applyFont="1" applyFill="1" applyBorder="1" applyAlignment="1" applyProtection="1">
      <alignment horizontal="left"/>
    </xf>
    <xf numFmtId="169" fontId="55" fillId="0" borderId="0" xfId="0" applyFont="1"/>
    <xf numFmtId="43" fontId="32" fillId="0" borderId="0" xfId="23" applyFont="1" applyFill="1" applyBorder="1" applyAlignment="1" applyProtection="1">
      <alignment horizontal="center" vertical="center"/>
      <protection locked="0"/>
    </xf>
    <xf numFmtId="15" fontId="0" fillId="0" borderId="0" xfId="0" applyNumberFormat="1"/>
    <xf numFmtId="169" fontId="0" fillId="0" borderId="2" xfId="0" quotePrefix="1" applyNumberFormat="1" applyBorder="1"/>
    <xf numFmtId="43" fontId="24" fillId="0" borderId="6" xfId="23" applyFont="1" applyBorder="1" applyAlignment="1" applyProtection="1"/>
    <xf numFmtId="43" fontId="105" fillId="0" borderId="6" xfId="23" applyFill="1" applyBorder="1" applyAlignment="1" applyProtection="1">
      <alignment vertical="center"/>
    </xf>
    <xf numFmtId="43" fontId="3" fillId="0" borderId="6" xfId="23" applyFont="1" applyFill="1" applyBorder="1" applyAlignment="1" applyProtection="1">
      <alignment vertical="center"/>
    </xf>
    <xf numFmtId="43" fontId="24" fillId="0" borderId="0" xfId="23" applyFont="1" applyBorder="1" applyAlignment="1" applyProtection="1"/>
    <xf numFmtId="43" fontId="105" fillId="0" borderId="0" xfId="23" applyFill="1" applyBorder="1" applyAlignment="1" applyProtection="1">
      <alignment vertical="center"/>
    </xf>
    <xf numFmtId="43" fontId="3" fillId="0" borderId="0" xfId="23" applyFont="1" applyFill="1" applyBorder="1" applyAlignment="1" applyProtection="1">
      <alignment vertical="center"/>
    </xf>
    <xf numFmtId="169"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69" fontId="25" fillId="0" borderId="9" xfId="0" applyFont="1" applyBorder="1" applyAlignment="1" applyProtection="1">
      <alignment horizontal="center"/>
    </xf>
    <xf numFmtId="165"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69" fontId="4" fillId="0" borderId="0" xfId="0" applyFont="1" applyFill="1" applyBorder="1" applyAlignment="1" applyProtection="1"/>
    <xf numFmtId="169" fontId="19" fillId="0" borderId="0" xfId="0" applyFont="1" applyFill="1" applyBorder="1" applyAlignment="1" applyProtection="1">
      <alignment horizontal="centerContinuous" wrapText="1"/>
    </xf>
    <xf numFmtId="169" fontId="19" fillId="0" borderId="0" xfId="0" applyFont="1" applyFill="1" applyBorder="1" applyAlignment="1" applyProtection="1">
      <alignment horizontal="centerContinuous"/>
    </xf>
    <xf numFmtId="169" fontId="0" fillId="0" borderId="0" xfId="0" applyFill="1" applyBorder="1" applyAlignment="1" applyProtection="1">
      <alignment horizontal="centerContinuous"/>
    </xf>
    <xf numFmtId="15" fontId="19" fillId="0" borderId="10" xfId="0" applyNumberFormat="1" applyFont="1" applyFill="1" applyBorder="1" applyAlignment="1" applyProtection="1"/>
    <xf numFmtId="169" fontId="19" fillId="0" borderId="10" xfId="0" applyFont="1" applyFill="1" applyBorder="1" applyProtection="1"/>
    <xf numFmtId="169" fontId="19" fillId="0" borderId="11" xfId="0" applyFont="1" applyFill="1" applyBorder="1" applyProtection="1"/>
    <xf numFmtId="43" fontId="31" fillId="0" borderId="12" xfId="23" applyFont="1" applyBorder="1" applyAlignment="1" applyProtection="1"/>
    <xf numFmtId="43" fontId="32" fillId="0" borderId="12" xfId="23" applyFont="1" applyFill="1" applyBorder="1" applyAlignment="1" applyProtection="1">
      <alignment vertical="center"/>
    </xf>
    <xf numFmtId="43" fontId="32" fillId="0" borderId="12" xfId="23" applyFont="1" applyFill="1" applyBorder="1" applyAlignment="1" applyProtection="1">
      <alignment horizontal="center" vertical="center"/>
    </xf>
    <xf numFmtId="43" fontId="32" fillId="0" borderId="0" xfId="23" applyFont="1" applyFill="1" applyBorder="1" applyAlignment="1" applyProtection="1">
      <alignment vertical="center"/>
    </xf>
    <xf numFmtId="43" fontId="31" fillId="0" borderId="0" xfId="23" applyFont="1" applyBorder="1" applyAlignment="1" applyProtection="1"/>
    <xf numFmtId="43" fontId="33" fillId="0" borderId="0" xfId="23" applyFont="1" applyFill="1" applyBorder="1" applyAlignment="1" applyProtection="1">
      <alignment vertical="center"/>
    </xf>
    <xf numFmtId="169" fontId="7" fillId="0" borderId="0" xfId="0" applyFont="1" applyBorder="1" applyAlignment="1" applyProtection="1">
      <alignment horizontal="center"/>
    </xf>
    <xf numFmtId="169" fontId="7" fillId="0" borderId="13" xfId="0" applyFont="1" applyBorder="1" applyAlignment="1" applyProtection="1">
      <alignment horizontal="center"/>
    </xf>
    <xf numFmtId="169" fontId="7" fillId="0" borderId="13" xfId="0" applyFont="1" applyBorder="1" applyAlignment="1" applyProtection="1">
      <alignment horizontal="center" wrapText="1"/>
    </xf>
    <xf numFmtId="169" fontId="7" fillId="0" borderId="14" xfId="0" applyFont="1" applyBorder="1" applyAlignment="1" applyProtection="1">
      <alignment horizontal="center"/>
    </xf>
    <xf numFmtId="169" fontId="7" fillId="0" borderId="15" xfId="0" applyFont="1" applyBorder="1" applyAlignment="1" applyProtection="1">
      <alignment horizontal="center"/>
    </xf>
    <xf numFmtId="169"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69" fontId="0" fillId="0" borderId="18" xfId="0" applyBorder="1" applyProtection="1"/>
    <xf numFmtId="169" fontId="0" fillId="0" borderId="14" xfId="0" applyBorder="1" applyAlignment="1" applyProtection="1">
      <alignment horizontal="center"/>
    </xf>
    <xf numFmtId="169" fontId="0" fillId="0" borderId="16" xfId="0" applyBorder="1" applyAlignment="1" applyProtection="1">
      <alignment horizontal="center"/>
    </xf>
    <xf numFmtId="169" fontId="25" fillId="0" borderId="13" xfId="0" applyFont="1" applyBorder="1" applyAlignment="1" applyProtection="1">
      <alignment horizontal="center"/>
    </xf>
    <xf numFmtId="169" fontId="25" fillId="0" borderId="14" xfId="0" applyFont="1" applyBorder="1" applyAlignment="1" applyProtection="1">
      <alignment horizontal="center"/>
    </xf>
    <xf numFmtId="169" fontId="0" fillId="0" borderId="0" xfId="0" applyFill="1" applyBorder="1" applyAlignment="1" applyProtection="1">
      <alignment horizontal="center" wrapText="1"/>
    </xf>
    <xf numFmtId="43" fontId="72" fillId="0" borderId="0" xfId="1" applyFont="1" applyFill="1" applyBorder="1" applyProtection="1"/>
    <xf numFmtId="43" fontId="0" fillId="0" borderId="0" xfId="0" applyNumberFormat="1" applyFill="1" applyBorder="1" applyProtection="1"/>
    <xf numFmtId="43" fontId="46" fillId="0" borderId="19" xfId="23" applyFont="1" applyFill="1" applyBorder="1" applyAlignment="1" applyProtection="1"/>
    <xf numFmtId="43" fontId="32" fillId="0" borderId="19" xfId="23" applyFont="1" applyFill="1" applyBorder="1" applyAlignment="1" applyProtection="1">
      <alignment vertical="center"/>
    </xf>
    <xf numFmtId="3" fontId="45" fillId="5" borderId="20" xfId="0" applyNumberFormat="1" applyFont="1" applyFill="1" applyBorder="1" applyAlignment="1" applyProtection="1">
      <alignment vertical="center"/>
      <protection locked="0"/>
    </xf>
    <xf numFmtId="43" fontId="21" fillId="0" borderId="0" xfId="0" applyNumberFormat="1" applyFont="1" applyAlignment="1" applyProtection="1">
      <alignment horizontal="right"/>
    </xf>
    <xf numFmtId="165"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43" fontId="21" fillId="0" borderId="0" xfId="0" applyNumberFormat="1" applyFont="1" applyProtection="1"/>
    <xf numFmtId="43" fontId="21" fillId="0" borderId="0" xfId="0" applyNumberFormat="1" applyFont="1" applyBorder="1" applyProtection="1"/>
    <xf numFmtId="43" fontId="21" fillId="0" borderId="0" xfId="0" applyNumberFormat="1" applyFont="1" applyBorder="1" applyAlignment="1" applyProtection="1">
      <alignment horizontal="right"/>
    </xf>
    <xf numFmtId="165" fontId="21" fillId="0" borderId="0" xfId="1" applyNumberFormat="1" applyFont="1" applyBorder="1" applyAlignment="1" applyProtection="1">
      <alignment horizontal="left"/>
    </xf>
    <xf numFmtId="169" fontId="12" fillId="0" borderId="0" xfId="0" applyFont="1" applyBorder="1" applyAlignment="1" applyProtection="1">
      <alignment horizontal="center"/>
    </xf>
    <xf numFmtId="169" fontId="12" fillId="0" borderId="0" xfId="0" applyFont="1" applyAlignment="1" applyProtection="1">
      <alignment horizontal="center"/>
    </xf>
    <xf numFmtId="169"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69" fontId="19" fillId="0" borderId="0" xfId="0" applyFont="1" applyFill="1" applyBorder="1" applyProtection="1"/>
    <xf numFmtId="169" fontId="0" fillId="0" borderId="0" xfId="0" applyFill="1" applyBorder="1" applyAlignment="1" applyProtection="1">
      <alignment horizontal="center"/>
    </xf>
    <xf numFmtId="169" fontId="19" fillId="0" borderId="0" xfId="0" applyFont="1" applyFill="1" applyBorder="1" applyAlignment="1" applyProtection="1"/>
    <xf numFmtId="169" fontId="0" fillId="0" borderId="14" xfId="0" applyBorder="1" applyAlignment="1" applyProtection="1">
      <alignment horizontal="center" wrapText="1"/>
    </xf>
    <xf numFmtId="169" fontId="34" fillId="0" borderId="0" xfId="0" applyFont="1" applyProtection="1"/>
    <xf numFmtId="169" fontId="34" fillId="0" borderId="0" xfId="0" applyFont="1" applyAlignment="1" applyProtection="1">
      <alignment horizontal="right"/>
    </xf>
    <xf numFmtId="169" fontId="34" fillId="0" borderId="0" xfId="0" applyFont="1" applyBorder="1" applyProtection="1"/>
    <xf numFmtId="169" fontId="35" fillId="0" borderId="0" xfId="0" applyFont="1" applyBorder="1" applyAlignment="1" applyProtection="1">
      <alignment horizontal="left" vertical="center"/>
    </xf>
    <xf numFmtId="169" fontId="35" fillId="0" borderId="0" xfId="0" applyFont="1" applyBorder="1" applyAlignment="1" applyProtection="1">
      <alignment horizontal="left"/>
    </xf>
    <xf numFmtId="166" fontId="35" fillId="0" borderId="0" xfId="0" applyNumberFormat="1" applyFont="1" applyBorder="1" applyAlignment="1" applyProtection="1">
      <alignment horizontal="left"/>
    </xf>
    <xf numFmtId="169" fontId="36" fillId="0" borderId="0" xfId="0" applyFont="1" applyProtection="1"/>
    <xf numFmtId="169"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69" fontId="38" fillId="3" borderId="0" xfId="0" applyNumberFormat="1" applyFont="1" applyFill="1" applyBorder="1" applyAlignment="1" applyProtection="1">
      <alignment horizontal="right"/>
    </xf>
    <xf numFmtId="169" fontId="39" fillId="3" borderId="0" xfId="0" applyFont="1" applyFill="1" applyBorder="1" applyAlignment="1" applyProtection="1">
      <alignment horizontal="center" vertical="center"/>
    </xf>
    <xf numFmtId="169" fontId="43" fillId="0" borderId="0" xfId="0" applyFont="1" applyFill="1" applyBorder="1" applyAlignment="1" applyProtection="1">
      <alignment horizontal="center"/>
    </xf>
    <xf numFmtId="169" fontId="38" fillId="0" borderId="0" xfId="0" applyNumberFormat="1" applyFont="1" applyFill="1" applyBorder="1" applyAlignment="1" applyProtection="1">
      <alignment horizontal="right"/>
    </xf>
    <xf numFmtId="169" fontId="47" fillId="0" borderId="0" xfId="0" applyFont="1" applyFill="1" applyBorder="1" applyAlignment="1" applyProtection="1"/>
    <xf numFmtId="43" fontId="8" fillId="0" borderId="0" xfId="0" applyNumberFormat="1" applyFont="1"/>
    <xf numFmtId="169" fontId="21" fillId="0" borderId="0" xfId="0" applyNumberFormat="1" applyFont="1" applyAlignment="1" applyProtection="1">
      <alignment horizontal="center"/>
    </xf>
    <xf numFmtId="169" fontId="21" fillId="0" borderId="0" xfId="0" applyFont="1" applyAlignment="1" applyProtection="1">
      <alignment horizontal="center"/>
    </xf>
    <xf numFmtId="15" fontId="21"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0" fillId="0" borderId="0" xfId="0" applyNumberFormat="1" applyFont="1" applyBorder="1" applyProtection="1"/>
    <xf numFmtId="165" fontId="4" fillId="0" borderId="0" xfId="1" applyNumberFormat="1" applyFont="1" applyFill="1" applyBorder="1" applyAlignment="1" applyProtection="1">
      <protection locked="0"/>
    </xf>
    <xf numFmtId="165" fontId="4" fillId="0" borderId="0" xfId="1" applyNumberFormat="1" applyFont="1" applyFill="1" applyBorder="1" applyProtection="1">
      <protection locked="0"/>
    </xf>
    <xf numFmtId="169" fontId="0" fillId="0" borderId="0" xfId="0" applyBorder="1" applyAlignment="1">
      <alignment horizontal="center"/>
    </xf>
    <xf numFmtId="169" fontId="8" fillId="3" borderId="0" xfId="0" applyFont="1" applyFill="1"/>
    <xf numFmtId="164" fontId="8" fillId="3" borderId="0" xfId="0" applyNumberFormat="1" applyFont="1" applyFill="1"/>
    <xf numFmtId="165" fontId="8" fillId="3" borderId="0" xfId="0" applyNumberFormat="1" applyFont="1" applyFill="1"/>
    <xf numFmtId="3" fontId="8" fillId="3" borderId="0" xfId="0" applyNumberFormat="1" applyFont="1" applyFill="1" applyProtection="1"/>
    <xf numFmtId="164" fontId="8" fillId="3" borderId="0" xfId="0" applyNumberFormat="1" applyFont="1" applyFill="1" applyProtection="1"/>
    <xf numFmtId="169" fontId="27" fillId="0" borderId="0" xfId="0" applyFont="1" applyFill="1" applyAlignment="1" applyProtection="1">
      <alignment horizontal="left"/>
      <protection locked="0"/>
    </xf>
    <xf numFmtId="169" fontId="27" fillId="0" borderId="0" xfId="0" applyFont="1" applyFill="1" applyBorder="1" applyAlignment="1" applyProtection="1">
      <alignment horizontal="left"/>
      <protection locked="0"/>
    </xf>
    <xf numFmtId="169" fontId="21" fillId="0" borderId="0" xfId="0" applyFont="1" applyFill="1" applyBorder="1" applyAlignment="1">
      <alignment vertical="center" wrapText="1"/>
    </xf>
    <xf numFmtId="169" fontId="21" fillId="0" borderId="0" xfId="0" applyFont="1" applyFill="1" applyBorder="1" applyAlignment="1">
      <alignment horizontal="center"/>
    </xf>
    <xf numFmtId="169" fontId="0" fillId="3" borderId="0" xfId="0" applyFill="1" applyBorder="1" applyAlignment="1">
      <alignment horizontal="center"/>
    </xf>
    <xf numFmtId="169" fontId="21" fillId="0" borderId="23" xfId="0" applyFont="1" applyFill="1" applyBorder="1" applyAlignment="1" applyProtection="1">
      <alignment horizontal="center" wrapText="1"/>
    </xf>
    <xf numFmtId="169" fontId="0" fillId="0" borderId="24" xfId="0" applyBorder="1" applyProtection="1"/>
    <xf numFmtId="43" fontId="10" fillId="0" borderId="0" xfId="12" applyFont="1" applyFill="1" applyAlignment="1" applyProtection="1">
      <alignment horizontal="center" vertical="center"/>
    </xf>
    <xf numFmtId="43" fontId="9" fillId="0" borderId="0" xfId="12" applyFont="1" applyFill="1" applyAlignment="1" applyProtection="1">
      <alignment vertical="center"/>
    </xf>
    <xf numFmtId="169" fontId="56" fillId="0" borderId="0" xfId="0" applyFont="1"/>
    <xf numFmtId="43" fontId="7" fillId="0" borderId="0" xfId="0" applyNumberFormat="1" applyFont="1" applyAlignment="1" applyProtection="1">
      <alignment horizontal="center"/>
    </xf>
    <xf numFmtId="43" fontId="13" fillId="0" borderId="25" xfId="20" applyFont="1" applyBorder="1" applyAlignment="1" applyProtection="1">
      <alignment horizontal="right"/>
    </xf>
    <xf numFmtId="169" fontId="6" fillId="0" borderId="0" xfId="0" applyFont="1"/>
    <xf numFmtId="169" fontId="0" fillId="3" borderId="0" xfId="0" applyFill="1" applyProtection="1"/>
    <xf numFmtId="169" fontId="0" fillId="3" borderId="26" xfId="0" applyFill="1" applyBorder="1" applyProtection="1"/>
    <xf numFmtId="43" fontId="62" fillId="0" borderId="0" xfId="0" applyNumberFormat="1" applyFont="1"/>
    <xf numFmtId="169" fontId="62" fillId="0" borderId="0" xfId="0" applyFont="1"/>
    <xf numFmtId="43" fontId="0" fillId="0" borderId="0" xfId="0" quotePrefix="1" applyNumberFormat="1"/>
    <xf numFmtId="43" fontId="0" fillId="0" borderId="0" xfId="0" applyNumberFormat="1"/>
    <xf numFmtId="43" fontId="105" fillId="0" borderId="0" xfId="17" applyFill="1" applyBorder="1" applyAlignment="1" applyProtection="1">
      <alignment horizontal="center"/>
    </xf>
    <xf numFmtId="169" fontId="27" fillId="0" borderId="0" xfId="0" quotePrefix="1" applyFont="1" applyProtection="1"/>
    <xf numFmtId="169" fontId="44" fillId="0" borderId="28" xfId="0" applyFont="1" applyBorder="1" applyAlignment="1">
      <alignment horizontal="justify" vertical="center" wrapText="1"/>
    </xf>
    <xf numFmtId="169" fontId="44" fillId="0" borderId="29" xfId="0" applyFont="1" applyBorder="1" applyAlignment="1">
      <alignment horizontal="justify" vertical="center" wrapText="1"/>
    </xf>
    <xf numFmtId="169" fontId="44" fillId="0" borderId="30" xfId="0" applyFont="1" applyBorder="1" applyAlignment="1">
      <alignment horizontal="justify" vertical="center" wrapText="1"/>
    </xf>
    <xf numFmtId="169" fontId="61" fillId="0" borderId="29" xfId="0" applyFont="1" applyBorder="1" applyAlignment="1">
      <alignment horizontal="justify" vertical="center" wrapText="1"/>
    </xf>
    <xf numFmtId="43" fontId="64" fillId="0" borderId="19" xfId="23" applyFont="1" applyFill="1" applyBorder="1" applyAlignment="1" applyProtection="1"/>
    <xf numFmtId="43" fontId="5" fillId="0" borderId="19" xfId="23" applyFont="1" applyFill="1" applyBorder="1" applyAlignment="1" applyProtection="1">
      <alignment vertical="center"/>
    </xf>
    <xf numFmtId="169" fontId="60" fillId="0" borderId="28" xfId="0" applyFont="1" applyBorder="1" applyAlignment="1">
      <alignment vertical="center" wrapText="1"/>
    </xf>
    <xf numFmtId="169" fontId="60" fillId="0" borderId="29" xfId="0" applyFont="1" applyBorder="1" applyAlignment="1">
      <alignment vertical="center" wrapText="1"/>
    </xf>
    <xf numFmtId="169" fontId="2" fillId="0" borderId="31" xfId="0" applyFont="1" applyFill="1" applyBorder="1" applyAlignment="1" applyProtection="1">
      <alignment horizontal="center"/>
    </xf>
    <xf numFmtId="169" fontId="1" fillId="0" borderId="0" xfId="0" applyFont="1"/>
    <xf numFmtId="169" fontId="67" fillId="0" borderId="0" xfId="0" applyFont="1"/>
    <xf numFmtId="43" fontId="69" fillId="0" borderId="19" xfId="23" applyFont="1" applyFill="1" applyBorder="1" applyAlignment="1" applyProtection="1">
      <alignment vertical="center"/>
    </xf>
    <xf numFmtId="169" fontId="68"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2" xfId="0" applyNumberFormat="1" applyFont="1" applyFill="1" applyBorder="1" applyAlignment="1" applyProtection="1">
      <alignment horizontal="center"/>
      <protection locked="0"/>
    </xf>
    <xf numFmtId="165" fontId="0" fillId="0" borderId="0" xfId="0" applyNumberFormat="1" applyProtection="1"/>
    <xf numFmtId="43" fontId="13" fillId="0" borderId="0" xfId="15" applyFont="1" applyFill="1" applyAlignment="1" applyProtection="1">
      <alignment horizontal="right" vertical="center"/>
    </xf>
    <xf numFmtId="169" fontId="74" fillId="0" borderId="0" xfId="0" applyFont="1" applyFill="1" applyBorder="1" applyAlignment="1" applyProtection="1">
      <alignment horizontal="right"/>
    </xf>
    <xf numFmtId="43" fontId="75" fillId="0" borderId="6" xfId="23" applyFont="1" applyFill="1" applyBorder="1" applyAlignment="1" applyProtection="1">
      <alignment horizontal="left" vertical="center"/>
    </xf>
    <xf numFmtId="169" fontId="76" fillId="0" borderId="0" xfId="0" applyFont="1" applyFill="1" applyBorder="1" applyProtection="1"/>
    <xf numFmtId="169"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69" fontId="79" fillId="0" borderId="0" xfId="0" applyFont="1" applyFill="1" applyBorder="1" applyAlignment="1" applyProtection="1">
      <alignment horizontal="center" wrapText="1"/>
    </xf>
    <xf numFmtId="169" fontId="0" fillId="0" borderId="0" xfId="0" quotePrefix="1" applyProtection="1"/>
    <xf numFmtId="15" fontId="25" fillId="0" borderId="33"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9" fontId="85" fillId="0" borderId="0" xfId="0" applyFont="1" applyBorder="1" applyAlignment="1" applyProtection="1">
      <alignment horizontal="right"/>
    </xf>
    <xf numFmtId="169" fontId="85" fillId="0" borderId="0" xfId="0" applyFont="1" applyAlignment="1" applyProtection="1">
      <alignment horizontal="right"/>
    </xf>
    <xf numFmtId="43" fontId="84" fillId="0" borderId="0" xfId="4" applyFont="1" applyFill="1" applyAlignment="1" applyProtection="1">
      <alignment vertical="center"/>
    </xf>
    <xf numFmtId="169" fontId="85" fillId="0" borderId="0" xfId="0" applyFont="1" applyProtection="1"/>
    <xf numFmtId="169" fontId="85" fillId="0" borderId="0" xfId="0" applyFont="1" applyBorder="1" applyProtection="1"/>
    <xf numFmtId="169" fontId="0" fillId="0" borderId="0" xfId="0" applyBorder="1" applyAlignment="1" applyProtection="1"/>
    <xf numFmtId="169" fontId="0" fillId="0" borderId="0" xfId="0" applyAlignment="1" applyProtection="1"/>
    <xf numFmtId="169" fontId="0" fillId="0" borderId="0" xfId="0" applyFill="1" applyBorder="1" applyProtection="1">
      <protection locked="0"/>
    </xf>
    <xf numFmtId="169" fontId="71" fillId="0" borderId="0" xfId="0" applyFont="1" applyFill="1" applyBorder="1" applyAlignment="1" applyProtection="1">
      <alignment horizontal="center" vertical="center"/>
    </xf>
    <xf numFmtId="169" fontId="4" fillId="0" borderId="34" xfId="0" applyFont="1" applyBorder="1" applyAlignment="1" applyProtection="1"/>
    <xf numFmtId="169" fontId="4" fillId="0" borderId="35" xfId="0" applyFont="1" applyBorder="1" applyAlignment="1" applyProtection="1"/>
    <xf numFmtId="169" fontId="18" fillId="0" borderId="36" xfId="0" applyFont="1" applyBorder="1" applyAlignment="1" applyProtection="1">
      <alignment vertical="distributed"/>
    </xf>
    <xf numFmtId="15" fontId="20" fillId="0" borderId="37" xfId="0" applyNumberFormat="1" applyFont="1" applyFill="1" applyBorder="1" applyAlignment="1" applyProtection="1">
      <alignment horizontal="center" vertical="center" wrapText="1"/>
    </xf>
    <xf numFmtId="169" fontId="4" fillId="0" borderId="0" xfId="0" applyFont="1" applyFill="1" applyBorder="1" applyAlignment="1" applyProtection="1">
      <protection locked="0"/>
    </xf>
    <xf numFmtId="169" fontId="80" fillId="0" borderId="0" xfId="0" applyFont="1" applyFill="1" applyBorder="1" applyAlignment="1" applyProtection="1">
      <alignment horizontal="left"/>
      <protection locked="0"/>
    </xf>
    <xf numFmtId="169" fontId="19" fillId="0" borderId="38" xfId="0" applyFont="1" applyFill="1" applyBorder="1" applyAlignment="1" applyProtection="1"/>
    <xf numFmtId="15" fontId="19" fillId="0" borderId="2" xfId="0" applyNumberFormat="1" applyFont="1" applyFill="1" applyBorder="1" applyAlignment="1" applyProtection="1">
      <alignment horizontal="center"/>
    </xf>
    <xf numFmtId="15" fontId="19" fillId="0" borderId="39"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40" xfId="0" applyNumberFormat="1" applyFont="1" applyFill="1" applyBorder="1" applyAlignment="1" applyProtection="1">
      <alignment horizontal="center" wrapText="1"/>
    </xf>
    <xf numFmtId="169" fontId="0" fillId="0" borderId="0" xfId="0" applyFill="1" applyBorder="1" applyAlignment="1" applyProtection="1">
      <alignment horizontal="left" vertical="top"/>
      <protection locked="0"/>
    </xf>
    <xf numFmtId="169" fontId="73" fillId="0" borderId="0" xfId="0" applyFont="1" applyFill="1" applyBorder="1" applyAlignment="1" applyProtection="1">
      <alignment horizontal="center"/>
    </xf>
    <xf numFmtId="169" fontId="7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69" fontId="0" fillId="0" borderId="41" xfId="0" applyBorder="1" applyAlignment="1" applyProtection="1">
      <alignment horizontal="center"/>
    </xf>
    <xf numFmtId="169" fontId="0" fillId="0" borderId="24" xfId="0" applyFill="1" applyBorder="1" applyAlignment="1" applyProtection="1">
      <alignment horizontal="center"/>
    </xf>
    <xf numFmtId="169" fontId="1" fillId="0" borderId="23" xfId="0" applyFont="1" applyFill="1" applyBorder="1" applyAlignment="1" applyProtection="1">
      <alignment horizontal="center" wrapText="1"/>
    </xf>
    <xf numFmtId="169" fontId="0" fillId="0" borderId="23" xfId="0" applyBorder="1" applyAlignment="1">
      <alignment horizontal="center" wrapText="1"/>
    </xf>
    <xf numFmtId="169" fontId="21" fillId="0" borderId="23" xfId="0" applyFont="1" applyBorder="1" applyAlignment="1">
      <alignment horizontal="center" wrapText="1"/>
    </xf>
    <xf numFmtId="169" fontId="1" fillId="0" borderId="40" xfId="0" applyFont="1" applyFill="1" applyBorder="1" applyAlignment="1" applyProtection="1">
      <alignment horizontal="center" wrapText="1"/>
    </xf>
    <xf numFmtId="3" fontId="45" fillId="7" borderId="20" xfId="0" applyNumberFormat="1" applyFont="1" applyFill="1" applyBorder="1" applyAlignment="1" applyProtection="1">
      <alignment vertical="center"/>
      <protection locked="0"/>
    </xf>
    <xf numFmtId="3" fontId="45" fillId="7" borderId="2" xfId="0" applyNumberFormat="1" applyFont="1" applyFill="1" applyBorder="1" applyAlignment="1" applyProtection="1">
      <alignment horizontal="right" vertical="center"/>
      <protection locked="0"/>
    </xf>
    <xf numFmtId="169" fontId="51" fillId="0" borderId="42" xfId="0" applyFont="1" applyFill="1" applyBorder="1" applyAlignment="1" applyProtection="1">
      <alignment horizontal="center" vertical="center"/>
    </xf>
    <xf numFmtId="169" fontId="17" fillId="0" borderId="0" xfId="0" applyFont="1" applyProtection="1"/>
    <xf numFmtId="43" fontId="81" fillId="0" borderId="0" xfId="0" applyNumberFormat="1" applyFont="1" applyBorder="1" applyAlignment="1" applyProtection="1">
      <alignment vertical="center" wrapText="1"/>
    </xf>
    <xf numFmtId="169" fontId="81" fillId="0" borderId="0" xfId="0" applyFont="1" applyFill="1" applyBorder="1" applyAlignment="1" applyProtection="1">
      <alignment wrapText="1"/>
    </xf>
    <xf numFmtId="43" fontId="13" fillId="0" borderId="25" xfId="20" applyFont="1" applyFill="1" applyBorder="1" applyAlignment="1" applyProtection="1">
      <alignment horizontal="right"/>
    </xf>
    <xf numFmtId="169" fontId="27" fillId="0" borderId="43" xfId="0" applyFont="1" applyFill="1" applyBorder="1" applyAlignment="1" applyProtection="1">
      <alignment horizontal="center" wrapText="1"/>
    </xf>
    <xf numFmtId="169" fontId="14" fillId="3" borderId="28" xfId="0" applyFont="1" applyFill="1" applyBorder="1" applyAlignment="1" applyProtection="1"/>
    <xf numFmtId="169" fontId="14" fillId="3" borderId="44" xfId="0" applyFont="1" applyFill="1" applyBorder="1" applyAlignment="1" applyProtection="1"/>
    <xf numFmtId="169"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43" fontId="21" fillId="0" borderId="0" xfId="0" applyNumberFormat="1" applyFont="1" applyAlignment="1" applyProtection="1"/>
    <xf numFmtId="169" fontId="0" fillId="0" borderId="19" xfId="0" applyFill="1" applyBorder="1" applyProtection="1"/>
    <xf numFmtId="43" fontId="86" fillId="0" borderId="19" xfId="23" applyFont="1" applyFill="1" applyBorder="1" applyAlignment="1" applyProtection="1">
      <alignment vertical="center"/>
    </xf>
    <xf numFmtId="169" fontId="0" fillId="0" borderId="19" xfId="0" applyBorder="1" applyProtection="1"/>
    <xf numFmtId="169" fontId="0" fillId="0" borderId="19" xfId="0" applyBorder="1"/>
    <xf numFmtId="9" fontId="8" fillId="0" borderId="0" xfId="19" applyFont="1" applyProtection="1"/>
    <xf numFmtId="14" fontId="17" fillId="6" borderId="25" xfId="20" applyNumberFormat="1" applyFont="1" applyFill="1" applyBorder="1" applyAlignment="1" applyProtection="1">
      <alignment horizontal="center" vertical="center"/>
    </xf>
    <xf numFmtId="43" fontId="17" fillId="6" borderId="25" xfId="20" applyFont="1" applyFill="1" applyBorder="1" applyAlignment="1" applyProtection="1">
      <alignment horizontal="center" vertical="center"/>
    </xf>
    <xf numFmtId="169"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43" fontId="17" fillId="6" borderId="25" xfId="20" applyFont="1" applyFill="1" applyBorder="1" applyAlignment="1" applyProtection="1">
      <alignment horizontal="center"/>
    </xf>
    <xf numFmtId="43" fontId="62" fillId="0" borderId="0" xfId="0" applyNumberFormat="1" applyFont="1" applyAlignment="1"/>
    <xf numFmtId="169" fontId="27" fillId="0" borderId="23" xfId="0" applyFont="1" applyFill="1" applyBorder="1" applyAlignment="1" applyProtection="1">
      <alignment horizontal="center" wrapText="1"/>
    </xf>
    <xf numFmtId="169"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5"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69" fontId="0" fillId="0" borderId="0" xfId="0" applyNumberFormat="1" applyFill="1" applyBorder="1" applyProtection="1">
      <protection locked="0"/>
    </xf>
    <xf numFmtId="164" fontId="25" fillId="2" borderId="46" xfId="0" applyNumberFormat="1" applyFont="1" applyFill="1" applyBorder="1" applyAlignment="1" applyProtection="1">
      <alignment horizontal="center"/>
      <protection locked="0"/>
    </xf>
    <xf numFmtId="164" fontId="25" fillId="2" borderId="47" xfId="0" applyNumberFormat="1" applyFont="1" applyFill="1" applyBorder="1" applyAlignment="1" applyProtection="1">
      <alignment horizontal="center"/>
      <protection locked="0"/>
    </xf>
    <xf numFmtId="164" fontId="25" fillId="2" borderId="49" xfId="0" applyNumberFormat="1" applyFont="1" applyFill="1" applyBorder="1" applyAlignment="1" applyProtection="1">
      <alignment horizontal="center"/>
      <protection locked="0"/>
    </xf>
    <xf numFmtId="164" fontId="25" fillId="2" borderId="50" xfId="0" applyNumberFormat="1" applyFont="1" applyFill="1" applyBorder="1" applyAlignment="1" applyProtection="1">
      <alignment horizontal="center"/>
      <protection locked="0"/>
    </xf>
    <xf numFmtId="169" fontId="0" fillId="0" borderId="51" xfId="0" applyFill="1" applyBorder="1" applyAlignment="1" applyProtection="1">
      <alignment horizontal="center"/>
    </xf>
    <xf numFmtId="43" fontId="1" fillId="0" borderId="25" xfId="20" applyFont="1" applyBorder="1" applyAlignment="1" applyProtection="1">
      <alignment horizontal="right"/>
    </xf>
    <xf numFmtId="43" fontId="94" fillId="0" borderId="0" xfId="16" applyFont="1" applyFill="1" applyBorder="1" applyProtection="1"/>
    <xf numFmtId="3" fontId="21" fillId="9" borderId="46" xfId="0" applyNumberFormat="1" applyFont="1" applyFill="1" applyBorder="1" applyAlignment="1" applyProtection="1">
      <protection locked="0"/>
    </xf>
    <xf numFmtId="3" fontId="21" fillId="9" borderId="52"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3" xfId="0" applyNumberFormat="1" applyFont="1" applyFill="1" applyBorder="1" applyAlignment="1" applyProtection="1"/>
    <xf numFmtId="164" fontId="7" fillId="2" borderId="56" xfId="0" applyNumberFormat="1" applyFont="1" applyFill="1" applyBorder="1" applyAlignment="1" applyProtection="1">
      <alignment horizontal="center"/>
      <protection locked="0"/>
    </xf>
    <xf numFmtId="164" fontId="7" fillId="2" borderId="57" xfId="0" applyNumberFormat="1" applyFont="1" applyFill="1" applyBorder="1" applyAlignment="1" applyProtection="1">
      <alignment horizontal="center"/>
      <protection locked="0"/>
    </xf>
    <xf numFmtId="169" fontId="0" fillId="9" borderId="2" xfId="0" applyFill="1" applyBorder="1" applyProtection="1"/>
    <xf numFmtId="169" fontId="0" fillId="6" borderId="2" xfId="0" applyFill="1" applyBorder="1" applyProtection="1"/>
    <xf numFmtId="49" fontId="18" fillId="0" borderId="58" xfId="0" applyNumberFormat="1" applyFont="1" applyFill="1" applyBorder="1" applyAlignment="1" applyProtection="1">
      <alignment vertical="center" wrapText="1"/>
    </xf>
    <xf numFmtId="169" fontId="63" fillId="0" borderId="59" xfId="0" applyNumberFormat="1" applyFont="1" applyFill="1" applyBorder="1" applyAlignment="1" applyProtection="1">
      <alignment horizontal="center" vertical="center" wrapText="1"/>
    </xf>
    <xf numFmtId="169" fontId="63" fillId="0" borderId="60" xfId="0" applyNumberFormat="1" applyFont="1" applyFill="1" applyBorder="1" applyAlignment="1" applyProtection="1">
      <alignment horizontal="center" vertical="center" wrapText="1"/>
    </xf>
    <xf numFmtId="169" fontId="19" fillId="0" borderId="61" xfId="0" applyFont="1" applyFill="1" applyBorder="1" applyAlignment="1" applyProtection="1">
      <alignment wrapText="1"/>
      <protection locked="0"/>
    </xf>
    <xf numFmtId="169" fontId="0" fillId="0" borderId="62"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69" fontId="0" fillId="6" borderId="2" xfId="0" applyNumberFormat="1" applyFill="1" applyBorder="1" applyProtection="1">
      <protection locked="0"/>
    </xf>
    <xf numFmtId="169" fontId="0" fillId="0" borderId="2" xfId="0" applyNumberFormat="1" applyFill="1" applyBorder="1" applyProtection="1"/>
    <xf numFmtId="169" fontId="0" fillId="6" borderId="2" xfId="0" applyNumberFormat="1" applyFill="1" applyBorder="1" applyAlignment="1" applyProtection="1">
      <alignment horizontal="center"/>
      <protection locked="0"/>
    </xf>
    <xf numFmtId="49" fontId="0" fillId="6" borderId="45" xfId="0" applyNumberFormat="1" applyFill="1" applyBorder="1" applyAlignment="1" applyProtection="1">
      <alignment horizontal="left"/>
      <protection locked="0"/>
    </xf>
    <xf numFmtId="169" fontId="0" fillId="6" borderId="45" xfId="0" applyNumberFormat="1" applyFill="1" applyBorder="1" applyProtection="1">
      <protection locked="0"/>
    </xf>
    <xf numFmtId="169" fontId="0" fillId="6" borderId="45" xfId="0" applyNumberFormat="1" applyFill="1" applyBorder="1" applyAlignment="1" applyProtection="1">
      <alignment horizontal="center"/>
      <protection locked="0"/>
    </xf>
    <xf numFmtId="43" fontId="105" fillId="9" borderId="63" xfId="23" applyFill="1" applyBorder="1" applyAlignment="1" applyProtection="1">
      <alignment vertical="center"/>
    </xf>
    <xf numFmtId="169" fontId="0" fillId="5" borderId="64" xfId="0" applyFill="1" applyBorder="1"/>
    <xf numFmtId="169" fontId="0" fillId="0" borderId="12" xfId="0" applyBorder="1" applyProtection="1"/>
    <xf numFmtId="43" fontId="32" fillId="6" borderId="65" xfId="23" applyFont="1" applyFill="1" applyBorder="1" applyAlignment="1" applyProtection="1">
      <alignment horizontal="center" vertical="center"/>
    </xf>
    <xf numFmtId="43" fontId="32" fillId="0" borderId="66" xfId="23" applyFont="1" applyFill="1" applyBorder="1" applyAlignment="1" applyProtection="1">
      <alignment vertical="center"/>
    </xf>
    <xf numFmtId="169" fontId="0" fillId="0" borderId="67" xfId="0" applyNumberFormat="1" applyFill="1" applyBorder="1"/>
    <xf numFmtId="15" fontId="20" fillId="0" borderId="68" xfId="0" applyNumberFormat="1" applyFont="1" applyFill="1" applyBorder="1" applyAlignment="1" applyProtection="1">
      <alignment horizontal="center" vertical="center" wrapText="1"/>
    </xf>
    <xf numFmtId="169" fontId="0" fillId="0" borderId="2" xfId="0" quotePrefix="1" applyNumberFormat="1" applyBorder="1" applyAlignment="1">
      <alignment horizontal="center"/>
    </xf>
    <xf numFmtId="3" fontId="0" fillId="0" borderId="0" xfId="0" applyNumberFormat="1" applyFill="1" applyBorder="1" applyProtection="1">
      <protection locked="0"/>
    </xf>
    <xf numFmtId="167" fontId="0" fillId="0" borderId="2" xfId="0" applyNumberFormat="1" applyFill="1" applyBorder="1" applyAlignment="1" applyProtection="1">
      <alignment horizontal="center"/>
    </xf>
    <xf numFmtId="167" fontId="8" fillId="10" borderId="69" xfId="0" applyNumberFormat="1" applyFont="1" applyFill="1" applyBorder="1" applyAlignment="1" applyProtection="1">
      <alignment horizontal="center"/>
    </xf>
    <xf numFmtId="167" fontId="14" fillId="10" borderId="69" xfId="0" applyNumberFormat="1" applyFont="1" applyFill="1" applyBorder="1" applyAlignment="1" applyProtection="1">
      <alignment horizontal="center"/>
    </xf>
    <xf numFmtId="43" fontId="47" fillId="0" borderId="2" xfId="16" applyFont="1" applyBorder="1" applyAlignment="1" applyProtection="1">
      <alignment horizontal="center"/>
    </xf>
    <xf numFmtId="169" fontId="47" fillId="0" borderId="2" xfId="0" applyFont="1" applyBorder="1" applyAlignment="1" applyProtection="1">
      <alignment horizontal="center"/>
    </xf>
    <xf numFmtId="167" fontId="0" fillId="3" borderId="2" xfId="0" applyNumberFormat="1" applyFill="1" applyBorder="1" applyAlignment="1" applyProtection="1">
      <alignment horizontal="center"/>
    </xf>
    <xf numFmtId="167" fontId="0" fillId="0" borderId="2" xfId="0" applyNumberFormat="1" applyBorder="1" applyAlignment="1" applyProtection="1">
      <alignment horizontal="center"/>
    </xf>
    <xf numFmtId="167" fontId="0" fillId="3" borderId="45" xfId="0" applyNumberFormat="1" applyFill="1" applyBorder="1" applyAlignment="1" applyProtection="1">
      <alignment horizontal="center"/>
    </xf>
    <xf numFmtId="167" fontId="0" fillId="0" borderId="45" xfId="0" applyNumberFormat="1" applyBorder="1" applyAlignment="1" applyProtection="1">
      <alignment horizontal="center"/>
    </xf>
    <xf numFmtId="169" fontId="45" fillId="11" borderId="2" xfId="0" applyFont="1" applyFill="1" applyBorder="1" applyAlignment="1" applyProtection="1">
      <alignment horizontal="center"/>
    </xf>
    <xf numFmtId="169" fontId="45" fillId="12" borderId="2" xfId="0" applyFont="1" applyFill="1" applyBorder="1" applyAlignment="1" applyProtection="1">
      <alignment horizontal="center"/>
    </xf>
    <xf numFmtId="3" fontId="45" fillId="13" borderId="2" xfId="0" applyNumberFormat="1" applyFont="1" applyFill="1" applyBorder="1" applyAlignment="1" applyProtection="1">
      <alignment vertical="center"/>
      <protection locked="0"/>
    </xf>
    <xf numFmtId="3" fontId="45" fillId="13" borderId="20" xfId="0" applyNumberFormat="1" applyFont="1" applyFill="1" applyBorder="1" applyAlignment="1" applyProtection="1">
      <alignment vertical="center"/>
      <protection locked="0"/>
    </xf>
    <xf numFmtId="3" fontId="45" fillId="7" borderId="20" xfId="0" applyNumberFormat="1" applyFont="1" applyFill="1" applyBorder="1" applyAlignment="1" applyProtection="1">
      <alignment horizontal="right" vertical="center"/>
      <protection locked="0"/>
    </xf>
    <xf numFmtId="169" fontId="0" fillId="0" borderId="81" xfId="0" applyBorder="1"/>
    <xf numFmtId="169" fontId="0" fillId="0" borderId="45" xfId="0" applyNumberFormat="1" applyFill="1" applyBorder="1" applyProtection="1"/>
    <xf numFmtId="3" fontId="0" fillId="0" borderId="45" xfId="0" applyNumberFormat="1" applyFill="1" applyBorder="1" applyProtection="1"/>
    <xf numFmtId="167" fontId="0" fillId="0" borderId="45" xfId="0" applyNumberFormat="1" applyFill="1" applyBorder="1" applyAlignment="1" applyProtection="1">
      <alignment horizontal="center"/>
    </xf>
    <xf numFmtId="169" fontId="0" fillId="0" borderId="82" xfId="0" applyBorder="1" applyAlignment="1" applyProtection="1">
      <alignment horizontal="center" wrapText="1"/>
    </xf>
    <xf numFmtId="3" fontId="0" fillId="0" borderId="45" xfId="0" applyNumberFormat="1" applyBorder="1" applyAlignment="1" applyProtection="1">
      <alignment horizontal="right" wrapText="1"/>
    </xf>
    <xf numFmtId="3" fontId="0" fillId="6" borderId="83" xfId="0" applyNumberFormat="1" applyFill="1" applyBorder="1" applyAlignment="1" applyProtection="1">
      <alignment horizontal="right" wrapText="1"/>
      <protection locked="0"/>
    </xf>
    <xf numFmtId="167" fontId="0" fillId="0" borderId="83" xfId="0" applyNumberFormat="1" applyFill="1" applyBorder="1" applyProtection="1"/>
    <xf numFmtId="167" fontId="0" fillId="0" borderId="84" xfId="0" applyNumberFormat="1" applyFill="1" applyBorder="1" applyProtection="1"/>
    <xf numFmtId="3" fontId="45" fillId="0" borderId="20" xfId="0" applyNumberFormat="1" applyFont="1" applyFill="1" applyBorder="1" applyAlignment="1" applyProtection="1">
      <alignment vertical="center"/>
    </xf>
    <xf numFmtId="3" fontId="45" fillId="11" borderId="20" xfId="0" applyNumberFormat="1" applyFont="1" applyFill="1" applyBorder="1" applyAlignment="1" applyProtection="1">
      <alignment vertical="center"/>
    </xf>
    <xf numFmtId="3" fontId="45" fillId="0" borderId="80" xfId="0" applyNumberFormat="1" applyFont="1" applyFill="1" applyBorder="1" applyAlignment="1" applyProtection="1">
      <alignment vertical="center"/>
    </xf>
    <xf numFmtId="3" fontId="101" fillId="7" borderId="2" xfId="0" applyNumberFormat="1" applyFont="1" applyFill="1" applyBorder="1" applyAlignment="1" applyProtection="1">
      <alignment vertical="center"/>
      <protection locked="0"/>
    </xf>
    <xf numFmtId="3" fontId="101" fillId="7" borderId="2" xfId="0" applyNumberFormat="1" applyFont="1" applyFill="1" applyBorder="1" applyAlignment="1" applyProtection="1">
      <alignment horizontal="right" vertical="center"/>
      <protection locked="0"/>
    </xf>
    <xf numFmtId="3" fontId="45" fillId="13" borderId="2" xfId="0" applyNumberFormat="1" applyFont="1" applyFill="1" applyBorder="1" applyAlignment="1" applyProtection="1">
      <alignment horizontal="right" vertical="center"/>
      <protection locked="0"/>
    </xf>
    <xf numFmtId="49" fontId="19" fillId="0" borderId="61" xfId="0" applyNumberFormat="1" applyFont="1" applyFill="1" applyBorder="1" applyAlignment="1" applyProtection="1">
      <alignment horizontal="justify" wrapText="1"/>
      <protection locked="0"/>
    </xf>
    <xf numFmtId="49" fontId="19" fillId="0" borderId="61" xfId="0" applyNumberFormat="1" applyFont="1" applyFill="1" applyBorder="1" applyAlignment="1" applyProtection="1">
      <alignment horizontal="justify"/>
      <protection locked="0"/>
    </xf>
    <xf numFmtId="169" fontId="101" fillId="0" borderId="2" xfId="0" applyFont="1" applyFill="1" applyBorder="1" applyAlignment="1" applyProtection="1">
      <alignment horizontal="center"/>
    </xf>
    <xf numFmtId="169" fontId="101" fillId="11" borderId="2" xfId="0" applyFont="1" applyFill="1" applyBorder="1" applyAlignment="1" applyProtection="1">
      <alignment horizontal="center"/>
    </xf>
    <xf numFmtId="169" fontId="0" fillId="0" borderId="13" xfId="0" applyBorder="1" applyAlignment="1" applyProtection="1">
      <alignment horizontal="center"/>
    </xf>
    <xf numFmtId="43" fontId="102" fillId="0" borderId="12" xfId="23" applyFont="1" applyFill="1" applyBorder="1" applyAlignment="1" applyProtection="1">
      <alignment vertical="center"/>
    </xf>
    <xf numFmtId="169" fontId="0" fillId="0" borderId="0" xfId="0" applyAlignment="1"/>
    <xf numFmtId="43" fontId="26" fillId="0" borderId="0" xfId="0" applyNumberFormat="1" applyFont="1" applyAlignment="1" applyProtection="1">
      <alignment horizontal="center"/>
    </xf>
    <xf numFmtId="169" fontId="51" fillId="0" borderId="85" xfId="0" applyFont="1" applyFill="1" applyBorder="1" applyAlignment="1" applyProtection="1">
      <alignment horizontal="center" vertical="center" wrapText="1"/>
    </xf>
    <xf numFmtId="169" fontId="101" fillId="0" borderId="79" xfId="0" applyFont="1" applyFill="1" applyBorder="1" applyAlignment="1" applyProtection="1">
      <alignment horizontal="center"/>
    </xf>
    <xf numFmtId="49" fontId="56" fillId="0" borderId="2" xfId="0" applyNumberFormat="1" applyFont="1" applyBorder="1" applyAlignment="1" applyProtection="1">
      <alignment horizontal="center" wrapText="1"/>
      <protection locked="0"/>
    </xf>
    <xf numFmtId="169" fontId="103" fillId="0" borderId="86" xfId="0" applyFont="1" applyFill="1" applyBorder="1" applyAlignment="1" applyProtection="1">
      <alignment wrapText="1"/>
    </xf>
    <xf numFmtId="169" fontId="27" fillId="0" borderId="24" xfId="0" applyFont="1" applyFill="1" applyBorder="1" applyAlignment="1" applyProtection="1">
      <alignment horizontal="center" wrapText="1"/>
    </xf>
    <xf numFmtId="169" fontId="0" fillId="0" borderId="0" xfId="0" applyFill="1" applyProtection="1"/>
    <xf numFmtId="169" fontId="85" fillId="0" borderId="0" xfId="0" applyFont="1" applyFill="1" applyAlignment="1" applyProtection="1">
      <alignment horizontal="right"/>
    </xf>
    <xf numFmtId="169" fontId="101" fillId="5" borderId="88" xfId="0" applyNumberFormat="1" applyFont="1" applyFill="1" applyBorder="1" applyAlignment="1" applyProtection="1">
      <alignment vertical="center" wrapText="1"/>
      <protection locked="0"/>
    </xf>
    <xf numFmtId="169" fontId="101" fillId="7" borderId="88" xfId="0" applyNumberFormat="1" applyFont="1" applyFill="1" applyBorder="1" applyAlignment="1" applyProtection="1">
      <alignment vertical="center" wrapText="1"/>
      <protection locked="0"/>
    </xf>
    <xf numFmtId="169" fontId="101" fillId="7" borderId="89" xfId="0" applyNumberFormat="1" applyFont="1" applyFill="1" applyBorder="1" applyAlignment="1" applyProtection="1">
      <alignment vertical="center" wrapText="1"/>
      <protection locked="0"/>
    </xf>
    <xf numFmtId="169" fontId="106" fillId="0" borderId="0" xfId="0" applyFont="1" applyAlignment="1" applyProtection="1">
      <alignment horizontal="left" vertical="center"/>
    </xf>
    <xf numFmtId="169" fontId="106" fillId="0" borderId="0" xfId="0" applyFont="1" applyAlignment="1">
      <alignment horizontal="left" vertical="center"/>
    </xf>
    <xf numFmtId="169" fontId="0" fillId="0" borderId="0" xfId="0" applyAlignment="1">
      <alignment horizontal="center"/>
    </xf>
    <xf numFmtId="169" fontId="0" fillId="0" borderId="0" xfId="0" applyAlignment="1" applyProtection="1">
      <alignment horizontal="center"/>
    </xf>
    <xf numFmtId="169" fontId="0" fillId="3" borderId="0" xfId="0" applyFill="1" applyAlignment="1" applyProtection="1">
      <alignment horizontal="center"/>
    </xf>
    <xf numFmtId="3" fontId="30" fillId="0" borderId="38" xfId="0" applyNumberFormat="1" applyFont="1" applyFill="1" applyBorder="1" applyAlignment="1" applyProtection="1">
      <alignment horizontal="center"/>
    </xf>
    <xf numFmtId="3" fontId="30" fillId="0" borderId="82" xfId="0" applyNumberFormat="1" applyFont="1" applyFill="1" applyBorder="1" applyAlignment="1" applyProtection="1">
      <alignment horizontal="center"/>
    </xf>
    <xf numFmtId="170" fontId="17" fillId="6" borderId="25" xfId="20" applyNumberFormat="1"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169" fontId="51" fillId="0" borderId="90" xfId="0" applyFont="1" applyFill="1" applyBorder="1" applyAlignment="1" applyProtection="1">
      <alignment horizontal="center" vertical="center" wrapText="1"/>
    </xf>
    <xf numFmtId="169" fontId="38" fillId="0" borderId="91" xfId="0" applyNumberFormat="1" applyFont="1" applyFill="1" applyBorder="1" applyAlignment="1" applyProtection="1">
      <alignment horizontal="right"/>
    </xf>
    <xf numFmtId="169" fontId="51" fillId="0" borderId="92" xfId="0" applyFont="1" applyFill="1" applyBorder="1" applyAlignment="1" applyProtection="1">
      <alignment horizontal="center"/>
    </xf>
    <xf numFmtId="169" fontId="38" fillId="0" borderId="93" xfId="0" applyNumberFormat="1" applyFont="1" applyFill="1" applyBorder="1" applyAlignment="1" applyProtection="1">
      <alignment horizontal="right"/>
    </xf>
    <xf numFmtId="169" fontId="51" fillId="0" borderId="94" xfId="0" applyFont="1" applyFill="1" applyBorder="1" applyAlignment="1" applyProtection="1">
      <alignment horizontal="center"/>
    </xf>
    <xf numFmtId="169" fontId="38" fillId="0" borderId="95" xfId="0" applyNumberFormat="1" applyFont="1" applyFill="1" applyBorder="1" applyAlignment="1" applyProtection="1">
      <alignment horizontal="right"/>
    </xf>
    <xf numFmtId="169" fontId="51" fillId="0" borderId="96" xfId="0" applyNumberFormat="1" applyFont="1" applyFill="1" applyBorder="1" applyAlignment="1" applyProtection="1">
      <alignment horizontal="center"/>
    </xf>
    <xf numFmtId="169" fontId="38" fillId="0" borderId="97" xfId="0" applyNumberFormat="1" applyFont="1" applyFill="1" applyBorder="1" applyAlignment="1" applyProtection="1">
      <alignment horizontal="right"/>
    </xf>
    <xf numFmtId="169" fontId="51" fillId="0" borderId="98" xfId="0" applyNumberFormat="1" applyFont="1" applyFill="1" applyBorder="1" applyAlignment="1" applyProtection="1">
      <alignment horizontal="center" vertical="center"/>
    </xf>
    <xf numFmtId="169" fontId="38" fillId="0" borderId="99" xfId="0" applyNumberFormat="1" applyFont="1" applyFill="1" applyBorder="1" applyAlignment="1" applyProtection="1">
      <alignment horizontal="right"/>
    </xf>
    <xf numFmtId="169" fontId="51" fillId="0" borderId="100" xfId="0" applyNumberFormat="1" applyFont="1" applyFill="1" applyBorder="1" applyAlignment="1" applyProtection="1">
      <alignment horizontal="center"/>
    </xf>
    <xf numFmtId="169" fontId="38" fillId="0" borderId="101" xfId="0" applyNumberFormat="1" applyFont="1" applyFill="1" applyBorder="1" applyAlignment="1" applyProtection="1">
      <alignment horizontal="right"/>
    </xf>
    <xf numFmtId="169" fontId="51" fillId="0" borderId="100" xfId="0" applyNumberFormat="1" applyFont="1" applyFill="1" applyBorder="1" applyAlignment="1" applyProtection="1">
      <alignment horizontal="center" vertical="center"/>
    </xf>
    <xf numFmtId="3" fontId="80" fillId="9" borderId="46" xfId="0" applyNumberFormat="1" applyFont="1" applyFill="1" applyBorder="1" applyAlignment="1" applyProtection="1">
      <protection locked="0"/>
    </xf>
    <xf numFmtId="3" fontId="80" fillId="9" borderId="52"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3" xfId="0" applyNumberFormat="1" applyFont="1" applyFill="1" applyBorder="1" applyAlignment="1" applyProtection="1"/>
    <xf numFmtId="3" fontId="14" fillId="9" borderId="102" xfId="1" applyNumberFormat="1" applyFont="1" applyFill="1" applyBorder="1" applyAlignment="1" applyProtection="1">
      <protection locked="0"/>
    </xf>
    <xf numFmtId="3" fontId="14" fillId="9" borderId="103" xfId="1" applyNumberFormat="1" applyFont="1" applyFill="1" applyBorder="1" applyProtection="1">
      <protection locked="0"/>
    </xf>
    <xf numFmtId="3" fontId="14" fillId="9" borderId="102" xfId="1" applyNumberFormat="1" applyFont="1" applyFill="1" applyBorder="1" applyProtection="1">
      <protection locked="0"/>
    </xf>
    <xf numFmtId="3" fontId="107" fillId="0" borderId="105"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6" xfId="1" applyNumberFormat="1" applyFont="1" applyFill="1" applyBorder="1" applyAlignment="1" applyProtection="1">
      <protection locked="0"/>
    </xf>
    <xf numFmtId="3" fontId="107" fillId="6" borderId="2" xfId="0" applyNumberFormat="1" applyFont="1" applyFill="1" applyBorder="1" applyAlignment="1" applyProtection="1">
      <alignment horizontal="right" wrapText="1"/>
      <protection locked="0"/>
    </xf>
    <xf numFmtId="3" fontId="107" fillId="0" borderId="2" xfId="0" applyNumberFormat="1" applyFont="1" applyBorder="1" applyAlignment="1" applyProtection="1">
      <alignment horizontal="right" wrapText="1"/>
    </xf>
    <xf numFmtId="3" fontId="107" fillId="0" borderId="45" xfId="0" applyNumberFormat="1" applyFont="1" applyBorder="1" applyAlignment="1" applyProtection="1">
      <alignment horizontal="right" wrapText="1"/>
    </xf>
    <xf numFmtId="3" fontId="108" fillId="9" borderId="83" xfId="0" applyNumberFormat="1" applyFont="1" applyFill="1" applyBorder="1" applyAlignment="1" applyProtection="1">
      <alignment horizontal="centerContinuous"/>
    </xf>
    <xf numFmtId="0" fontId="109" fillId="0" borderId="0" xfId="0" applyNumberFormat="1" applyFont="1" applyAlignment="1" applyProtection="1">
      <alignment horizontal="center" vertical="center"/>
    </xf>
    <xf numFmtId="170" fontId="21" fillId="0" borderId="0" xfId="0" applyNumberFormat="1" applyFont="1" applyAlignment="1" applyProtection="1">
      <alignment horizontal="center"/>
    </xf>
    <xf numFmtId="170" fontId="21" fillId="0" borderId="0" xfId="0" applyNumberFormat="1" applyFont="1"/>
    <xf numFmtId="1" fontId="45" fillId="13" borderId="2" xfId="0" applyNumberFormat="1" applyFont="1" applyFill="1" applyBorder="1" applyAlignment="1" applyProtection="1">
      <alignment horizontal="right" vertical="center"/>
      <protection locked="0"/>
    </xf>
    <xf numFmtId="169" fontId="104" fillId="5" borderId="29" xfId="0" applyFont="1" applyFill="1" applyBorder="1" applyAlignment="1">
      <alignment horizontal="justify" vertical="center" wrapText="1"/>
    </xf>
    <xf numFmtId="169" fontId="104" fillId="5" borderId="30" xfId="0" applyFont="1" applyFill="1" applyBorder="1" applyAlignment="1">
      <alignment horizontal="justify" vertical="center" wrapText="1"/>
    </xf>
    <xf numFmtId="169" fontId="92" fillId="5" borderId="28" xfId="0" applyFont="1" applyFill="1" applyBorder="1" applyAlignment="1">
      <alignment horizontal="justify" vertical="center" wrapText="1"/>
    </xf>
    <xf numFmtId="169" fontId="92" fillId="5" borderId="29" xfId="0" applyFont="1" applyFill="1" applyBorder="1" applyAlignment="1">
      <alignment horizontal="justify" vertical="center" wrapText="1"/>
    </xf>
    <xf numFmtId="169" fontId="92" fillId="5" borderId="30" xfId="0" applyFont="1" applyFill="1" applyBorder="1" applyAlignment="1">
      <alignment horizontal="justify" vertical="center" wrapText="1"/>
    </xf>
    <xf numFmtId="169" fontId="101" fillId="20" borderId="2" xfId="0" applyFont="1" applyFill="1" applyBorder="1" applyAlignment="1" applyProtection="1">
      <alignment horizontal="center"/>
    </xf>
    <xf numFmtId="174" fontId="21" fillId="0" borderId="2" xfId="0" applyNumberFormat="1" applyFont="1" applyBorder="1" applyAlignment="1" applyProtection="1">
      <alignment horizontal="center" vertical="center" wrapText="1"/>
    </xf>
    <xf numFmtId="174" fontId="21" fillId="0" borderId="2" xfId="0" applyNumberFormat="1" applyFont="1" applyFill="1" applyBorder="1" applyAlignment="1" applyProtection="1">
      <alignment horizontal="center" vertical="center" wrapText="1"/>
    </xf>
    <xf numFmtId="167" fontId="101" fillId="5" borderId="2" xfId="0" applyNumberFormat="1" applyFont="1" applyFill="1" applyBorder="1" applyAlignment="1" applyProtection="1">
      <alignment horizontal="right" vertical="center"/>
      <protection locked="0"/>
    </xf>
    <xf numFmtId="167" fontId="2" fillId="5" borderId="2" xfId="0" applyNumberFormat="1" applyFont="1" applyFill="1" applyBorder="1" applyAlignment="1" applyProtection="1">
      <alignment vertical="center"/>
      <protection locked="0"/>
    </xf>
    <xf numFmtId="167" fontId="45" fillId="5" borderId="2" xfId="0" applyNumberFormat="1" applyFont="1" applyFill="1" applyBorder="1" applyAlignment="1" applyProtection="1">
      <alignment vertical="center"/>
      <protection locked="0"/>
    </xf>
    <xf numFmtId="167" fontId="101" fillId="21" borderId="2" xfId="0" applyNumberFormat="1" applyFont="1" applyFill="1" applyBorder="1" applyAlignment="1" applyProtection="1">
      <alignment horizontal="right" vertical="center"/>
      <protection locked="0"/>
    </xf>
    <xf numFmtId="167" fontId="101" fillId="21" borderId="2" xfId="0" applyNumberFormat="1" applyFont="1" applyFill="1" applyBorder="1" applyAlignment="1" applyProtection="1">
      <alignment vertical="center"/>
      <protection locked="0"/>
    </xf>
    <xf numFmtId="167" fontId="45" fillId="21" borderId="2" xfId="0" applyNumberFormat="1" applyFont="1" applyFill="1" applyBorder="1" applyAlignment="1" applyProtection="1">
      <alignment horizontal="right" vertical="center"/>
      <protection locked="0"/>
    </xf>
    <xf numFmtId="167" fontId="45" fillId="21" borderId="2" xfId="0" applyNumberFormat="1" applyFont="1" applyFill="1" applyBorder="1" applyAlignment="1" applyProtection="1">
      <alignment vertical="center"/>
      <protection locked="0"/>
    </xf>
    <xf numFmtId="167" fontId="45" fillId="22" borderId="2" xfId="0" applyNumberFormat="1" applyFont="1" applyFill="1" applyBorder="1" applyAlignment="1" applyProtection="1">
      <alignment vertical="center"/>
      <protection locked="0"/>
    </xf>
    <xf numFmtId="167" fontId="45" fillId="22" borderId="2" xfId="0" applyNumberFormat="1" applyFont="1" applyFill="1" applyBorder="1" applyAlignment="1" applyProtection="1">
      <alignment horizontal="right" vertical="center"/>
      <protection locked="0"/>
    </xf>
    <xf numFmtId="167" fontId="2" fillId="22" borderId="2" xfId="0" applyNumberFormat="1" applyFont="1" applyFill="1" applyBorder="1" applyAlignment="1" applyProtection="1">
      <alignment vertical="center"/>
      <protection locked="0"/>
    </xf>
    <xf numFmtId="167" fontId="45" fillId="22" borderId="2" xfId="1" applyNumberFormat="1" applyFont="1" applyFill="1" applyBorder="1" applyAlignment="1" applyProtection="1">
      <alignment horizontal="right" vertical="center"/>
      <protection locked="0"/>
    </xf>
    <xf numFmtId="167" fontId="2" fillId="22" borderId="2" xfId="0" applyNumberFormat="1" applyFont="1" applyFill="1" applyBorder="1" applyAlignment="1" applyProtection="1">
      <alignment horizontal="right" vertical="center"/>
      <protection locked="0"/>
    </xf>
    <xf numFmtId="167" fontId="101" fillId="7" borderId="2" xfId="0" applyNumberFormat="1" applyFont="1" applyFill="1" applyBorder="1" applyAlignment="1" applyProtection="1">
      <alignment horizontal="right" vertical="center"/>
      <protection locked="0"/>
    </xf>
    <xf numFmtId="167" fontId="2" fillId="13" borderId="2" xfId="0" applyNumberFormat="1" applyFont="1" applyFill="1" applyBorder="1" applyAlignment="1" applyProtection="1">
      <alignment vertical="center"/>
      <protection locked="0"/>
    </xf>
    <xf numFmtId="167" fontId="45" fillId="13" borderId="2" xfId="0" applyNumberFormat="1" applyFont="1" applyFill="1" applyBorder="1" applyAlignment="1" applyProtection="1">
      <alignment vertical="center"/>
      <protection locked="0"/>
    </xf>
    <xf numFmtId="167" fontId="45" fillId="7" borderId="2" xfId="0" applyNumberFormat="1" applyFont="1" applyFill="1" applyBorder="1" applyAlignment="1" applyProtection="1">
      <alignment horizontal="right" vertical="center"/>
      <protection locked="0"/>
    </xf>
    <xf numFmtId="174" fontId="45" fillId="0" borderId="2" xfId="0" applyNumberFormat="1" applyFont="1" applyFill="1" applyBorder="1" applyAlignment="1" applyProtection="1">
      <alignment vertical="center"/>
    </xf>
    <xf numFmtId="174" fontId="45" fillId="11" borderId="2" xfId="0" applyNumberFormat="1" applyFont="1" applyFill="1" applyBorder="1" applyAlignment="1" applyProtection="1">
      <alignment vertical="center"/>
    </xf>
    <xf numFmtId="174" fontId="45" fillId="0" borderId="79" xfId="0" applyNumberFormat="1" applyFont="1" applyFill="1" applyBorder="1" applyAlignment="1" applyProtection="1">
      <alignment vertical="center"/>
    </xf>
    <xf numFmtId="167" fontId="2" fillId="7" borderId="2" xfId="0" applyNumberFormat="1" applyFont="1" applyFill="1" applyBorder="1" applyAlignment="1" applyProtection="1">
      <alignment vertical="center"/>
      <protection locked="0"/>
    </xf>
    <xf numFmtId="167" fontId="45" fillId="7" borderId="2" xfId="0" applyNumberFormat="1" applyFont="1" applyFill="1" applyBorder="1" applyAlignment="1" applyProtection="1">
      <alignment vertical="center"/>
      <protection locked="0"/>
    </xf>
    <xf numFmtId="3" fontId="45" fillId="13" borderId="20" xfId="0" applyNumberFormat="1" applyFont="1" applyFill="1" applyBorder="1" applyAlignment="1" applyProtection="1">
      <alignment horizontal="right" vertical="center"/>
      <protection locked="0"/>
    </xf>
    <xf numFmtId="1" fontId="107" fillId="9" borderId="39" xfId="0" applyNumberFormat="1" applyFont="1" applyFill="1" applyBorder="1" applyAlignment="1" applyProtection="1">
      <alignment horizontal="center"/>
      <protection locked="0"/>
    </xf>
    <xf numFmtId="1" fontId="107" fillId="9" borderId="53" xfId="0" applyNumberFormat="1" applyFont="1" applyFill="1" applyBorder="1" applyAlignment="1" applyProtection="1">
      <alignment horizontal="center"/>
      <protection locked="0"/>
    </xf>
    <xf numFmtId="1" fontId="107" fillId="9" borderId="107" xfId="0" applyNumberFormat="1" applyFont="1" applyFill="1" applyBorder="1" applyAlignment="1" applyProtection="1">
      <alignment horizontal="center"/>
      <protection locked="0"/>
    </xf>
    <xf numFmtId="1" fontId="45" fillId="13" borderId="2" xfId="0" applyNumberFormat="1" applyFont="1" applyFill="1" applyBorder="1" applyAlignment="1" applyProtection="1">
      <alignment vertical="center"/>
      <protection locked="0"/>
    </xf>
    <xf numFmtId="164" fontId="8" fillId="0" borderId="0" xfId="0" applyNumberFormat="1" applyFont="1" applyFill="1"/>
    <xf numFmtId="164" fontId="8" fillId="0" borderId="0" xfId="0" applyNumberFormat="1" applyFont="1" applyFill="1" applyProtection="1"/>
    <xf numFmtId="169" fontId="77" fillId="0" borderId="0" xfId="0" applyFont="1" applyFill="1" applyBorder="1" applyAlignment="1" applyProtection="1">
      <alignment horizontal="center" vertical="center"/>
    </xf>
    <xf numFmtId="169"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07" fillId="0" borderId="83" xfId="0" applyNumberFormat="1" applyFont="1" applyBorder="1" applyAlignment="1" applyProtection="1">
      <alignment horizontal="right" wrapText="1"/>
    </xf>
    <xf numFmtId="3" fontId="107" fillId="0" borderId="84" xfId="0" applyNumberFormat="1" applyFont="1" applyBorder="1" applyAlignment="1" applyProtection="1">
      <alignment horizontal="right" wrapText="1"/>
    </xf>
    <xf numFmtId="3" fontId="0" fillId="0" borderId="0" xfId="0" applyNumberFormat="1" applyFill="1" applyBorder="1"/>
    <xf numFmtId="169" fontId="110" fillId="0" borderId="0" xfId="0" applyFont="1"/>
    <xf numFmtId="169" fontId="34" fillId="0" borderId="0" xfId="0" applyFont="1" applyAlignment="1">
      <alignment horizontal="center"/>
    </xf>
    <xf numFmtId="169" fontId="34" fillId="0" borderId="0" xfId="0" applyFont="1" applyBorder="1" applyAlignment="1">
      <alignment horizontal="center"/>
    </xf>
    <xf numFmtId="49" fontId="107" fillId="0" borderId="2" xfId="0" applyNumberFormat="1" applyFont="1" applyFill="1" applyBorder="1" applyAlignment="1" applyProtection="1">
      <alignment horizontal="center"/>
      <protection locked="0"/>
    </xf>
    <xf numFmtId="169" fontId="114" fillId="0" borderId="0" xfId="0" applyFont="1" applyFill="1" applyBorder="1" applyAlignment="1" applyProtection="1">
      <alignment horizontal="right"/>
    </xf>
    <xf numFmtId="170" fontId="14" fillId="0" borderId="2" xfId="20" applyNumberFormat="1" applyFont="1" applyFill="1" applyBorder="1" applyAlignment="1" applyProtection="1">
      <alignment horizontal="center"/>
      <protection locked="0"/>
    </xf>
    <xf numFmtId="169" fontId="114" fillId="0" borderId="87" xfId="0" applyFont="1" applyFill="1" applyBorder="1" applyAlignment="1" applyProtection="1">
      <alignment horizontal="right"/>
    </xf>
    <xf numFmtId="3" fontId="14" fillId="9" borderId="46"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20" xfId="0" applyNumberFormat="1" applyFont="1" applyFill="1" applyBorder="1" applyAlignment="1" applyProtection="1"/>
    <xf numFmtId="1" fontId="14" fillId="3" borderId="108" xfId="0" applyNumberFormat="1" applyFont="1" applyFill="1" applyBorder="1" applyAlignment="1" applyProtection="1">
      <alignment horizontal="center"/>
    </xf>
    <xf numFmtId="1" fontId="107" fillId="9" borderId="2" xfId="0" applyNumberFormat="1" applyFont="1" applyFill="1" applyBorder="1" applyAlignment="1" applyProtection="1">
      <alignment horizontal="center"/>
      <protection locked="0"/>
    </xf>
    <xf numFmtId="3" fontId="107" fillId="6" borderId="32" xfId="0" applyNumberFormat="1" applyFont="1" applyFill="1" applyBorder="1" applyAlignment="1" applyProtection="1">
      <alignment horizontal="center"/>
      <protection locked="0"/>
    </xf>
    <xf numFmtId="3" fontId="107" fillId="0" borderId="17" xfId="0" applyNumberFormat="1" applyFont="1" applyFill="1" applyBorder="1" applyAlignment="1" applyProtection="1">
      <alignment horizontal="center"/>
    </xf>
    <xf numFmtId="3" fontId="107" fillId="6" borderId="17" xfId="0" applyNumberFormat="1" applyFont="1" applyFill="1" applyBorder="1" applyAlignment="1" applyProtection="1">
      <alignment horizontal="center"/>
      <protection locked="0"/>
    </xf>
    <xf numFmtId="169" fontId="107" fillId="0" borderId="0" xfId="0" applyFont="1" applyBorder="1" applyProtection="1"/>
    <xf numFmtId="1" fontId="107" fillId="6" borderId="2" xfId="0" applyNumberFormat="1" applyFont="1" applyFill="1" applyBorder="1" applyAlignment="1" applyProtection="1">
      <alignment horizontal="center"/>
      <protection locked="0"/>
    </xf>
    <xf numFmtId="1" fontId="107" fillId="0" borderId="108" xfId="0" applyNumberFormat="1" applyFont="1" applyFill="1" applyBorder="1" applyAlignment="1" applyProtection="1">
      <alignment horizontal="center"/>
    </xf>
    <xf numFmtId="1" fontId="107" fillId="6" borderId="32" xfId="0" applyNumberFormat="1" applyFont="1" applyFill="1" applyBorder="1" applyAlignment="1" applyProtection="1">
      <alignment horizontal="center"/>
      <protection locked="0"/>
    </xf>
    <xf numFmtId="3" fontId="107" fillId="3" borderId="17" xfId="0" applyNumberFormat="1" applyFont="1" applyFill="1" applyBorder="1" applyAlignment="1" applyProtection="1">
      <alignment horizontal="center"/>
      <protection locked="0"/>
    </xf>
    <xf numFmtId="3" fontId="107" fillId="0" borderId="2" xfId="0" applyNumberFormat="1" applyFont="1" applyFill="1" applyBorder="1"/>
    <xf numFmtId="3" fontId="107" fillId="0" borderId="45" xfId="0" applyNumberFormat="1" applyFont="1" applyFill="1" applyBorder="1"/>
    <xf numFmtId="167" fontId="115" fillId="5" borderId="2" xfId="0" applyNumberFormat="1" applyFont="1" applyFill="1" applyBorder="1" applyAlignment="1" applyProtection="1">
      <alignment vertical="center"/>
      <protection locked="0"/>
    </xf>
    <xf numFmtId="167" fontId="115" fillId="21" borderId="2" xfId="0" applyNumberFormat="1" applyFont="1" applyFill="1" applyBorder="1" applyAlignment="1" applyProtection="1">
      <alignment horizontal="right" vertical="center"/>
      <protection locked="0"/>
    </xf>
    <xf numFmtId="167" fontId="115" fillId="7" borderId="2" xfId="0" applyNumberFormat="1" applyFont="1" applyFill="1" applyBorder="1" applyAlignment="1" applyProtection="1">
      <alignment horizontal="right" vertical="center"/>
      <protection locked="0"/>
    </xf>
    <xf numFmtId="169" fontId="107" fillId="0" borderId="0" xfId="0" applyFont="1" applyBorder="1" applyAlignment="1">
      <alignment horizontal="left"/>
    </xf>
    <xf numFmtId="169" fontId="107" fillId="0" borderId="0" xfId="0" applyFont="1"/>
    <xf numFmtId="9" fontId="116" fillId="0" borderId="0" xfId="0" applyNumberFormat="1" applyFont="1" applyFill="1" applyBorder="1" applyAlignment="1" applyProtection="1"/>
    <xf numFmtId="169" fontId="92" fillId="0" borderId="0" xfId="0" applyFont="1" applyFill="1" applyBorder="1" applyAlignment="1" applyProtection="1">
      <alignment horizontal="center" vertical="center"/>
    </xf>
    <xf numFmtId="9" fontId="116" fillId="0" borderId="0" xfId="0" applyNumberFormat="1" applyFont="1" applyFill="1" applyBorder="1" applyAlignment="1" applyProtection="1">
      <alignment horizontal="center"/>
    </xf>
    <xf numFmtId="168" fontId="40" fillId="3" borderId="0" xfId="0" applyNumberFormat="1" applyFont="1" applyFill="1" applyBorder="1" applyAlignment="1" applyProtection="1">
      <alignment vertical="center"/>
    </xf>
    <xf numFmtId="169" fontId="92" fillId="3" borderId="0" xfId="0" applyFont="1" applyFill="1" applyBorder="1" applyAlignment="1" applyProtection="1">
      <alignment horizontal="center" vertical="center"/>
    </xf>
    <xf numFmtId="169" fontId="117" fillId="3" borderId="0" xfId="0" applyFont="1" applyFill="1" applyBorder="1" applyAlignment="1" applyProtection="1">
      <alignment horizontal="center" vertical="center"/>
    </xf>
    <xf numFmtId="167" fontId="40" fillId="3" borderId="0" xfId="19" applyNumberFormat="1" applyFont="1" applyFill="1" applyBorder="1" applyAlignment="1" applyProtection="1">
      <alignment horizontal="right"/>
    </xf>
    <xf numFmtId="9" fontId="116" fillId="3" borderId="0" xfId="0" applyNumberFormat="1" applyFont="1" applyFill="1" applyBorder="1" applyProtection="1"/>
    <xf numFmtId="9" fontId="116" fillId="3" borderId="0" xfId="0" applyNumberFormat="1" applyFont="1" applyFill="1" applyBorder="1" applyAlignment="1" applyProtection="1">
      <alignment horizontal="left"/>
    </xf>
    <xf numFmtId="169" fontId="23" fillId="0" borderId="0" xfId="0" applyFont="1" applyBorder="1" applyAlignment="1" applyProtection="1">
      <alignment horizontal="center" vertical="center"/>
    </xf>
    <xf numFmtId="169" fontId="40" fillId="3" borderId="0" xfId="0" applyFont="1" applyFill="1" applyBorder="1" applyAlignment="1" applyProtection="1">
      <alignment horizontal="left" vertical="center"/>
    </xf>
    <xf numFmtId="169" fontId="118" fillId="3" borderId="0" xfId="0" applyFont="1" applyFill="1" applyBorder="1" applyAlignment="1" applyProtection="1">
      <alignment horizontal="left" vertical="center"/>
    </xf>
    <xf numFmtId="169" fontId="41" fillId="0" borderId="0" xfId="0" applyFont="1" applyFill="1" applyBorder="1" applyAlignment="1" applyProtection="1">
      <alignment horizontal="right"/>
    </xf>
    <xf numFmtId="9" fontId="116" fillId="0" borderId="0" xfId="0" applyNumberFormat="1" applyFont="1" applyFill="1" applyBorder="1" applyProtection="1"/>
    <xf numFmtId="169" fontId="41" fillId="0" borderId="0" xfId="0" applyFont="1" applyFill="1" applyBorder="1" applyProtection="1"/>
    <xf numFmtId="169" fontId="120" fillId="0" borderId="0" xfId="0" applyFont="1" applyFill="1" applyBorder="1" applyProtection="1"/>
    <xf numFmtId="169" fontId="121" fillId="0" borderId="0" xfId="0" applyFont="1" applyFill="1" applyBorder="1" applyAlignment="1" applyProtection="1">
      <alignment horizontal="center" vertical="center"/>
    </xf>
    <xf numFmtId="169" fontId="122" fillId="0" borderId="0" xfId="0" applyFont="1" applyFill="1" applyBorder="1" applyAlignment="1" applyProtection="1">
      <alignment horizontal="center" vertical="center"/>
    </xf>
    <xf numFmtId="169" fontId="122" fillId="0" borderId="0" xfId="0" applyFont="1" applyFill="1" applyBorder="1" applyAlignment="1" applyProtection="1">
      <alignment horizontal="right" vertical="center" indent="1"/>
    </xf>
    <xf numFmtId="169" fontId="123" fillId="0" borderId="0" xfId="0" applyFont="1" applyFill="1" applyBorder="1" applyAlignment="1" applyProtection="1">
      <alignment horizontal="center"/>
    </xf>
    <xf numFmtId="169" fontId="51" fillId="0" borderId="70" xfId="0" applyNumberFormat="1" applyFont="1" applyFill="1" applyBorder="1" applyAlignment="1" applyProtection="1">
      <alignment horizontal="center" vertical="center"/>
    </xf>
    <xf numFmtId="169" fontId="23" fillId="0" borderId="21" xfId="0" applyNumberFormat="1" applyFont="1" applyFill="1" applyBorder="1" applyAlignment="1" applyProtection="1">
      <alignment vertical="center"/>
    </xf>
    <xf numFmtId="169" fontId="51" fillId="0" borderId="71" xfId="0" applyNumberFormat="1" applyFont="1" applyFill="1" applyBorder="1" applyAlignment="1" applyProtection="1">
      <alignment horizontal="center" vertical="center"/>
    </xf>
    <xf numFmtId="169" fontId="23" fillId="0" borderId="22" xfId="0" applyNumberFormat="1" applyFont="1" applyFill="1" applyBorder="1" applyAlignment="1" applyProtection="1">
      <alignment vertical="center"/>
    </xf>
    <xf numFmtId="169" fontId="51" fillId="0" borderId="72" xfId="0" applyNumberFormat="1" applyFont="1" applyFill="1" applyBorder="1" applyAlignment="1" applyProtection="1">
      <alignment horizontal="center" vertical="center"/>
    </xf>
    <xf numFmtId="169" fontId="23" fillId="0" borderId="27" xfId="0" applyNumberFormat="1" applyFont="1" applyFill="1" applyBorder="1" applyAlignment="1" applyProtection="1">
      <alignment vertical="center"/>
    </xf>
    <xf numFmtId="169" fontId="124" fillId="0" borderId="0" xfId="0" applyFont="1"/>
    <xf numFmtId="167" fontId="45" fillId="5" borderId="2" xfId="0" applyNumberFormat="1" applyFont="1" applyFill="1" applyBorder="1" applyAlignment="1" applyProtection="1">
      <alignment horizontal="right" vertical="center"/>
      <protection locked="0"/>
    </xf>
    <xf numFmtId="3" fontId="8" fillId="0" borderId="0" xfId="0" applyNumberFormat="1" applyFont="1" applyFill="1" applyProtection="1"/>
    <xf numFmtId="1" fontId="125" fillId="13" borderId="2" xfId="0" applyNumberFormat="1" applyFont="1" applyFill="1" applyBorder="1" applyAlignment="1" applyProtection="1">
      <alignment vertical="center"/>
      <protection locked="0"/>
    </xf>
    <xf numFmtId="169" fontId="126" fillId="0" borderId="0" xfId="0" applyFont="1"/>
    <xf numFmtId="169" fontId="104" fillId="5" borderId="29" xfId="0" applyFont="1" applyFill="1" applyBorder="1" applyAlignment="1">
      <alignment horizontal="justify" vertical="center" wrapText="1"/>
    </xf>
    <xf numFmtId="169" fontId="104" fillId="5" borderId="30" xfId="0" applyFont="1" applyFill="1" applyBorder="1" applyAlignment="1">
      <alignment horizontal="justify" vertical="center" wrapText="1"/>
    </xf>
    <xf numFmtId="174" fontId="45" fillId="13" borderId="2" xfId="0" applyNumberFormat="1" applyFont="1" applyFill="1" applyBorder="1" applyAlignment="1" applyProtection="1">
      <alignment vertical="center"/>
      <protection locked="0"/>
    </xf>
    <xf numFmtId="174" fontId="21" fillId="19" borderId="2" xfId="0" applyNumberFormat="1" applyFont="1" applyFill="1" applyBorder="1" applyAlignment="1" applyProtection="1">
      <alignment horizontal="center" vertical="center" wrapText="1"/>
    </xf>
    <xf numFmtId="174" fontId="80" fillId="19" borderId="2" xfId="0" applyNumberFormat="1" applyFont="1" applyFill="1" applyBorder="1" applyAlignment="1" applyProtection="1">
      <alignment horizontal="center" vertical="center" wrapText="1"/>
    </xf>
    <xf numFmtId="0" fontId="109" fillId="0" borderId="0" xfId="0" applyNumberFormat="1" applyFont="1" applyAlignment="1" applyProtection="1">
      <alignment horizontal="left" vertical="center"/>
    </xf>
    <xf numFmtId="2" fontId="45" fillId="5" borderId="2" xfId="0" applyNumberFormat="1" applyFont="1" applyFill="1" applyBorder="1" applyAlignment="1" applyProtection="1">
      <alignment vertical="center"/>
      <protection locked="0"/>
    </xf>
    <xf numFmtId="4" fontId="45" fillId="0" borderId="2" xfId="0" applyNumberFormat="1" applyFont="1" applyFill="1" applyBorder="1" applyAlignment="1" applyProtection="1">
      <alignment vertical="center"/>
    </xf>
    <xf numFmtId="4" fontId="21" fillId="0" borderId="2" xfId="0" applyNumberFormat="1" applyFont="1" applyBorder="1" applyAlignment="1" applyProtection="1">
      <alignment horizontal="center" vertical="center" wrapText="1"/>
    </xf>
    <xf numFmtId="169" fontId="129" fillId="0" borderId="0" xfId="0" applyFont="1" applyAlignment="1">
      <alignment horizontal="center"/>
    </xf>
    <xf numFmtId="169" fontId="129" fillId="0" borderId="0" xfId="0" applyFont="1"/>
    <xf numFmtId="167" fontId="115" fillId="0" borderId="2" xfId="0" applyNumberFormat="1" applyFont="1" applyFill="1" applyBorder="1" applyAlignment="1" applyProtection="1">
      <alignment vertical="center"/>
      <protection locked="0"/>
    </xf>
    <xf numFmtId="167" fontId="45" fillId="0" borderId="2" xfId="0" applyNumberFormat="1" applyFont="1" applyFill="1" applyBorder="1" applyAlignment="1" applyProtection="1">
      <alignment vertical="center"/>
      <protection locked="0"/>
    </xf>
    <xf numFmtId="167" fontId="45" fillId="0" borderId="79" xfId="0" applyNumberFormat="1" applyFont="1" applyFill="1" applyBorder="1" applyAlignment="1" applyProtection="1">
      <alignment vertical="center"/>
      <protection locked="0"/>
    </xf>
    <xf numFmtId="169" fontId="27" fillId="5" borderId="0" xfId="0" applyFont="1" applyFill="1" applyBorder="1" applyAlignment="1" applyProtection="1">
      <alignment horizontal="right" vertical="top" wrapText="1"/>
      <protection locked="0"/>
    </xf>
    <xf numFmtId="169" fontId="23" fillId="5" borderId="0" xfId="0" applyFont="1" applyFill="1" applyBorder="1" applyAlignment="1" applyProtection="1">
      <alignment horizontal="right" vertical="top" wrapText="1"/>
      <protection locked="0"/>
    </xf>
    <xf numFmtId="174" fontId="45" fillId="13" borderId="2" xfId="0" applyNumberFormat="1" applyFont="1" applyFill="1" applyBorder="1" applyAlignment="1" applyProtection="1">
      <alignment horizontal="right" vertical="center"/>
      <protection locked="0"/>
    </xf>
    <xf numFmtId="3" fontId="108" fillId="23" borderId="83" xfId="0" applyNumberFormat="1" applyFont="1" applyFill="1" applyBorder="1" applyAlignment="1" applyProtection="1">
      <alignment horizontal="centerContinuous"/>
    </xf>
    <xf numFmtId="3" fontId="108" fillId="23" borderId="84" xfId="0" applyNumberFormat="1" applyFont="1" applyFill="1" applyBorder="1" applyAlignment="1" applyProtection="1">
      <alignment horizontal="centerContinuous"/>
    </xf>
    <xf numFmtId="4" fontId="107" fillId="0" borderId="104" xfId="0" applyNumberFormat="1" applyFont="1" applyBorder="1" applyProtection="1"/>
    <xf numFmtId="4" fontId="14" fillId="0" borderId="54" xfId="1" applyNumberFormat="1" applyFont="1" applyFill="1" applyBorder="1" applyAlignment="1" applyProtection="1"/>
    <xf numFmtId="4" fontId="14" fillId="0" borderId="55" xfId="1" applyNumberFormat="1" applyFont="1" applyFill="1" applyBorder="1" applyAlignment="1" applyProtection="1"/>
    <xf numFmtId="169" fontId="8" fillId="0" borderId="0" xfId="0" applyFont="1" applyFill="1"/>
    <xf numFmtId="164" fontId="25" fillId="0" borderId="48" xfId="0" applyNumberFormat="1" applyFont="1" applyFill="1" applyBorder="1" applyAlignment="1" applyProtection="1">
      <alignment horizontal="center"/>
      <protection locked="0"/>
    </xf>
    <xf numFmtId="169" fontId="14" fillId="0" borderId="0" xfId="0" applyFont="1" applyFill="1"/>
    <xf numFmtId="169" fontId="14" fillId="0" borderId="0" xfId="0" applyNumberFormat="1" applyFont="1" applyFill="1"/>
    <xf numFmtId="3" fontId="0" fillId="0" borderId="0" xfId="0" applyNumberFormat="1" applyFill="1" applyProtection="1"/>
    <xf numFmtId="169" fontId="74" fillId="0" borderId="0" xfId="0" applyFont="1" applyFill="1" applyBorder="1" applyAlignment="1" applyProtection="1">
      <alignment horizontal="center"/>
    </xf>
    <xf numFmtId="15" fontId="79" fillId="0" borderId="0" xfId="0" applyNumberFormat="1" applyFont="1" applyFill="1" applyBorder="1" applyAlignment="1" applyProtection="1">
      <alignment horizontal="center"/>
    </xf>
    <xf numFmtId="169" fontId="127" fillId="0" borderId="0" xfId="0" applyFont="1" applyFill="1" applyBorder="1" applyProtection="1"/>
    <xf numFmtId="169" fontId="127" fillId="0" borderId="0" xfId="0" applyFont="1"/>
    <xf numFmtId="169" fontId="136" fillId="5" borderId="0" xfId="0" applyFont="1" applyFill="1" applyBorder="1" applyAlignment="1" applyProtection="1">
      <alignment horizontal="left"/>
      <protection locked="0"/>
    </xf>
    <xf numFmtId="169" fontId="127" fillId="0" borderId="0" xfId="0" applyFont="1" applyBorder="1" applyAlignment="1">
      <alignment horizontal="left" wrapText="1"/>
    </xf>
    <xf numFmtId="43" fontId="10" fillId="14" borderId="0" xfId="4" applyFont="1" applyFill="1" applyBorder="1" applyAlignment="1">
      <alignment horizontal="center" vertical="center"/>
    </xf>
    <xf numFmtId="43" fontId="26" fillId="0" borderId="0" xfId="0" applyNumberFormat="1" applyFont="1" applyAlignment="1">
      <alignment horizontal="center"/>
    </xf>
    <xf numFmtId="169" fontId="0" fillId="0" borderId="0" xfId="0" applyAlignment="1"/>
    <xf numFmtId="169" fontId="99" fillId="0" borderId="0" xfId="0" applyFont="1" applyAlignment="1">
      <alignment horizontal="center"/>
    </xf>
    <xf numFmtId="169" fontId="100" fillId="0" borderId="0" xfId="0" applyFont="1" applyAlignment="1">
      <alignment horizontal="center"/>
    </xf>
    <xf numFmtId="169" fontId="0" fillId="0" borderId="0" xfId="0" applyBorder="1" applyAlignment="1">
      <alignment horizontal="center" wrapText="1"/>
    </xf>
    <xf numFmtId="169" fontId="0" fillId="0" borderId="110" xfId="0" applyBorder="1" applyAlignment="1">
      <alignment horizontal="center" wrapText="1"/>
    </xf>
    <xf numFmtId="169" fontId="44" fillId="0" borderId="28" xfId="0" applyFont="1" applyBorder="1" applyAlignment="1">
      <alignment horizontal="left" vertical="center" wrapText="1"/>
    </xf>
    <xf numFmtId="169" fontId="44" fillId="0" borderId="29" xfId="0" applyFont="1" applyBorder="1" applyAlignment="1">
      <alignment horizontal="left" vertical="center" wrapText="1"/>
    </xf>
    <xf numFmtId="169" fontId="44" fillId="0" borderId="30" xfId="0" applyFont="1" applyBorder="1" applyAlignment="1">
      <alignment horizontal="left" vertical="center" wrapText="1"/>
    </xf>
    <xf numFmtId="43" fontId="60" fillId="0" borderId="28" xfId="0" applyNumberFormat="1" applyFont="1" applyBorder="1" applyAlignment="1">
      <alignment horizontal="left" vertical="center" wrapText="1"/>
    </xf>
    <xf numFmtId="169" fontId="60" fillId="0" borderId="29" xfId="0" applyFont="1" applyBorder="1" applyAlignment="1">
      <alignment horizontal="left" vertical="center" wrapText="1"/>
    </xf>
    <xf numFmtId="169" fontId="60" fillId="0" borderId="30" xfId="0" applyFont="1" applyBorder="1" applyAlignment="1">
      <alignment horizontal="left" vertical="center" wrapText="1"/>
    </xf>
    <xf numFmtId="169" fontId="60" fillId="0" borderId="29" xfId="0" applyFont="1" applyBorder="1" applyAlignment="1">
      <alignment horizontal="left" vertical="center"/>
    </xf>
    <xf numFmtId="169" fontId="60" fillId="0" borderId="30" xfId="0" applyFont="1" applyBorder="1" applyAlignment="1">
      <alignment horizontal="left" vertical="center"/>
    </xf>
    <xf numFmtId="169" fontId="61" fillId="0" borderId="28" xfId="0" applyFont="1" applyBorder="1" applyAlignment="1">
      <alignment horizontal="justify" vertical="center" wrapText="1"/>
    </xf>
    <xf numFmtId="169" fontId="61" fillId="0" borderId="29" xfId="0" applyFont="1" applyBorder="1" applyAlignment="1">
      <alignment horizontal="justify" vertical="center" wrapText="1"/>
    </xf>
    <xf numFmtId="169" fontId="61" fillId="0" borderId="30" xfId="0" applyFont="1" applyBorder="1" applyAlignment="1">
      <alignment horizontal="justify" vertical="center" wrapText="1"/>
    </xf>
    <xf numFmtId="169" fontId="0" fillId="0" borderId="110" xfId="0" applyBorder="1" applyAlignment="1">
      <alignment horizontal="center"/>
    </xf>
    <xf numFmtId="169" fontId="0" fillId="0" borderId="0" xfId="0" applyBorder="1" applyAlignment="1">
      <alignment horizontal="center"/>
    </xf>
    <xf numFmtId="43" fontId="10" fillId="15" borderId="0" xfId="12" applyFont="1" applyFill="1" applyAlignment="1" applyProtection="1">
      <alignment horizontal="center" vertical="center"/>
    </xf>
    <xf numFmtId="169" fontId="58" fillId="0" borderId="0" xfId="0" applyFont="1" applyAlignment="1">
      <alignment horizontal="center"/>
    </xf>
    <xf numFmtId="169" fontId="59" fillId="9" borderId="28" xfId="0" applyFont="1" applyFill="1" applyBorder="1" applyAlignment="1">
      <alignment horizontal="center"/>
    </xf>
    <xf numFmtId="169" fontId="59" fillId="9" borderId="29" xfId="0" applyFont="1" applyFill="1" applyBorder="1" applyAlignment="1">
      <alignment horizontal="center"/>
    </xf>
    <xf numFmtId="169" fontId="59" fillId="9" borderId="30" xfId="0" applyFont="1" applyFill="1" applyBorder="1" applyAlignment="1">
      <alignment horizontal="center"/>
    </xf>
    <xf numFmtId="43" fontId="60" fillId="0" borderId="28" xfId="0" applyNumberFormat="1" applyFont="1" applyBorder="1" applyAlignment="1">
      <alignment horizontal="justify" vertical="center" wrapText="1"/>
    </xf>
    <xf numFmtId="169" fontId="60" fillId="0" borderId="29" xfId="0" applyFont="1" applyBorder="1" applyAlignment="1">
      <alignment horizontal="justify" vertical="center"/>
    </xf>
    <xf numFmtId="169" fontId="60" fillId="0" borderId="30" xfId="0" applyFont="1" applyBorder="1" applyAlignment="1">
      <alignment horizontal="justify" vertical="center"/>
    </xf>
    <xf numFmtId="9" fontId="61" fillId="0" borderId="28" xfId="19" applyFont="1" applyBorder="1" applyAlignment="1">
      <alignment horizontal="justify" vertical="center" wrapText="1"/>
    </xf>
    <xf numFmtId="9" fontId="61" fillId="0" borderId="29" xfId="19" applyFont="1" applyBorder="1" applyAlignment="1">
      <alignment horizontal="justify" vertical="center" wrapText="1"/>
    </xf>
    <xf numFmtId="9" fontId="61" fillId="0" borderId="30" xfId="19" applyFont="1" applyBorder="1" applyAlignment="1">
      <alignment horizontal="justify" vertical="center" wrapText="1"/>
    </xf>
    <xf numFmtId="169" fontId="59" fillId="6" borderId="28" xfId="0" applyFont="1" applyFill="1" applyBorder="1" applyAlignment="1">
      <alignment horizontal="center"/>
    </xf>
    <xf numFmtId="169" fontId="59" fillId="6" borderId="29" xfId="0" applyFont="1" applyFill="1" applyBorder="1" applyAlignment="1">
      <alignment horizontal="center"/>
    </xf>
    <xf numFmtId="169" fontId="59" fillId="6" borderId="30" xfId="0" applyFont="1" applyFill="1" applyBorder="1" applyAlignment="1">
      <alignment horizontal="center"/>
    </xf>
    <xf numFmtId="169" fontId="60" fillId="0" borderId="29" xfId="0" applyFont="1" applyBorder="1" applyAlignment="1">
      <alignment horizontal="justify" vertical="center" wrapText="1"/>
    </xf>
    <xf numFmtId="169" fontId="60" fillId="0" borderId="30" xfId="0" applyFont="1" applyBorder="1" applyAlignment="1">
      <alignment horizontal="justify" vertical="center" wrapText="1"/>
    </xf>
    <xf numFmtId="169" fontId="44" fillId="0" borderId="111" xfId="0" applyFont="1" applyBorder="1" applyAlignment="1">
      <alignment horizontal="justify" wrapText="1"/>
    </xf>
    <xf numFmtId="169" fontId="44" fillId="0" borderId="110" xfId="0" applyFont="1" applyBorder="1" applyAlignment="1">
      <alignment horizontal="justify" wrapText="1"/>
    </xf>
    <xf numFmtId="169" fontId="44" fillId="0" borderId="112" xfId="0" applyFont="1" applyBorder="1" applyAlignment="1">
      <alignment horizontal="justify" wrapText="1"/>
    </xf>
    <xf numFmtId="169" fontId="44" fillId="0" borderId="28" xfId="0" applyFont="1" applyBorder="1" applyAlignment="1">
      <alignment horizontal="justify" vertical="center" wrapText="1"/>
    </xf>
    <xf numFmtId="169" fontId="92" fillId="0" borderId="113" xfId="0" applyFont="1" applyBorder="1" applyAlignment="1">
      <alignment horizontal="justify" vertical="center" wrapText="1"/>
    </xf>
    <xf numFmtId="169" fontId="92" fillId="0" borderId="74" xfId="0" applyFont="1" applyBorder="1" applyAlignment="1">
      <alignment horizontal="justify" vertical="center" wrapText="1"/>
    </xf>
    <xf numFmtId="169" fontId="92" fillId="0" borderId="76" xfId="0" applyFont="1" applyBorder="1" applyAlignment="1">
      <alignment horizontal="justify" vertical="center" wrapText="1"/>
    </xf>
    <xf numFmtId="169" fontId="92" fillId="0" borderId="28" xfId="0" applyFont="1" applyBorder="1" applyAlignment="1">
      <alignment horizontal="left" vertical="center" wrapText="1"/>
    </xf>
    <xf numFmtId="169" fontId="89" fillId="0" borderId="29" xfId="0" applyFont="1" applyBorder="1" applyAlignment="1">
      <alignment horizontal="left" vertical="center" wrapText="1"/>
    </xf>
    <xf numFmtId="169" fontId="89" fillId="0" borderId="30" xfId="0" applyFont="1" applyBorder="1" applyAlignment="1">
      <alignment horizontal="left" vertical="center" wrapText="1"/>
    </xf>
    <xf numFmtId="169" fontId="92" fillId="0" borderId="28" xfId="0" applyFont="1" applyBorder="1" applyAlignment="1">
      <alignment horizontal="justify" vertical="center" wrapText="1"/>
    </xf>
    <xf numFmtId="169" fontId="92" fillId="0" borderId="29" xfId="0" applyFont="1" applyBorder="1" applyAlignment="1">
      <alignment horizontal="justify" vertical="center" wrapText="1"/>
    </xf>
    <xf numFmtId="169" fontId="92" fillId="0" borderId="30" xfId="0" applyFont="1" applyBorder="1" applyAlignment="1">
      <alignment horizontal="justify" vertical="center" wrapText="1"/>
    </xf>
    <xf numFmtId="43" fontId="60" fillId="0" borderId="111" xfId="0" applyNumberFormat="1" applyFont="1" applyBorder="1" applyAlignment="1">
      <alignment horizontal="left" vertical="center" wrapText="1"/>
    </xf>
    <xf numFmtId="169" fontId="60" fillId="0" borderId="110" xfId="0" applyFont="1" applyBorder="1" applyAlignment="1">
      <alignment horizontal="left" vertical="center" wrapText="1"/>
    </xf>
    <xf numFmtId="169" fontId="60" fillId="0" borderId="112" xfId="0" applyFont="1" applyBorder="1" applyAlignment="1">
      <alignment horizontal="left" vertical="center" wrapText="1"/>
    </xf>
    <xf numFmtId="169" fontId="60" fillId="0" borderId="113" xfId="0" applyFont="1" applyBorder="1" applyAlignment="1">
      <alignment horizontal="left" vertical="center" wrapText="1"/>
    </xf>
    <xf numFmtId="169" fontId="60" fillId="0" borderId="74" xfId="0" applyFont="1" applyBorder="1" applyAlignment="1">
      <alignment horizontal="left" vertical="center" wrapText="1"/>
    </xf>
    <xf numFmtId="169" fontId="60" fillId="0" borderId="76" xfId="0" applyFont="1" applyBorder="1" applyAlignment="1">
      <alignment horizontal="left" vertical="center" wrapText="1"/>
    </xf>
    <xf numFmtId="169" fontId="61" fillId="0" borderId="113" xfId="0" applyFont="1" applyBorder="1" applyAlignment="1">
      <alignment horizontal="justify" vertical="center" wrapText="1"/>
    </xf>
    <xf numFmtId="169" fontId="61" fillId="0" borderId="74" xfId="0" applyFont="1" applyBorder="1" applyAlignment="1">
      <alignment horizontal="justify" vertical="center" wrapText="1"/>
    </xf>
    <xf numFmtId="169" fontId="61" fillId="0" borderId="76" xfId="0" applyFont="1" applyBorder="1" applyAlignment="1">
      <alignment horizontal="justify" vertical="center" wrapText="1"/>
    </xf>
    <xf numFmtId="169" fontId="44" fillId="0" borderId="111" xfId="0" applyFont="1" applyBorder="1" applyAlignment="1">
      <alignment horizontal="left" vertical="center" wrapText="1"/>
    </xf>
    <xf numFmtId="169" fontId="44" fillId="0" borderId="110" xfId="0" applyFont="1" applyBorder="1" applyAlignment="1">
      <alignment horizontal="left" vertical="center" wrapText="1"/>
    </xf>
    <xf numFmtId="169" fontId="44" fillId="0" borderId="112" xfId="0" applyFont="1" applyBorder="1" applyAlignment="1">
      <alignment horizontal="left" vertical="center" wrapText="1"/>
    </xf>
    <xf numFmtId="169" fontId="44" fillId="0" borderId="113" xfId="0" applyFont="1" applyBorder="1" applyAlignment="1">
      <alignment horizontal="left" vertical="center" wrapText="1"/>
    </xf>
    <xf numFmtId="169" fontId="44" fillId="0" borderId="74" xfId="0" applyFont="1" applyBorder="1" applyAlignment="1">
      <alignment horizontal="left" vertical="center" wrapText="1"/>
    </xf>
    <xf numFmtId="169" fontId="44" fillId="0" borderId="76" xfId="0" applyFont="1" applyBorder="1" applyAlignment="1">
      <alignment horizontal="left" vertical="center" wrapText="1"/>
    </xf>
    <xf numFmtId="169" fontId="44" fillId="0" borderId="29" xfId="0" applyFont="1" applyBorder="1" applyAlignment="1">
      <alignment horizontal="justify" vertical="center" wrapText="1"/>
    </xf>
    <xf numFmtId="169" fontId="44" fillId="0" borderId="30" xfId="0" applyFont="1" applyBorder="1" applyAlignment="1">
      <alignment horizontal="justify" vertical="center" wrapText="1"/>
    </xf>
    <xf numFmtId="169" fontId="0" fillId="0" borderId="28" xfId="0" applyBorder="1" applyAlignment="1">
      <alignment horizontal="center" vertical="center" wrapText="1"/>
    </xf>
    <xf numFmtId="169" fontId="0" fillId="0" borderId="29" xfId="0" applyBorder="1" applyAlignment="1">
      <alignment horizontal="center" vertical="center" wrapText="1"/>
    </xf>
    <xf numFmtId="169" fontId="0" fillId="0" borderId="30" xfId="0" applyBorder="1" applyAlignment="1">
      <alignment horizontal="center" vertical="center" wrapText="1"/>
    </xf>
    <xf numFmtId="169" fontId="66" fillId="5" borderId="28" xfId="0" applyFont="1" applyFill="1" applyBorder="1" applyAlignment="1">
      <alignment horizontal="center" vertical="center" wrapText="1"/>
    </xf>
    <xf numFmtId="169" fontId="66" fillId="5" borderId="29" xfId="0" applyFont="1" applyFill="1" applyBorder="1" applyAlignment="1">
      <alignment horizontal="center" vertical="center"/>
    </xf>
    <xf numFmtId="169" fontId="66" fillId="5" borderId="30" xfId="0" applyFont="1" applyFill="1" applyBorder="1" applyAlignment="1">
      <alignment horizontal="center" vertical="center"/>
    </xf>
    <xf numFmtId="169" fontId="65" fillId="5" borderId="28" xfId="0" applyFont="1" applyFill="1" applyBorder="1" applyAlignment="1">
      <alignment horizontal="center" vertical="center"/>
    </xf>
    <xf numFmtId="169" fontId="65" fillId="5" borderId="29" xfId="0" applyFont="1" applyFill="1" applyBorder="1" applyAlignment="1">
      <alignment horizontal="center" vertical="center"/>
    </xf>
    <xf numFmtId="169" fontId="65" fillId="5" borderId="30" xfId="0" applyFont="1" applyFill="1" applyBorder="1" applyAlignment="1">
      <alignment horizontal="center" vertical="center"/>
    </xf>
    <xf numFmtId="169" fontId="104" fillId="0" borderId="28" xfId="0" applyFont="1" applyBorder="1" applyAlignment="1" applyProtection="1">
      <alignment horizontal="justify" vertical="center" wrapText="1"/>
      <protection locked="0"/>
    </xf>
    <xf numFmtId="169" fontId="104" fillId="0" borderId="29" xfId="0" applyFont="1" applyBorder="1" applyAlignment="1" applyProtection="1">
      <alignment horizontal="justify" vertical="center" wrapText="1"/>
      <protection locked="0"/>
    </xf>
    <xf numFmtId="169" fontId="104" fillId="0" borderId="30" xfId="0" applyFont="1" applyBorder="1" applyAlignment="1" applyProtection="1">
      <alignment horizontal="justify" vertical="center" wrapText="1"/>
      <protection locked="0"/>
    </xf>
    <xf numFmtId="169" fontId="92" fillId="19" borderId="28" xfId="0" applyFont="1" applyFill="1" applyBorder="1" applyAlignment="1" applyProtection="1">
      <alignment horizontal="justify" vertical="center" wrapText="1"/>
      <protection locked="0"/>
    </xf>
    <xf numFmtId="169" fontId="92" fillId="19" borderId="29" xfId="0" applyFont="1" applyFill="1" applyBorder="1" applyAlignment="1" applyProtection="1">
      <alignment horizontal="justify" vertical="center" wrapText="1"/>
      <protection locked="0"/>
    </xf>
    <xf numFmtId="169" fontId="92" fillId="19" borderId="30" xfId="0" applyFont="1" applyFill="1" applyBorder="1" applyAlignment="1" applyProtection="1">
      <alignment horizontal="justify" vertical="center" wrapText="1"/>
      <protection locked="0"/>
    </xf>
    <xf numFmtId="169" fontId="17" fillId="0" borderId="28" xfId="0" applyFont="1" applyBorder="1" applyAlignment="1">
      <alignment horizontal="center" vertical="center" wrapText="1"/>
    </xf>
    <xf numFmtId="169" fontId="17" fillId="0" borderId="29" xfId="0" applyFont="1" applyBorder="1" applyAlignment="1">
      <alignment horizontal="center" vertical="center" wrapText="1"/>
    </xf>
    <xf numFmtId="169" fontId="17" fillId="0" borderId="30" xfId="0" applyFont="1" applyBorder="1" applyAlignment="1">
      <alignment horizontal="center" vertical="center" wrapText="1"/>
    </xf>
    <xf numFmtId="169" fontId="65" fillId="5" borderId="28" xfId="0" applyFont="1" applyFill="1" applyBorder="1" applyAlignment="1">
      <alignment horizontal="center" wrapText="1"/>
    </xf>
    <xf numFmtId="169" fontId="65" fillId="5" borderId="29" xfId="0" applyFont="1" applyFill="1" applyBorder="1" applyAlignment="1">
      <alignment horizontal="center" wrapText="1"/>
    </xf>
    <xf numFmtId="169" fontId="65" fillId="5" borderId="30" xfId="0" applyFont="1" applyFill="1" applyBorder="1" applyAlignment="1">
      <alignment horizontal="center" wrapText="1"/>
    </xf>
    <xf numFmtId="169" fontId="65" fillId="5" borderId="28" xfId="0" applyFont="1" applyFill="1" applyBorder="1" applyAlignment="1">
      <alignment horizontal="center"/>
    </xf>
    <xf numFmtId="169" fontId="65" fillId="5" borderId="29" xfId="0" applyFont="1" applyFill="1" applyBorder="1" applyAlignment="1">
      <alignment horizontal="center"/>
    </xf>
    <xf numFmtId="169" fontId="65" fillId="5" borderId="30" xfId="0" applyFont="1" applyFill="1" applyBorder="1" applyAlignment="1">
      <alignment horizontal="center"/>
    </xf>
    <xf numFmtId="169" fontId="104" fillId="5" borderId="28" xfId="0" applyFont="1" applyFill="1" applyBorder="1" applyAlignment="1">
      <alignment horizontal="justify" vertical="center" wrapText="1"/>
    </xf>
    <xf numFmtId="169" fontId="104" fillId="5" borderId="29" xfId="0" applyFont="1" applyFill="1" applyBorder="1" applyAlignment="1">
      <alignment horizontal="justify" vertical="center" wrapText="1"/>
    </xf>
    <xf numFmtId="169" fontId="104" fillId="5" borderId="30" xfId="0" applyFont="1" applyFill="1" applyBorder="1" applyAlignment="1">
      <alignment horizontal="justify" vertical="center" wrapText="1"/>
    </xf>
    <xf numFmtId="169" fontId="92" fillId="0" borderId="28" xfId="0" applyFont="1" applyFill="1" applyBorder="1" applyAlignment="1" applyProtection="1">
      <alignment horizontal="justify" vertical="center" wrapText="1"/>
      <protection locked="0"/>
    </xf>
    <xf numFmtId="169" fontId="104" fillId="0" borderId="29" xfId="0" applyFont="1" applyFill="1" applyBorder="1" applyAlignment="1" applyProtection="1">
      <alignment horizontal="justify" vertical="center" wrapText="1"/>
      <protection locked="0"/>
    </xf>
    <xf numFmtId="169" fontId="104" fillId="0" borderId="30" xfId="0" applyFont="1" applyFill="1" applyBorder="1" applyAlignment="1" applyProtection="1">
      <alignment horizontal="justify" vertical="center" wrapText="1"/>
      <protection locked="0"/>
    </xf>
    <xf numFmtId="169" fontId="92" fillId="19" borderId="28" xfId="0" applyFont="1" applyFill="1" applyBorder="1" applyAlignment="1" applyProtection="1">
      <alignment horizontal="justify" vertical="top" wrapText="1"/>
      <protection locked="0"/>
    </xf>
    <xf numFmtId="169" fontId="92" fillId="19" borderId="29" xfId="0" applyFont="1" applyFill="1" applyBorder="1" applyAlignment="1" applyProtection="1">
      <alignment horizontal="justify" vertical="top" wrapText="1"/>
      <protection locked="0"/>
    </xf>
    <xf numFmtId="169" fontId="92" fillId="19" borderId="30" xfId="0" applyFont="1" applyFill="1" applyBorder="1" applyAlignment="1" applyProtection="1">
      <alignment horizontal="justify" vertical="top" wrapText="1"/>
      <protection locked="0"/>
    </xf>
    <xf numFmtId="169" fontId="104" fillId="19" borderId="29" xfId="0" applyFont="1" applyFill="1" applyBorder="1" applyAlignment="1" applyProtection="1">
      <alignment horizontal="justify" vertical="center" wrapText="1"/>
      <protection locked="0"/>
    </xf>
    <xf numFmtId="169" fontId="104" fillId="19" borderId="30" xfId="0" applyFont="1" applyFill="1" applyBorder="1" applyAlignment="1" applyProtection="1">
      <alignment horizontal="justify" vertical="center" wrapText="1"/>
      <protection locked="0"/>
    </xf>
    <xf numFmtId="169" fontId="128" fillId="19" borderId="28" xfId="0" applyFont="1" applyFill="1" applyBorder="1" applyAlignment="1" applyProtection="1">
      <alignment horizontal="justify" vertical="center" wrapText="1"/>
      <protection locked="0"/>
    </xf>
    <xf numFmtId="169" fontId="128" fillId="19" borderId="29" xfId="0" applyFont="1" applyFill="1" applyBorder="1" applyAlignment="1" applyProtection="1">
      <alignment horizontal="justify" vertical="center" wrapText="1"/>
      <protection locked="0"/>
    </xf>
    <xf numFmtId="169" fontId="128" fillId="19" borderId="30" xfId="0" applyFont="1" applyFill="1" applyBorder="1" applyAlignment="1" applyProtection="1">
      <alignment horizontal="justify" vertical="center" wrapText="1"/>
      <protection locked="0"/>
    </xf>
    <xf numFmtId="169" fontId="0" fillId="0" borderId="130" xfId="0" applyBorder="1" applyAlignment="1" applyProtection="1">
      <alignment horizontal="center"/>
    </xf>
    <xf numFmtId="169" fontId="0" fillId="0" borderId="13" xfId="0" applyBorder="1" applyAlignment="1" applyProtection="1">
      <alignment horizontal="center"/>
    </xf>
    <xf numFmtId="169" fontId="45" fillId="5" borderId="30" xfId="0" applyNumberFormat="1" applyFont="1" applyFill="1" applyBorder="1" applyAlignment="1" applyProtection="1">
      <alignment horizontal="center" vertical="center" wrapText="1"/>
      <protection locked="0"/>
    </xf>
    <xf numFmtId="169" fontId="45" fillId="0" borderId="117" xfId="0" applyFont="1" applyFill="1" applyBorder="1" applyAlignment="1" applyProtection="1">
      <alignment horizontal="center" vertical="center" wrapText="1"/>
    </xf>
    <xf numFmtId="169" fontId="45" fillId="0" borderId="228" xfId="0" applyFont="1" applyFill="1" applyBorder="1" applyAlignment="1" applyProtection="1">
      <alignment horizontal="center" vertical="center" wrapText="1"/>
    </xf>
    <xf numFmtId="0" fontId="45" fillId="0" borderId="88" xfId="0" applyNumberFormat="1" applyFont="1" applyFill="1" applyBorder="1" applyAlignment="1" applyProtection="1">
      <alignment horizontal="center" vertical="center" wrapText="1"/>
    </xf>
    <xf numFmtId="0" fontId="45" fillId="0" borderId="229" xfId="0" applyNumberFormat="1" applyFont="1" applyFill="1" applyBorder="1" applyAlignment="1" applyProtection="1">
      <alignment horizontal="center" vertical="center" wrapText="1"/>
    </xf>
    <xf numFmtId="49" fontId="45" fillId="7" borderId="117" xfId="0" applyNumberFormat="1" applyFont="1" applyFill="1" applyBorder="1" applyAlignment="1" applyProtection="1">
      <alignment horizontal="center" vertical="center" wrapText="1"/>
      <protection locked="0"/>
    </xf>
    <xf numFmtId="49" fontId="45" fillId="7" borderId="118" xfId="0" applyNumberFormat="1" applyFont="1" applyFill="1" applyBorder="1" applyAlignment="1" applyProtection="1">
      <alignment horizontal="center" vertical="center" wrapText="1"/>
      <protection locked="0"/>
    </xf>
    <xf numFmtId="0" fontId="45" fillId="7" borderId="88" xfId="0" applyNumberFormat="1" applyFont="1" applyFill="1" applyBorder="1" applyAlignment="1" applyProtection="1">
      <alignment horizontal="center" vertical="center" wrapText="1"/>
      <protection locked="0"/>
    </xf>
    <xf numFmtId="0" fontId="45" fillId="7" borderId="75" xfId="0" applyNumberFormat="1" applyFont="1" applyFill="1" applyBorder="1" applyAlignment="1" applyProtection="1">
      <alignment horizontal="center" vertical="center" wrapText="1"/>
      <protection locked="0"/>
    </xf>
    <xf numFmtId="169" fontId="45" fillId="5" borderId="122" xfId="0" applyNumberFormat="1" applyFont="1" applyFill="1" applyBorder="1" applyAlignment="1" applyProtection="1">
      <alignment horizontal="center" vertical="center" wrapText="1"/>
      <protection locked="0"/>
    </xf>
    <xf numFmtId="169" fontId="45" fillId="11" borderId="30" xfId="0" applyFont="1" applyFill="1" applyBorder="1" applyAlignment="1" applyProtection="1">
      <alignment horizontal="center" vertical="center" wrapText="1"/>
    </xf>
    <xf numFmtId="169" fontId="45" fillId="0" borderId="30" xfId="0" applyFont="1" applyFill="1" applyBorder="1" applyAlignment="1" applyProtection="1">
      <alignment horizontal="center" vertical="center" wrapText="1"/>
    </xf>
    <xf numFmtId="49" fontId="45" fillId="7" borderId="225" xfId="0" applyNumberFormat="1" applyFont="1" applyFill="1" applyBorder="1" applyAlignment="1" applyProtection="1">
      <alignment horizontal="center" vertical="center" wrapText="1"/>
      <protection locked="0"/>
    </xf>
    <xf numFmtId="49" fontId="45" fillId="7" borderId="227" xfId="0" applyNumberFormat="1" applyFont="1" applyFill="1" applyBorder="1" applyAlignment="1" applyProtection="1">
      <alignment horizontal="center" vertical="center" wrapText="1"/>
      <protection locked="0"/>
    </xf>
    <xf numFmtId="0" fontId="45" fillId="0" borderId="122" xfId="0" applyNumberFormat="1" applyFont="1" applyFill="1" applyBorder="1" applyAlignment="1" applyProtection="1">
      <alignment horizontal="center" vertical="center" wrapText="1"/>
    </xf>
    <xf numFmtId="169" fontId="45" fillId="7" borderId="224" xfId="0" applyNumberFormat="1" applyFont="1" applyFill="1" applyBorder="1" applyAlignment="1" applyProtection="1">
      <alignment horizontal="center" vertical="center" wrapText="1"/>
      <protection locked="0"/>
    </xf>
    <xf numFmtId="169" fontId="45" fillId="7" borderId="226" xfId="0" applyNumberFormat="1" applyFont="1" applyFill="1" applyBorder="1" applyAlignment="1" applyProtection="1">
      <alignment horizontal="center" vertical="center" wrapText="1"/>
      <protection locked="0"/>
    </xf>
    <xf numFmtId="49" fontId="45" fillId="5" borderId="135" xfId="0" applyNumberFormat="1" applyFont="1" applyFill="1" applyBorder="1" applyAlignment="1" applyProtection="1">
      <alignment horizontal="justify" vertical="center" wrapText="1"/>
      <protection locked="0"/>
    </xf>
    <xf numFmtId="169" fontId="107" fillId="0" borderId="110" xfId="0" applyFont="1" applyBorder="1" applyAlignment="1">
      <alignment horizontal="justify" vertical="center" wrapText="1"/>
    </xf>
    <xf numFmtId="169" fontId="107" fillId="0" borderId="136" xfId="0" applyFont="1" applyBorder="1" applyAlignment="1">
      <alignment horizontal="justify" vertical="center" wrapText="1"/>
    </xf>
    <xf numFmtId="169" fontId="107" fillId="0" borderId="73" xfId="0" applyFont="1" applyBorder="1" applyAlignment="1">
      <alignment horizontal="justify" vertical="center" wrapText="1"/>
    </xf>
    <xf numFmtId="169" fontId="107" fillId="0" borderId="74" xfId="0" applyFont="1" applyBorder="1" applyAlignment="1">
      <alignment horizontal="justify" vertical="center" wrapText="1"/>
    </xf>
    <xf numFmtId="169" fontId="107" fillId="0" borderId="78" xfId="0" applyFont="1" applyBorder="1" applyAlignment="1">
      <alignment horizontal="justify" vertical="center" wrapText="1"/>
    </xf>
    <xf numFmtId="10" fontId="26" fillId="0" borderId="114" xfId="19" applyNumberFormat="1" applyFont="1" applyFill="1" applyBorder="1" applyAlignment="1" applyProtection="1">
      <alignment horizontal="center" vertical="center"/>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0" fontId="45" fillId="5" borderId="88" xfId="0" applyNumberFormat="1" applyFont="1" applyFill="1" applyBorder="1" applyAlignment="1" applyProtection="1">
      <alignment horizontal="center" vertical="center" wrapText="1"/>
      <protection locked="0"/>
    </xf>
    <xf numFmtId="0" fontId="45" fillId="5" borderId="75" xfId="0" applyNumberFormat="1" applyFont="1" applyFill="1" applyBorder="1" applyAlignment="1" applyProtection="1">
      <alignment horizontal="center" vertical="center" wrapText="1"/>
      <protection locked="0"/>
    </xf>
    <xf numFmtId="49" fontId="45" fillId="5" borderId="117" xfId="0" applyNumberFormat="1" applyFont="1" applyFill="1" applyBorder="1" applyAlignment="1" applyProtection="1">
      <alignment horizontal="center" vertical="center" wrapText="1"/>
      <protection locked="0"/>
    </xf>
    <xf numFmtId="49" fontId="45" fillId="5" borderId="118" xfId="0" applyNumberFormat="1" applyFont="1" applyFill="1" applyBorder="1" applyAlignment="1" applyProtection="1">
      <alignment horizontal="center" vertical="center" wrapText="1"/>
      <protection locked="0"/>
    </xf>
    <xf numFmtId="49" fontId="45" fillId="21" borderId="117" xfId="0" applyNumberFormat="1" applyFont="1" applyFill="1" applyBorder="1" applyAlignment="1" applyProtection="1">
      <alignment horizontal="center" vertical="center" wrapText="1"/>
      <protection locked="0"/>
    </xf>
    <xf numFmtId="49" fontId="45" fillId="21" borderId="118" xfId="0" applyNumberFormat="1" applyFont="1" applyFill="1" applyBorder="1" applyAlignment="1" applyProtection="1">
      <alignment horizontal="center" vertical="center" wrapText="1"/>
      <protection locked="0"/>
    </xf>
    <xf numFmtId="0" fontId="45" fillId="21" borderId="88" xfId="0" applyNumberFormat="1" applyFont="1" applyFill="1" applyBorder="1" applyAlignment="1" applyProtection="1">
      <alignment horizontal="center" vertical="center" wrapText="1"/>
      <protection locked="0"/>
    </xf>
    <xf numFmtId="0" fontId="101" fillId="21" borderId="75" xfId="0" applyNumberFormat="1" applyFont="1" applyFill="1" applyBorder="1" applyAlignment="1" applyProtection="1">
      <alignment horizontal="center" vertical="center" wrapText="1"/>
      <protection locked="0"/>
    </xf>
    <xf numFmtId="169" fontId="0" fillId="16" borderId="119" xfId="0" applyFill="1" applyBorder="1" applyAlignment="1" applyProtection="1">
      <alignment horizontal="center"/>
    </xf>
    <xf numFmtId="169" fontId="0" fillId="16" borderId="120" xfId="0" applyFill="1" applyBorder="1" applyAlignment="1" applyProtection="1">
      <alignment horizontal="center"/>
    </xf>
    <xf numFmtId="169" fontId="0" fillId="16" borderId="121" xfId="0" applyFill="1" applyBorder="1" applyAlignment="1" applyProtection="1">
      <alignment horizontal="center"/>
    </xf>
    <xf numFmtId="49" fontId="45" fillId="21" borderId="135" xfId="0" applyNumberFormat="1" applyFont="1" applyFill="1" applyBorder="1" applyAlignment="1" applyProtection="1">
      <alignment horizontal="justify" vertical="center" wrapText="1"/>
      <protection locked="0"/>
    </xf>
    <xf numFmtId="49" fontId="7" fillId="0" borderId="16" xfId="0" applyNumberFormat="1" applyFont="1" applyBorder="1" applyAlignment="1" applyProtection="1">
      <alignment horizontal="center"/>
    </xf>
    <xf numFmtId="49" fontId="7" fillId="0" borderId="32" xfId="0" applyNumberFormat="1" applyFont="1" applyBorder="1" applyAlignment="1" applyProtection="1">
      <alignment horizontal="center"/>
    </xf>
    <xf numFmtId="169" fontId="85" fillId="0" borderId="0" xfId="0" applyFont="1" applyBorder="1" applyAlignment="1" applyProtection="1">
      <alignment horizontal="right"/>
    </xf>
    <xf numFmtId="169" fontId="85" fillId="0" borderId="129" xfId="0" applyFont="1" applyBorder="1" applyAlignment="1" applyProtection="1">
      <alignment horizontal="right"/>
    </xf>
    <xf numFmtId="49" fontId="0" fillId="0" borderId="2" xfId="0" applyNumberFormat="1" applyBorder="1" applyAlignment="1" applyProtection="1">
      <alignment horizontal="center"/>
      <protection locked="0"/>
    </xf>
    <xf numFmtId="43" fontId="42" fillId="15" borderId="0" xfId="4" applyFont="1" applyFill="1" applyAlignment="1" applyProtection="1">
      <alignment horizontal="center" vertical="center"/>
    </xf>
    <xf numFmtId="169" fontId="85" fillId="0" borderId="87" xfId="0" applyFont="1" applyBorder="1" applyAlignment="1" applyProtection="1">
      <alignment horizontal="right"/>
    </xf>
    <xf numFmtId="49" fontId="45" fillId="0" borderId="135" xfId="0" applyNumberFormat="1" applyFont="1" applyFill="1" applyBorder="1" applyAlignment="1" applyProtection="1">
      <alignment horizontal="justify" vertical="center" wrapText="1"/>
      <protection locked="0"/>
    </xf>
    <xf numFmtId="49" fontId="45" fillId="0" borderId="110" xfId="0" applyNumberFormat="1" applyFont="1" applyFill="1" applyBorder="1" applyAlignment="1" applyProtection="1">
      <alignment horizontal="justify" vertical="center" wrapText="1"/>
      <protection locked="0"/>
    </xf>
    <xf numFmtId="49" fontId="45" fillId="0" borderId="136" xfId="0" applyNumberFormat="1" applyFont="1" applyFill="1" applyBorder="1" applyAlignment="1" applyProtection="1">
      <alignment horizontal="justify" vertical="center" wrapText="1"/>
      <protection locked="0"/>
    </xf>
    <xf numFmtId="49" fontId="45" fillId="0" borderId="73" xfId="0" applyNumberFormat="1" applyFont="1" applyFill="1" applyBorder="1" applyAlignment="1" applyProtection="1">
      <alignment horizontal="justify" vertical="center" wrapText="1"/>
      <protection locked="0"/>
    </xf>
    <xf numFmtId="49" fontId="45" fillId="0" borderId="74" xfId="0" applyNumberFormat="1" applyFont="1" applyFill="1" applyBorder="1" applyAlignment="1" applyProtection="1">
      <alignment horizontal="justify" vertical="center" wrapText="1"/>
      <protection locked="0"/>
    </xf>
    <xf numFmtId="49" fontId="45" fillId="0" borderId="78" xfId="0" applyNumberFormat="1" applyFont="1" applyFill="1" applyBorder="1" applyAlignment="1" applyProtection="1">
      <alignment horizontal="justify" vertical="center" wrapText="1"/>
      <protection locked="0"/>
    </xf>
    <xf numFmtId="0" fontId="45" fillId="11" borderId="122" xfId="0" applyNumberFormat="1" applyFont="1" applyFill="1" applyBorder="1" applyAlignment="1" applyProtection="1">
      <alignment horizontal="center" vertical="center" wrapText="1"/>
    </xf>
    <xf numFmtId="169" fontId="45" fillId="11" borderId="135" xfId="0" applyFont="1" applyFill="1" applyBorder="1" applyAlignment="1" applyProtection="1">
      <alignment horizontal="justify" vertical="center" wrapText="1"/>
    </xf>
    <xf numFmtId="169" fontId="45" fillId="11" borderId="110" xfId="0" applyFont="1" applyFill="1" applyBorder="1" applyAlignment="1" applyProtection="1">
      <alignment horizontal="justify" vertical="center" wrapText="1"/>
    </xf>
    <xf numFmtId="169" fontId="45" fillId="11" borderId="136" xfId="0" applyFont="1" applyFill="1" applyBorder="1" applyAlignment="1" applyProtection="1">
      <alignment horizontal="justify" vertical="center" wrapText="1"/>
    </xf>
    <xf numFmtId="169" fontId="45" fillId="11" borderId="73" xfId="0" applyFont="1" applyFill="1" applyBorder="1" applyAlignment="1" applyProtection="1">
      <alignment horizontal="justify" vertical="center" wrapText="1"/>
    </xf>
    <xf numFmtId="169" fontId="45" fillId="11" borderId="74" xfId="0" applyFont="1" applyFill="1" applyBorder="1" applyAlignment="1" applyProtection="1">
      <alignment horizontal="justify" vertical="center" wrapText="1"/>
    </xf>
    <xf numFmtId="169" fontId="45" fillId="11" borderId="78" xfId="0" applyFont="1" applyFill="1" applyBorder="1" applyAlignment="1" applyProtection="1">
      <alignment horizontal="justify" vertical="center" wrapText="1"/>
    </xf>
    <xf numFmtId="49" fontId="45" fillId="21" borderId="110" xfId="0" applyNumberFormat="1" applyFont="1" applyFill="1" applyBorder="1" applyAlignment="1" applyProtection="1">
      <alignment horizontal="justify" vertical="center" wrapText="1"/>
      <protection locked="0"/>
    </xf>
    <xf numFmtId="49" fontId="45" fillId="21" borderId="136" xfId="0" applyNumberFormat="1" applyFont="1" applyFill="1" applyBorder="1" applyAlignment="1" applyProtection="1">
      <alignment horizontal="justify" vertical="center" wrapText="1"/>
      <protection locked="0"/>
    </xf>
    <xf numFmtId="49" fontId="45" fillId="21" borderId="73" xfId="0" applyNumberFormat="1" applyFont="1" applyFill="1" applyBorder="1" applyAlignment="1" applyProtection="1">
      <alignment horizontal="justify" vertical="center" wrapText="1"/>
      <protection locked="0"/>
    </xf>
    <xf numFmtId="49" fontId="45" fillId="21" borderId="74" xfId="0" applyNumberFormat="1" applyFont="1" applyFill="1" applyBorder="1" applyAlignment="1" applyProtection="1">
      <alignment horizontal="justify" vertical="center" wrapText="1"/>
      <protection locked="0"/>
    </xf>
    <xf numFmtId="49" fontId="45" fillId="21" borderId="78" xfId="0" applyNumberFormat="1" applyFont="1" applyFill="1" applyBorder="1" applyAlignment="1" applyProtection="1">
      <alignment horizontal="justify" vertical="center" wrapText="1"/>
      <protection locked="0"/>
    </xf>
    <xf numFmtId="169" fontId="107" fillId="0" borderId="110" xfId="0" applyFont="1" applyFill="1" applyBorder="1" applyAlignment="1">
      <alignment horizontal="justify" vertical="center" wrapText="1"/>
    </xf>
    <xf numFmtId="169" fontId="107" fillId="0" borderId="136" xfId="0" applyFont="1" applyFill="1" applyBorder="1" applyAlignment="1">
      <alignment horizontal="justify" vertical="center" wrapText="1"/>
    </xf>
    <xf numFmtId="169" fontId="107" fillId="0" borderId="73" xfId="0" applyFont="1" applyFill="1" applyBorder="1" applyAlignment="1">
      <alignment horizontal="justify" vertical="center" wrapText="1"/>
    </xf>
    <xf numFmtId="169" fontId="107" fillId="0" borderId="74" xfId="0" applyFont="1" applyFill="1" applyBorder="1" applyAlignment="1">
      <alignment horizontal="justify" vertical="center" wrapText="1"/>
    </xf>
    <xf numFmtId="169" fontId="107" fillId="0" borderId="78" xfId="0" applyFont="1" applyFill="1" applyBorder="1" applyAlignment="1">
      <alignment horizontal="justify" vertical="center" wrapText="1"/>
    </xf>
    <xf numFmtId="169" fontId="56" fillId="0" borderId="131" xfId="0" applyFont="1" applyBorder="1" applyAlignment="1" applyProtection="1">
      <alignment horizontal="right"/>
    </xf>
    <xf numFmtId="169" fontId="93" fillId="0" borderId="131" xfId="0" applyFont="1" applyBorder="1" applyAlignment="1"/>
    <xf numFmtId="169" fontId="85" fillId="0" borderId="0" xfId="0" applyFont="1" applyAlignment="1" applyProtection="1">
      <alignment horizontal="right"/>
    </xf>
    <xf numFmtId="43" fontId="7" fillId="0" borderId="132" xfId="0" applyNumberFormat="1" applyFont="1" applyBorder="1" applyAlignment="1" applyProtection="1">
      <alignment horizontal="center"/>
    </xf>
    <xf numFmtId="169" fontId="7" fillId="0" borderId="133" xfId="0" applyFont="1" applyBorder="1" applyAlignment="1" applyProtection="1">
      <alignment horizontal="center"/>
    </xf>
    <xf numFmtId="169" fontId="7" fillId="0" borderId="134" xfId="0" applyFont="1" applyBorder="1" applyAlignment="1" applyProtection="1">
      <alignment horizontal="center"/>
    </xf>
    <xf numFmtId="169" fontId="19" fillId="0" borderId="137" xfId="0" applyFont="1" applyBorder="1" applyAlignment="1" applyProtection="1">
      <alignment horizontal="center" wrapText="1"/>
    </xf>
    <xf numFmtId="169" fontId="19" fillId="0" borderId="138" xfId="0" applyFont="1" applyBorder="1" applyAlignment="1" applyProtection="1">
      <alignment horizontal="center" wrapText="1"/>
    </xf>
    <xf numFmtId="169" fontId="19" fillId="0" borderId="139" xfId="0" applyFont="1" applyBorder="1" applyAlignment="1" applyProtection="1">
      <alignment horizontal="center" wrapText="1"/>
    </xf>
    <xf numFmtId="169" fontId="0" fillId="5" borderId="28" xfId="0" applyFill="1" applyBorder="1" applyAlignment="1" applyProtection="1">
      <alignment horizontal="center"/>
    </xf>
    <xf numFmtId="169" fontId="0" fillId="5" borderId="30" xfId="0" applyFill="1" applyBorder="1" applyAlignment="1" applyProtection="1">
      <alignment horizontal="center"/>
    </xf>
    <xf numFmtId="169" fontId="0" fillId="2" borderId="140" xfId="0" applyFill="1" applyBorder="1" applyAlignment="1" applyProtection="1">
      <alignment horizontal="center" vertical="center" textRotation="90"/>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69" fontId="51" fillId="0" borderId="123" xfId="0" applyFont="1" applyFill="1" applyBorder="1" applyAlignment="1" applyProtection="1">
      <alignment horizontal="center" vertical="center"/>
    </xf>
    <xf numFmtId="169" fontId="51" fillId="0" borderId="124" xfId="0" applyFont="1" applyFill="1" applyBorder="1" applyAlignment="1" applyProtection="1">
      <alignment horizontal="center" vertical="center"/>
    </xf>
    <xf numFmtId="169" fontId="51" fillId="0" borderId="125" xfId="0" applyFont="1" applyFill="1" applyBorder="1" applyAlignment="1" applyProtection="1">
      <alignment horizontal="center" vertical="center"/>
    </xf>
    <xf numFmtId="169" fontId="0" fillId="0" borderId="126" xfId="0" applyFill="1" applyBorder="1" applyAlignment="1" applyProtection="1">
      <alignment horizontal="center" vertical="center"/>
      <protection locked="0"/>
    </xf>
    <xf numFmtId="169" fontId="0" fillId="0" borderId="127" xfId="0" applyFill="1" applyBorder="1" applyAlignment="1" applyProtection="1">
      <alignment horizontal="center" vertical="center"/>
      <protection locked="0"/>
    </xf>
    <xf numFmtId="169" fontId="0" fillId="0" borderId="128" xfId="0" applyFill="1" applyBorder="1" applyAlignment="1" applyProtection="1">
      <alignment horizontal="center" vertical="center"/>
      <protection locked="0"/>
    </xf>
    <xf numFmtId="49" fontId="0" fillId="0" borderId="28" xfId="0" applyNumberFormat="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28" xfId="0" applyNumberFormat="1" applyBorder="1" applyAlignment="1" applyProtection="1">
      <alignment horizontal="justify" wrapText="1"/>
      <protection locked="0"/>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169" fontId="114" fillId="0" borderId="87" xfId="0" applyFont="1" applyFill="1" applyBorder="1" applyAlignment="1" applyProtection="1">
      <alignment horizontal="right" wrapText="1"/>
    </xf>
    <xf numFmtId="169" fontId="114" fillId="0" borderId="129" xfId="0" applyFont="1" applyFill="1" applyBorder="1" applyAlignment="1" applyProtection="1">
      <alignment horizontal="right" wrapText="1"/>
    </xf>
    <xf numFmtId="170" fontId="97" fillId="0" borderId="2" xfId="20" applyNumberFormat="1" applyFont="1" applyFill="1" applyBorder="1" applyAlignment="1" applyProtection="1">
      <alignment horizontal="center"/>
      <protection locked="0"/>
    </xf>
    <xf numFmtId="170" fontId="105" fillId="0" borderId="2" xfId="20" applyNumberFormat="1" applyFill="1" applyBorder="1" applyAlignment="1" applyProtection="1">
      <alignment horizontal="center"/>
      <protection locked="0"/>
    </xf>
    <xf numFmtId="171" fontId="107" fillId="0" borderId="28" xfId="0" applyNumberFormat="1" applyFont="1" applyFill="1" applyBorder="1" applyAlignment="1" applyProtection="1">
      <alignment horizontal="center"/>
      <protection locked="0"/>
    </xf>
    <xf numFmtId="171" fontId="107" fillId="0" borderId="30" xfId="0" applyNumberFormat="1" applyFont="1" applyFill="1" applyBorder="1" applyAlignment="1" applyProtection="1">
      <alignment horizontal="center"/>
      <protection locked="0"/>
    </xf>
    <xf numFmtId="49" fontId="111" fillId="0" borderId="2" xfId="0" applyNumberFormat="1" applyFont="1" applyBorder="1" applyAlignment="1" applyProtection="1">
      <alignment horizontal="center"/>
      <protection locked="0"/>
    </xf>
    <xf numFmtId="49" fontId="0" fillId="0" borderId="29" xfId="0" applyNumberFormat="1" applyBorder="1" applyAlignment="1" applyProtection="1">
      <alignment horizontal="center"/>
      <protection locked="0"/>
    </xf>
    <xf numFmtId="43" fontId="8" fillId="17" borderId="2" xfId="20" applyFont="1" applyFill="1" applyBorder="1" applyAlignment="1" applyProtection="1">
      <alignment horizontal="center"/>
      <protection locked="0"/>
    </xf>
    <xf numFmtId="43" fontId="17" fillId="6" borderId="25" xfId="20" applyFont="1" applyFill="1" applyBorder="1" applyAlignment="1" applyProtection="1">
      <alignment horizontal="center"/>
    </xf>
    <xf numFmtId="43" fontId="1" fillId="0" borderId="25" xfId="20" applyFont="1" applyFill="1" applyBorder="1" applyAlignment="1" applyProtection="1">
      <alignment horizontal="right"/>
    </xf>
    <xf numFmtId="43" fontId="87" fillId="14" borderId="25" xfId="20" applyFont="1" applyFill="1" applyBorder="1" applyAlignment="1" applyProtection="1">
      <alignment horizontal="center"/>
    </xf>
    <xf numFmtId="43" fontId="1" fillId="0" borderId="25" xfId="20" applyFont="1" applyFill="1" applyBorder="1" applyAlignment="1" applyProtection="1">
      <alignment horizontal="right" wrapText="1"/>
    </xf>
    <xf numFmtId="170" fontId="17" fillId="6" borderId="25" xfId="20" applyNumberFormat="1" applyFont="1" applyFill="1" applyBorder="1" applyAlignment="1" applyProtection="1">
      <alignment horizontal="center"/>
    </xf>
    <xf numFmtId="170" fontId="0" fillId="0" borderId="25" xfId="0" applyNumberFormat="1" applyBorder="1" applyAlignment="1"/>
    <xf numFmtId="43" fontId="112" fillId="15" borderId="0" xfId="4" applyFont="1" applyFill="1" applyAlignment="1" applyProtection="1">
      <alignment horizontal="center" vertical="center"/>
    </xf>
    <xf numFmtId="43" fontId="26" fillId="6" borderId="0" xfId="15" applyFont="1" applyFill="1" applyAlignment="1" applyProtection="1">
      <alignment horizontal="center" vertical="center" wrapText="1"/>
    </xf>
    <xf numFmtId="172" fontId="17" fillId="6" borderId="25" xfId="20" applyNumberFormat="1" applyFont="1" applyFill="1" applyBorder="1" applyAlignment="1" applyProtection="1">
      <alignment horizontal="center" vertical="center"/>
    </xf>
    <xf numFmtId="43" fontId="1" fillId="0" borderId="25" xfId="20" applyFont="1" applyBorder="1" applyAlignment="1" applyProtection="1">
      <alignment horizontal="right"/>
    </xf>
    <xf numFmtId="43" fontId="13" fillId="0" borderId="0" xfId="15" applyFont="1" applyFill="1" applyAlignment="1" applyProtection="1">
      <alignment horizontal="right" vertical="center"/>
    </xf>
    <xf numFmtId="43" fontId="17" fillId="6" borderId="0" xfId="15" applyFont="1" applyFill="1" applyAlignment="1" applyProtection="1">
      <alignment horizontal="center" vertical="center" wrapText="1"/>
    </xf>
    <xf numFmtId="43" fontId="42" fillId="15" borderId="0" xfId="13" applyFont="1" applyFill="1" applyAlignment="1">
      <alignment horizontal="center" vertical="center"/>
    </xf>
    <xf numFmtId="43" fontId="8" fillId="14" borderId="0" xfId="20" applyFont="1" applyFill="1" applyBorder="1" applyAlignment="1" applyProtection="1">
      <alignment horizontal="center"/>
    </xf>
    <xf numFmtId="169" fontId="82" fillId="0" borderId="0" xfId="0" applyFont="1" applyAlignment="1">
      <alignment horizontal="center"/>
    </xf>
    <xf numFmtId="43" fontId="7" fillId="0" borderId="0" xfId="0" applyNumberFormat="1" applyFont="1" applyAlignment="1">
      <alignment horizontal="center"/>
    </xf>
    <xf numFmtId="43" fontId="21" fillId="0" borderId="0" xfId="0" applyNumberFormat="1" applyFont="1" applyAlignment="1">
      <alignment horizontal="right"/>
    </xf>
    <xf numFmtId="43" fontId="21" fillId="0" borderId="0" xfId="0" applyNumberFormat="1" applyFont="1" applyAlignment="1">
      <alignment horizontal="left"/>
    </xf>
    <xf numFmtId="15" fontId="21" fillId="0" borderId="0" xfId="0" applyNumberFormat="1" applyFont="1" applyAlignment="1">
      <alignment horizontal="right"/>
    </xf>
    <xf numFmtId="43" fontId="28" fillId="0" borderId="0" xfId="0" applyNumberFormat="1" applyFont="1" applyAlignment="1">
      <alignment wrapText="1"/>
    </xf>
    <xf numFmtId="169" fontId="0" fillId="0" borderId="0" xfId="0" applyAlignment="1">
      <alignment wrapText="1"/>
    </xf>
    <xf numFmtId="169" fontId="23" fillId="5" borderId="28" xfId="0" applyFont="1" applyFill="1" applyBorder="1" applyAlignment="1" applyProtection="1">
      <alignment horizontal="justify" vertical="center" wrapText="1"/>
      <protection locked="0"/>
    </xf>
    <xf numFmtId="169" fontId="107" fillId="0" borderId="29" xfId="0" applyFont="1" applyBorder="1" applyAlignment="1">
      <alignment horizontal="justify" vertical="center" wrapText="1"/>
    </xf>
    <xf numFmtId="169" fontId="107" fillId="0" borderId="30" xfId="0" applyFont="1" applyBorder="1" applyAlignment="1">
      <alignment horizontal="justify" vertical="center" wrapText="1"/>
    </xf>
    <xf numFmtId="169" fontId="23" fillId="5" borderId="29" xfId="0" applyFont="1" applyFill="1" applyBorder="1" applyAlignment="1" applyProtection="1">
      <alignment horizontal="justify" vertical="center" wrapText="1"/>
      <protection locked="0"/>
    </xf>
    <xf numFmtId="169" fontId="23" fillId="5" borderId="30" xfId="0" applyFont="1" applyFill="1" applyBorder="1" applyAlignment="1" applyProtection="1">
      <alignment horizontal="justify" vertical="center" wrapText="1"/>
      <protection locked="0"/>
    </xf>
    <xf numFmtId="169" fontId="7" fillId="0" borderId="0" xfId="0" applyFont="1" applyBorder="1" applyAlignment="1">
      <alignment horizontal="center"/>
    </xf>
    <xf numFmtId="43" fontId="28" fillId="0" borderId="0" xfId="0" applyNumberFormat="1" applyFont="1" applyFill="1" applyAlignment="1">
      <alignment wrapText="1"/>
    </xf>
    <xf numFmtId="169" fontId="0" fillId="0" borderId="0" xfId="0" applyFill="1" applyAlignment="1">
      <alignment wrapText="1"/>
    </xf>
    <xf numFmtId="169" fontId="57" fillId="0" borderId="0" xfId="0" applyFont="1" applyAlignment="1">
      <alignment horizontal="left" wrapText="1"/>
    </xf>
    <xf numFmtId="169" fontId="0" fillId="0" borderId="126" xfId="0" applyFill="1" applyBorder="1" applyAlignment="1" applyProtection="1">
      <alignment horizontal="center" vertical="center"/>
    </xf>
    <xf numFmtId="169" fontId="0" fillId="0" borderId="127" xfId="0" applyFill="1" applyBorder="1" applyAlignment="1" applyProtection="1">
      <alignment horizontal="center" vertical="center"/>
    </xf>
    <xf numFmtId="169" fontId="0" fillId="0" borderId="128" xfId="0" applyFill="1" applyBorder="1" applyAlignment="1" applyProtection="1">
      <alignment horizontal="center" vertical="center"/>
    </xf>
    <xf numFmtId="43" fontId="113" fillId="15" borderId="0" xfId="4" applyFont="1" applyFill="1" applyAlignment="1" applyProtection="1">
      <alignment horizontal="center" vertical="center"/>
    </xf>
    <xf numFmtId="43" fontId="7" fillId="0" borderId="0" xfId="0" applyNumberFormat="1" applyFont="1" applyAlignment="1" applyProtection="1">
      <alignment horizontal="center" wrapText="1"/>
    </xf>
    <xf numFmtId="43" fontId="21" fillId="0" borderId="0" xfId="0" applyNumberFormat="1" applyFont="1" applyAlignment="1" applyProtection="1">
      <alignment horizontal="right"/>
    </xf>
    <xf numFmtId="15" fontId="21" fillId="0" borderId="0" xfId="0" applyNumberFormat="1" applyFont="1" applyAlignment="1" applyProtection="1">
      <alignment horizontal="right"/>
    </xf>
    <xf numFmtId="43" fontId="7" fillId="0" borderId="0" xfId="0" applyNumberFormat="1" applyFont="1" applyAlignment="1" applyProtection="1">
      <alignment horizontal="center"/>
    </xf>
    <xf numFmtId="43" fontId="21" fillId="0" borderId="0" xfId="0" applyNumberFormat="1" applyFont="1" applyAlignment="1" applyProtection="1">
      <alignment horizontal="left"/>
    </xf>
    <xf numFmtId="169" fontId="0" fillId="0" borderId="141" xfId="0" applyBorder="1" applyAlignment="1" applyProtection="1">
      <alignment horizontal="center"/>
    </xf>
    <xf numFmtId="169" fontId="0" fillId="0" borderId="43" xfId="0" applyBorder="1" applyAlignment="1" applyProtection="1">
      <alignment horizontal="center"/>
    </xf>
    <xf numFmtId="169" fontId="88" fillId="0" borderId="142" xfId="0" applyFont="1" applyFill="1" applyBorder="1" applyAlignment="1" applyProtection="1">
      <alignment horizontal="left" wrapText="1"/>
    </xf>
    <xf numFmtId="169" fontId="88" fillId="0" borderId="143" xfId="0" applyFont="1" applyFill="1" applyBorder="1" applyAlignment="1" applyProtection="1">
      <alignment horizontal="left" wrapText="1"/>
    </xf>
    <xf numFmtId="43" fontId="30" fillId="0" borderId="0" xfId="0" applyNumberFormat="1" applyFont="1" applyAlignment="1" applyProtection="1">
      <alignment wrapText="1"/>
    </xf>
    <xf numFmtId="169" fontId="82" fillId="0" borderId="0" xfId="0" applyFont="1" applyAlignment="1" applyProtection="1">
      <alignment horizontal="center"/>
    </xf>
    <xf numFmtId="169" fontId="88" fillId="0" borderId="144" xfId="0" applyFont="1" applyFill="1" applyBorder="1" applyAlignment="1" applyProtection="1">
      <alignment horizontal="left" wrapText="1"/>
    </xf>
    <xf numFmtId="169" fontId="88" fillId="0" borderId="69" xfId="0" applyFont="1" applyFill="1" applyBorder="1" applyAlignment="1" applyProtection="1">
      <alignment horizontal="left" wrapText="1"/>
    </xf>
    <xf numFmtId="43" fontId="30" fillId="0" borderId="0" xfId="0" applyNumberFormat="1" applyFont="1" applyBorder="1" applyAlignment="1" applyProtection="1">
      <alignment wrapText="1"/>
    </xf>
    <xf numFmtId="169" fontId="136" fillId="5" borderId="28" xfId="0" applyFont="1" applyFill="1" applyBorder="1" applyAlignment="1" applyProtection="1">
      <alignment horizontal="justify" vertical="center" wrapText="1"/>
      <protection locked="0"/>
    </xf>
    <xf numFmtId="169" fontId="136" fillId="5" borderId="29" xfId="0" applyFont="1" applyFill="1" applyBorder="1" applyAlignment="1" applyProtection="1">
      <alignment horizontal="justify" vertical="center" wrapText="1"/>
      <protection locked="0"/>
    </xf>
    <xf numFmtId="169" fontId="136" fillId="5" borderId="30" xfId="0" applyFont="1" applyFill="1" applyBorder="1" applyAlignment="1" applyProtection="1">
      <alignment horizontal="justify" vertical="center" wrapText="1"/>
      <protection locked="0"/>
    </xf>
    <xf numFmtId="43" fontId="81" fillId="0" borderId="119" xfId="0" applyNumberFormat="1" applyFont="1" applyBorder="1" applyAlignment="1" applyProtection="1">
      <alignment horizontal="center" vertical="center" wrapText="1"/>
    </xf>
    <xf numFmtId="43" fontId="81" fillId="0" borderId="120" xfId="0" applyNumberFormat="1" applyFont="1" applyBorder="1" applyAlignment="1" applyProtection="1">
      <alignment horizontal="center" vertical="center" wrapText="1"/>
    </xf>
    <xf numFmtId="43" fontId="81" fillId="0" borderId="121" xfId="0" applyNumberFormat="1" applyFont="1" applyBorder="1" applyAlignment="1" applyProtection="1">
      <alignment horizontal="center" vertical="center" wrapText="1"/>
    </xf>
    <xf numFmtId="169" fontId="127" fillId="0" borderId="29" xfId="0" applyFont="1" applyBorder="1" applyAlignment="1" applyProtection="1">
      <alignment horizontal="justify" vertical="center" wrapText="1"/>
      <protection locked="0"/>
    </xf>
    <xf numFmtId="169" fontId="127" fillId="0" borderId="30" xfId="0" applyFont="1" applyBorder="1" applyAlignment="1" applyProtection="1">
      <alignment horizontal="justify" vertical="center" wrapText="1"/>
      <protection locked="0"/>
    </xf>
    <xf numFmtId="169" fontId="137" fillId="5" borderId="28" xfId="0" applyFont="1" applyFill="1" applyBorder="1" applyAlignment="1" applyProtection="1">
      <alignment horizontal="justify" vertical="center" wrapText="1"/>
      <protection locked="0"/>
    </xf>
    <xf numFmtId="169" fontId="138" fillId="0" borderId="29" xfId="0" applyFont="1" applyBorder="1" applyAlignment="1" applyProtection="1">
      <alignment horizontal="justify" vertical="center" wrapText="1"/>
      <protection locked="0"/>
    </xf>
    <xf numFmtId="169" fontId="138" fillId="0" borderId="30" xfId="0" applyFont="1" applyBorder="1" applyAlignment="1" applyProtection="1">
      <alignment horizontal="justify" vertical="center" wrapText="1"/>
      <protection locked="0"/>
    </xf>
    <xf numFmtId="43" fontId="42" fillId="15" borderId="0" xfId="13" applyFont="1" applyFill="1" applyAlignment="1" applyProtection="1">
      <alignment horizontal="center" vertical="center"/>
    </xf>
    <xf numFmtId="43" fontId="82" fillId="0" borderId="0" xfId="0" applyNumberFormat="1" applyFont="1" applyAlignment="1" applyProtection="1">
      <alignment horizontal="center"/>
    </xf>
    <xf numFmtId="43" fontId="26" fillId="0" borderId="0" xfId="0" applyNumberFormat="1" applyFont="1" applyAlignment="1" applyProtection="1">
      <alignment horizontal="center"/>
    </xf>
    <xf numFmtId="43" fontId="8" fillId="14" borderId="0" xfId="21" applyFont="1" applyFill="1" applyBorder="1" applyAlignment="1" applyProtection="1">
      <alignment horizontal="center"/>
    </xf>
    <xf numFmtId="169" fontId="27" fillId="0" borderId="28" xfId="0" applyFont="1" applyBorder="1" applyAlignment="1" applyProtection="1">
      <alignment horizontal="center" vertical="center"/>
    </xf>
    <xf numFmtId="169" fontId="27" fillId="0" borderId="29" xfId="0" applyFont="1" applyBorder="1" applyAlignment="1" applyProtection="1">
      <alignment horizontal="center" vertical="center"/>
    </xf>
    <xf numFmtId="169" fontId="27" fillId="0" borderId="30" xfId="0" applyFont="1" applyBorder="1" applyAlignment="1" applyProtection="1">
      <alignment horizontal="center" vertical="center"/>
    </xf>
    <xf numFmtId="9" fontId="131" fillId="5" borderId="2" xfId="19" applyFont="1" applyFill="1" applyBorder="1" applyAlignment="1" applyProtection="1">
      <alignment horizontal="justify" vertical="center" wrapText="1"/>
      <protection locked="0"/>
    </xf>
    <xf numFmtId="175" fontId="21" fillId="0" borderId="28" xfId="19" applyNumberFormat="1" applyFont="1" applyBorder="1" applyAlignment="1" applyProtection="1">
      <alignment horizontal="center" vertical="center" wrapText="1"/>
    </xf>
    <xf numFmtId="175" fontId="21" fillId="0" borderId="29" xfId="19" applyNumberFormat="1" applyFont="1" applyBorder="1" applyAlignment="1" applyProtection="1">
      <alignment horizontal="center" vertical="center" wrapText="1"/>
    </xf>
    <xf numFmtId="175" fontId="21" fillId="0" borderId="30" xfId="19" applyNumberFormat="1" applyFont="1" applyBorder="1" applyAlignment="1" applyProtection="1">
      <alignment horizontal="center" vertical="center" wrapText="1"/>
    </xf>
    <xf numFmtId="9" fontId="30" fillId="16" borderId="28" xfId="19" applyFont="1" applyFill="1" applyBorder="1" applyAlignment="1" applyProtection="1">
      <alignment horizontal="center" vertical="center" wrapText="1"/>
    </xf>
    <xf numFmtId="9" fontId="30" fillId="16" borderId="30" xfId="19" applyFont="1" applyFill="1" applyBorder="1" applyAlignment="1" applyProtection="1">
      <alignment horizontal="center" vertical="center" wrapText="1"/>
    </xf>
    <xf numFmtId="9" fontId="30" fillId="18" borderId="28" xfId="19" applyFont="1" applyFill="1" applyBorder="1" applyAlignment="1" applyProtection="1">
      <alignment horizontal="center" vertical="center" wrapText="1"/>
    </xf>
    <xf numFmtId="9" fontId="30" fillId="18" borderId="30" xfId="19" applyFont="1" applyFill="1" applyBorder="1" applyAlignment="1" applyProtection="1">
      <alignment horizontal="center" vertical="center" wrapText="1"/>
    </xf>
    <xf numFmtId="169" fontId="27" fillId="3" borderId="0" xfId="0" applyFont="1" applyFill="1" applyAlignment="1" applyProtection="1">
      <alignment horizontal="center" vertical="center" wrapText="1"/>
    </xf>
    <xf numFmtId="169" fontId="80" fillId="0" borderId="2" xfId="0" applyFont="1" applyBorder="1" applyAlignment="1" applyProtection="1">
      <alignment horizontal="justify" vertical="center" wrapText="1"/>
    </xf>
    <xf numFmtId="169" fontId="27" fillId="3" borderId="0" xfId="0" applyFont="1" applyFill="1" applyAlignment="1" applyProtection="1">
      <alignment horizontal="left"/>
      <protection locked="0"/>
    </xf>
    <xf numFmtId="169" fontId="27" fillId="3" borderId="26" xfId="0" applyFont="1" applyFill="1" applyBorder="1" applyAlignment="1" applyProtection="1">
      <alignment horizontal="left"/>
      <protection locked="0"/>
    </xf>
    <xf numFmtId="169" fontId="27" fillId="3" borderId="145" xfId="0" applyFont="1" applyFill="1" applyBorder="1" applyAlignment="1" applyProtection="1">
      <alignment horizontal="left"/>
      <protection locked="0"/>
    </xf>
    <xf numFmtId="169" fontId="27" fillId="3" borderId="0" xfId="0" applyFont="1" applyFill="1" applyBorder="1" applyAlignment="1" applyProtection="1">
      <alignment horizontal="left"/>
      <protection locked="0"/>
    </xf>
    <xf numFmtId="169" fontId="27" fillId="3" borderId="0" xfId="0" applyFont="1" applyFill="1" applyBorder="1" applyAlignment="1" applyProtection="1">
      <alignment horizontal="left"/>
    </xf>
    <xf numFmtId="169" fontId="27" fillId="3" borderId="0" xfId="0" applyFont="1" applyFill="1" applyBorder="1" applyAlignment="1" applyProtection="1">
      <alignment horizontal="left" vertical="center" wrapText="1"/>
    </xf>
    <xf numFmtId="169" fontId="80" fillId="0" borderId="28" xfId="0" applyFont="1" applyBorder="1" applyAlignment="1" applyProtection="1">
      <alignment horizontal="justify" vertical="center" wrapText="1"/>
    </xf>
    <xf numFmtId="169" fontId="80" fillId="0" borderId="29" xfId="0" applyFont="1" applyBorder="1" applyAlignment="1" applyProtection="1">
      <alignment horizontal="justify" vertical="center" wrapText="1"/>
    </xf>
    <xf numFmtId="169" fontId="80" fillId="0" borderId="30" xfId="0" applyFont="1" applyBorder="1" applyAlignment="1" applyProtection="1">
      <alignment horizontal="justify" vertical="center" wrapText="1"/>
    </xf>
    <xf numFmtId="169" fontId="80" fillId="5" borderId="28" xfId="19" applyNumberFormat="1" applyFont="1" applyFill="1" applyBorder="1" applyAlignment="1" applyProtection="1">
      <alignment horizontal="justify" vertical="center" wrapText="1"/>
      <protection locked="0"/>
    </xf>
    <xf numFmtId="9" fontId="80" fillId="5" borderId="29" xfId="19" applyFont="1" applyFill="1" applyBorder="1" applyAlignment="1" applyProtection="1">
      <alignment horizontal="justify" vertical="center" wrapText="1"/>
      <protection locked="0"/>
    </xf>
    <xf numFmtId="9" fontId="80" fillId="5" borderId="30" xfId="19" applyFont="1" applyFill="1" applyBorder="1" applyAlignment="1" applyProtection="1">
      <alignment horizontal="justify" vertical="center" wrapText="1"/>
      <protection locked="0"/>
    </xf>
    <xf numFmtId="169" fontId="23" fillId="3" borderId="0" xfId="0" applyFont="1" applyFill="1" applyBorder="1" applyAlignment="1" applyProtection="1">
      <alignment horizontal="left"/>
    </xf>
    <xf numFmtId="9" fontId="131" fillId="5" borderId="28" xfId="19" applyFont="1" applyFill="1" applyBorder="1" applyAlignment="1" applyProtection="1">
      <alignment horizontal="justify" vertical="center" wrapText="1"/>
      <protection locked="0"/>
    </xf>
    <xf numFmtId="169" fontId="83" fillId="5" borderId="28" xfId="0" applyFont="1" applyFill="1" applyBorder="1" applyAlignment="1" applyProtection="1">
      <alignment horizontal="justify" vertical="top" wrapText="1"/>
      <protection locked="0"/>
    </xf>
    <xf numFmtId="169" fontId="133" fillId="5" borderId="29" xfId="0" applyFont="1" applyFill="1" applyBorder="1" applyAlignment="1" applyProtection="1">
      <alignment horizontal="justify" vertical="top" wrapText="1"/>
      <protection locked="0"/>
    </xf>
    <xf numFmtId="169" fontId="133" fillId="5" borderId="30" xfId="0" applyFont="1" applyFill="1" applyBorder="1" applyAlignment="1" applyProtection="1">
      <alignment horizontal="justify" vertical="top" wrapText="1"/>
      <protection locked="0"/>
    </xf>
    <xf numFmtId="43" fontId="21" fillId="0" borderId="0" xfId="0" applyNumberFormat="1" applyFont="1" applyAlignment="1" applyProtection="1">
      <alignment horizontal="right" wrapText="1"/>
    </xf>
    <xf numFmtId="173" fontId="133" fillId="0" borderId="29" xfId="0" applyNumberFormat="1" applyFont="1" applyBorder="1" applyAlignment="1" applyProtection="1">
      <alignment horizontal="justify" vertical="center" wrapText="1"/>
    </xf>
    <xf numFmtId="169" fontId="133" fillId="0" borderId="29" xfId="0" applyFont="1" applyBorder="1" applyAlignment="1" applyProtection="1">
      <alignment horizontal="justify" vertical="center" wrapText="1"/>
    </xf>
    <xf numFmtId="169" fontId="134" fillId="0" borderId="29" xfId="0" applyFont="1" applyBorder="1" applyAlignment="1">
      <alignment horizontal="justify" vertical="top" wrapText="1"/>
    </xf>
    <xf numFmtId="169" fontId="134" fillId="0" borderId="30" xfId="0" applyFont="1" applyBorder="1" applyAlignment="1">
      <alignment horizontal="justify" vertical="top" wrapText="1"/>
    </xf>
    <xf numFmtId="169" fontId="133" fillId="5" borderId="28" xfId="0" applyFont="1" applyFill="1" applyBorder="1" applyAlignment="1" applyProtection="1">
      <alignment horizontal="justify" vertical="top" wrapText="1"/>
      <protection locked="0"/>
    </xf>
    <xf numFmtId="169" fontId="26" fillId="0" borderId="74" xfId="0" applyFont="1" applyBorder="1" applyAlignment="1" applyProtection="1">
      <alignment horizontal="center"/>
    </xf>
    <xf numFmtId="169" fontId="27" fillId="0" borderId="2" xfId="0" applyFont="1" applyBorder="1" applyAlignment="1" applyProtection="1">
      <alignment horizontal="center" vertical="center" wrapText="1"/>
    </xf>
    <xf numFmtId="169" fontId="119" fillId="0" borderId="164" xfId="0" applyFont="1" applyFill="1" applyBorder="1" applyAlignment="1" applyProtection="1">
      <alignment horizontal="center"/>
    </xf>
    <xf numFmtId="169" fontId="119" fillId="0" borderId="165" xfId="0" applyFont="1" applyFill="1" applyBorder="1" applyAlignment="1" applyProtection="1">
      <alignment horizontal="center"/>
    </xf>
    <xf numFmtId="169" fontId="52" fillId="0" borderId="0" xfId="0" applyFont="1" applyFill="1" applyBorder="1" applyAlignment="1" applyProtection="1">
      <alignment horizontal="center"/>
    </xf>
    <xf numFmtId="169" fontId="52" fillId="0" borderId="164" xfId="0" applyFont="1" applyFill="1" applyBorder="1" applyAlignment="1" applyProtection="1">
      <alignment horizontal="center"/>
    </xf>
    <xf numFmtId="169" fontId="41" fillId="9" borderId="152" xfId="0" applyFont="1" applyFill="1" applyBorder="1" applyAlignment="1" applyProtection="1">
      <alignment horizontal="center" vertical="center"/>
    </xf>
    <xf numFmtId="169" fontId="41" fillId="9" borderId="153" xfId="0" applyFont="1" applyFill="1" applyBorder="1" applyAlignment="1" applyProtection="1">
      <alignment horizontal="center" vertical="center"/>
    </xf>
    <xf numFmtId="169" fontId="41" fillId="9" borderId="154" xfId="0" applyFont="1" applyFill="1" applyBorder="1" applyAlignment="1" applyProtection="1">
      <alignment horizontal="center" vertical="center"/>
    </xf>
    <xf numFmtId="49" fontId="2" fillId="9" borderId="168" xfId="0" applyNumberFormat="1" applyFont="1" applyFill="1" applyBorder="1" applyAlignment="1" applyProtection="1">
      <alignment horizontal="center" vertical="center"/>
      <protection locked="0"/>
    </xf>
    <xf numFmtId="49" fontId="2" fillId="9" borderId="169" xfId="0" applyNumberFormat="1" applyFont="1" applyFill="1" applyBorder="1" applyAlignment="1" applyProtection="1">
      <alignment horizontal="center" vertical="center"/>
      <protection locked="0"/>
    </xf>
    <xf numFmtId="49" fontId="2" fillId="9" borderId="170" xfId="0" applyNumberFormat="1" applyFont="1" applyFill="1" applyBorder="1" applyAlignment="1" applyProtection="1">
      <alignment horizontal="center" vertical="center"/>
      <protection locked="0"/>
    </xf>
    <xf numFmtId="169" fontId="2" fillId="0" borderId="29" xfId="0" applyNumberFormat="1" applyFont="1" applyFill="1" applyBorder="1" applyAlignment="1" applyProtection="1">
      <alignment horizontal="justify" vertical="center" wrapText="1"/>
    </xf>
    <xf numFmtId="169" fontId="2" fillId="0" borderId="167" xfId="0" applyNumberFormat="1" applyFont="1" applyFill="1" applyBorder="1" applyAlignment="1" applyProtection="1">
      <alignment horizontal="justify" vertical="center" wrapText="1"/>
    </xf>
    <xf numFmtId="169" fontId="95" fillId="6" borderId="172" xfId="0" applyFont="1" applyFill="1" applyBorder="1" applyAlignment="1" applyProtection="1">
      <alignment horizontal="center" vertical="center"/>
    </xf>
    <xf numFmtId="169" fontId="95" fillId="6" borderId="173" xfId="0" applyFont="1" applyFill="1" applyBorder="1" applyAlignment="1" applyProtection="1">
      <alignment horizontal="center" vertical="center"/>
    </xf>
    <xf numFmtId="169" fontId="107" fillId="0" borderId="173" xfId="0" applyFont="1" applyBorder="1" applyAlignment="1">
      <alignment horizontal="center" vertical="center"/>
    </xf>
    <xf numFmtId="169" fontId="2" fillId="0" borderId="146" xfId="0" applyNumberFormat="1" applyFont="1" applyFill="1" applyBorder="1" applyAlignment="1" applyProtection="1">
      <alignment horizontal="justify" vertical="center" wrapText="1"/>
    </xf>
    <xf numFmtId="169" fontId="2" fillId="0" borderId="147" xfId="0" applyNumberFormat="1" applyFont="1" applyFill="1" applyBorder="1" applyAlignment="1" applyProtection="1">
      <alignment horizontal="justify" vertical="center" wrapText="1"/>
    </xf>
    <xf numFmtId="169" fontId="2" fillId="0" borderId="6" xfId="0" applyNumberFormat="1" applyFont="1" applyFill="1" applyBorder="1" applyAlignment="1" applyProtection="1">
      <alignment horizontal="justify" vertical="center" wrapText="1"/>
    </xf>
    <xf numFmtId="169" fontId="2" fillId="0" borderId="178" xfId="0" applyNumberFormat="1" applyFont="1" applyFill="1" applyBorder="1" applyAlignment="1" applyProtection="1">
      <alignment horizontal="justify" vertical="center" wrapText="1"/>
    </xf>
    <xf numFmtId="169" fontId="95" fillId="6" borderId="174" xfId="0" applyFont="1" applyFill="1" applyBorder="1" applyAlignment="1" applyProtection="1">
      <alignment horizontal="center" vertical="center"/>
    </xf>
    <xf numFmtId="169" fontId="95" fillId="6" borderId="175" xfId="0" applyFont="1" applyFill="1" applyBorder="1" applyAlignment="1" applyProtection="1">
      <alignment horizontal="center" vertical="center"/>
    </xf>
    <xf numFmtId="169" fontId="95" fillId="6" borderId="176" xfId="0" applyFont="1" applyFill="1" applyBorder="1" applyAlignment="1" applyProtection="1">
      <alignment horizontal="center" vertical="center"/>
    </xf>
    <xf numFmtId="169" fontId="119" fillId="0" borderId="0" xfId="0" applyFont="1" applyFill="1" applyBorder="1" applyAlignment="1" applyProtection="1">
      <alignment horizontal="center"/>
    </xf>
    <xf numFmtId="169" fontId="2" fillId="0" borderId="150" xfId="0" applyNumberFormat="1" applyFont="1" applyFill="1" applyBorder="1" applyAlignment="1" applyProtection="1">
      <alignment horizontal="justify" vertical="center" wrapText="1"/>
    </xf>
    <xf numFmtId="169" fontId="2" fillId="0" borderId="151" xfId="0" applyNumberFormat="1" applyFont="1" applyFill="1" applyBorder="1" applyAlignment="1" applyProtection="1">
      <alignment horizontal="justify" vertical="center" wrapText="1"/>
    </xf>
    <xf numFmtId="169" fontId="53" fillId="2" borderId="4" xfId="0" applyFont="1" applyFill="1" applyBorder="1" applyAlignment="1" applyProtection="1">
      <alignment horizontal="center" vertical="center"/>
    </xf>
    <xf numFmtId="169" fontId="82" fillId="0" borderId="0" xfId="0" applyFont="1" applyBorder="1" applyAlignment="1" applyProtection="1">
      <alignment horizontal="center"/>
    </xf>
    <xf numFmtId="49" fontId="2" fillId="9" borderId="177"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8" xfId="0" applyNumberFormat="1" applyFont="1" applyFill="1" applyBorder="1" applyAlignment="1" applyProtection="1">
      <alignment horizontal="center" vertical="center"/>
      <protection locked="0"/>
    </xf>
    <xf numFmtId="169" fontId="2" fillId="6" borderId="161" xfId="0" applyFont="1" applyFill="1" applyBorder="1" applyAlignment="1" applyProtection="1">
      <alignment horizontal="center" vertical="center" wrapText="1"/>
      <protection locked="0"/>
    </xf>
    <xf numFmtId="169" fontId="2" fillId="6" borderId="162" xfId="0" applyFont="1" applyFill="1" applyBorder="1" applyAlignment="1" applyProtection="1">
      <alignment horizontal="center" vertical="center" wrapText="1"/>
      <protection locked="0"/>
    </xf>
    <xf numFmtId="169" fontId="2" fillId="6" borderId="163" xfId="0" applyFont="1" applyFill="1" applyBorder="1" applyAlignment="1" applyProtection="1">
      <alignment horizontal="center" vertical="center" wrapText="1"/>
      <protection locked="0"/>
    </xf>
    <xf numFmtId="169" fontId="2" fillId="0" borderId="179" xfId="0" applyNumberFormat="1" applyFont="1" applyFill="1" applyBorder="1" applyAlignment="1" applyProtection="1">
      <alignment horizontal="justify" vertical="center" wrapText="1"/>
    </xf>
    <xf numFmtId="169" fontId="2" fillId="0" borderId="180" xfId="0" applyNumberFormat="1" applyFont="1" applyFill="1" applyBorder="1" applyAlignment="1" applyProtection="1">
      <alignment horizontal="justify" vertical="center" wrapText="1"/>
    </xf>
    <xf numFmtId="169" fontId="2" fillId="0" borderId="171" xfId="0" applyNumberFormat="1" applyFont="1" applyFill="1" applyBorder="1" applyAlignment="1" applyProtection="1">
      <alignment horizontal="justify" vertical="center" wrapText="1"/>
    </xf>
    <xf numFmtId="169" fontId="41" fillId="5" borderId="183" xfId="0" applyFont="1" applyFill="1" applyBorder="1" applyAlignment="1" applyProtection="1">
      <alignment horizontal="center" vertical="center"/>
    </xf>
    <xf numFmtId="169" fontId="41" fillId="5" borderId="184" xfId="0" applyFont="1" applyFill="1" applyBorder="1" applyAlignment="1" applyProtection="1">
      <alignment horizontal="center" vertical="center"/>
    </xf>
    <xf numFmtId="169" fontId="41" fillId="5" borderId="185" xfId="0" applyFont="1" applyFill="1" applyBorder="1" applyAlignment="1" applyProtection="1">
      <alignment horizontal="center" vertical="center"/>
    </xf>
    <xf numFmtId="169" fontId="2" fillId="6" borderId="155" xfId="0" applyFont="1" applyFill="1" applyBorder="1" applyAlignment="1" applyProtection="1">
      <alignment horizontal="center" vertical="center" wrapText="1"/>
      <protection locked="0"/>
    </xf>
    <xf numFmtId="169" fontId="2" fillId="6" borderId="156" xfId="0" applyFont="1" applyFill="1" applyBorder="1" applyAlignment="1" applyProtection="1">
      <alignment horizontal="center" vertical="center" wrapText="1"/>
      <protection locked="0"/>
    </xf>
    <xf numFmtId="169" fontId="2" fillId="6" borderId="157" xfId="0" applyFont="1" applyFill="1" applyBorder="1" applyAlignment="1" applyProtection="1">
      <alignment horizontal="center" vertical="center" wrapText="1"/>
      <protection locked="0"/>
    </xf>
    <xf numFmtId="169" fontId="2" fillId="6" borderId="158" xfId="0" applyFont="1" applyFill="1" applyBorder="1" applyAlignment="1" applyProtection="1">
      <alignment horizontal="center" vertical="center" wrapText="1"/>
      <protection locked="0"/>
    </xf>
    <xf numFmtId="169" fontId="2" fillId="6" borderId="159" xfId="0" applyFont="1" applyFill="1" applyBorder="1" applyAlignment="1" applyProtection="1">
      <alignment horizontal="center" vertical="center" wrapText="1"/>
      <protection locked="0"/>
    </xf>
    <xf numFmtId="169" fontId="2" fillId="6" borderId="160" xfId="0" applyFont="1" applyFill="1" applyBorder="1" applyAlignment="1" applyProtection="1">
      <alignment horizontal="center" vertical="center" wrapText="1"/>
      <protection locked="0"/>
    </xf>
    <xf numFmtId="9" fontId="2" fillId="0" borderId="181" xfId="19" applyNumberFormat="1" applyFont="1" applyFill="1" applyBorder="1" applyAlignment="1" applyProtection="1">
      <alignment horizontal="justify" vertical="center" wrapText="1"/>
    </xf>
    <xf numFmtId="169" fontId="2" fillId="0" borderId="166" xfId="19" applyNumberFormat="1" applyFont="1" applyFill="1" applyBorder="1" applyAlignment="1" applyProtection="1">
      <alignment horizontal="justify" vertical="center" wrapText="1"/>
    </xf>
    <xf numFmtId="169" fontId="2" fillId="0" borderId="182" xfId="19" applyNumberFormat="1" applyFont="1" applyFill="1" applyBorder="1" applyAlignment="1" applyProtection="1">
      <alignment horizontal="justify" vertical="center" wrapText="1"/>
    </xf>
    <xf numFmtId="169" fontId="2" fillId="0" borderId="181" xfId="19" applyNumberFormat="1" applyFont="1" applyFill="1" applyBorder="1" applyAlignment="1" applyProtection="1">
      <alignment horizontal="justify" vertical="center" wrapText="1"/>
    </xf>
    <xf numFmtId="169" fontId="2" fillId="5" borderId="148" xfId="0" applyFont="1" applyFill="1" applyBorder="1" applyAlignment="1" applyProtection="1">
      <alignment horizontal="justify" vertical="top" wrapText="1"/>
      <protection locked="0"/>
    </xf>
    <xf numFmtId="169" fontId="107" fillId="0" borderId="81" xfId="0" applyFont="1" applyBorder="1" applyAlignment="1">
      <alignment horizontal="justify" vertical="top" wrapText="1"/>
    </xf>
    <xf numFmtId="169" fontId="107" fillId="0" borderId="149" xfId="0" applyFont="1" applyBorder="1" applyAlignment="1">
      <alignment horizontal="justify" vertical="top" wrapText="1"/>
    </xf>
    <xf numFmtId="169" fontId="2" fillId="5" borderId="221" xfId="0" applyFont="1" applyFill="1" applyBorder="1" applyAlignment="1" applyProtection="1">
      <alignment horizontal="justify" vertical="top" wrapText="1"/>
      <protection locked="0"/>
    </xf>
    <xf numFmtId="169" fontId="107" fillId="0" borderId="222" xfId="0" applyFont="1" applyBorder="1" applyAlignment="1">
      <alignment horizontal="justify" vertical="top" wrapText="1"/>
    </xf>
    <xf numFmtId="169" fontId="107" fillId="0" borderId="223" xfId="0" applyFont="1" applyBorder="1" applyAlignment="1">
      <alignment horizontal="justify" vertical="top" wrapText="1"/>
    </xf>
    <xf numFmtId="169" fontId="2" fillId="0" borderId="186" xfId="0" applyNumberFormat="1" applyFont="1" applyFill="1" applyBorder="1" applyAlignment="1" applyProtection="1">
      <alignment horizontal="justify" vertical="center" wrapText="1"/>
    </xf>
    <xf numFmtId="169" fontId="2" fillId="0" borderId="187" xfId="0" applyNumberFormat="1" applyFont="1" applyFill="1" applyBorder="1" applyAlignment="1" applyProtection="1">
      <alignment horizontal="justify" vertical="center" wrapText="1"/>
    </xf>
    <xf numFmtId="169" fontId="2" fillId="0" borderId="188" xfId="0" applyNumberFormat="1" applyFont="1" applyFill="1" applyBorder="1" applyAlignment="1" applyProtection="1">
      <alignment horizontal="justify" vertical="center" wrapText="1"/>
    </xf>
    <xf numFmtId="169" fontId="70" fillId="4" borderId="109" xfId="0" applyFont="1" applyFill="1" applyBorder="1" applyAlignment="1">
      <alignment horizontal="center" vertical="center" textRotation="90"/>
    </xf>
    <xf numFmtId="169" fontId="0" fillId="4" borderId="67" xfId="0" applyFill="1" applyBorder="1" applyAlignment="1">
      <alignment horizontal="center" vertical="center" textRotation="90"/>
    </xf>
    <xf numFmtId="169" fontId="0" fillId="4" borderId="77" xfId="0" applyFill="1" applyBorder="1" applyAlignment="1">
      <alignment horizontal="center" vertical="center" textRotation="90"/>
    </xf>
    <xf numFmtId="169" fontId="14" fillId="0" borderId="209" xfId="0" applyFont="1" applyFill="1" applyBorder="1" applyAlignment="1" applyProtection="1">
      <alignment horizontal="left"/>
      <protection locked="0"/>
    </xf>
    <xf numFmtId="169" fontId="14" fillId="0" borderId="166" xfId="0" applyFont="1" applyFill="1" applyBorder="1" applyAlignment="1" applyProtection="1">
      <alignment horizontal="left"/>
      <protection locked="0"/>
    </xf>
    <xf numFmtId="169" fontId="14" fillId="0" borderId="198" xfId="0" applyFont="1" applyFill="1" applyBorder="1" applyAlignment="1" applyProtection="1">
      <alignment horizontal="left"/>
      <protection locked="0"/>
    </xf>
    <xf numFmtId="169" fontId="14" fillId="0" borderId="210" xfId="0" applyFont="1" applyFill="1" applyBorder="1" applyAlignment="1" applyProtection="1">
      <alignment horizontal="left"/>
      <protection locked="0"/>
    </xf>
    <xf numFmtId="169" fontId="14" fillId="0" borderId="199" xfId="0" applyFont="1" applyFill="1" applyBorder="1" applyAlignment="1" applyProtection="1">
      <alignment horizontal="left"/>
      <protection locked="0"/>
    </xf>
    <xf numFmtId="169" fontId="14" fillId="0" borderId="200" xfId="0" applyFont="1" applyFill="1" applyBorder="1" applyAlignment="1" applyProtection="1">
      <alignment horizontal="left"/>
      <protection locked="0"/>
    </xf>
    <xf numFmtId="169" fontId="14" fillId="0" borderId="195" xfId="0" applyFont="1" applyBorder="1" applyAlignment="1" applyProtection="1">
      <alignment horizontal="left"/>
      <protection locked="0"/>
    </xf>
    <xf numFmtId="169" fontId="14" fillId="0" borderId="189" xfId="0" applyFont="1" applyBorder="1" applyAlignment="1" applyProtection="1">
      <alignment horizontal="left"/>
      <protection locked="0"/>
    </xf>
    <xf numFmtId="169" fontId="14" fillId="0" borderId="196" xfId="0" applyFont="1" applyBorder="1" applyAlignment="1" applyProtection="1">
      <alignment horizontal="left"/>
      <protection locked="0"/>
    </xf>
    <xf numFmtId="169" fontId="14" fillId="0" borderId="197" xfId="0" applyFont="1" applyBorder="1" applyAlignment="1" applyProtection="1">
      <alignment horizontal="left"/>
      <protection locked="0"/>
    </xf>
    <xf numFmtId="169" fontId="14" fillId="0" borderId="201" xfId="0" applyFont="1" applyFill="1" applyBorder="1" applyAlignment="1" applyProtection="1">
      <alignment horizontal="left" vertical="top" wrapText="1"/>
      <protection locked="0"/>
    </xf>
    <xf numFmtId="169" fontId="14" fillId="0" borderId="202" xfId="0" applyFont="1" applyFill="1" applyBorder="1" applyAlignment="1" applyProtection="1">
      <alignment horizontal="left" vertical="top" wrapText="1"/>
      <protection locked="0"/>
    </xf>
    <xf numFmtId="169" fontId="14" fillId="0" borderId="203" xfId="0" applyFont="1" applyFill="1" applyBorder="1" applyAlignment="1" applyProtection="1">
      <alignment horizontal="left" vertical="top" wrapText="1"/>
      <protection locked="0"/>
    </xf>
    <xf numFmtId="169" fontId="14" fillId="0" borderId="204" xfId="0" applyFont="1" applyFill="1" applyBorder="1" applyAlignment="1" applyProtection="1">
      <alignment horizontal="left" vertical="top" wrapText="1"/>
      <protection locked="0"/>
    </xf>
    <xf numFmtId="169" fontId="14" fillId="0" borderId="169" xfId="0" applyFont="1" applyFill="1" applyBorder="1" applyAlignment="1" applyProtection="1">
      <alignment horizontal="left" vertical="top" wrapText="1"/>
      <protection locked="0"/>
    </xf>
    <xf numFmtId="169" fontId="14" fillId="0" borderId="205" xfId="0" applyFont="1" applyFill="1" applyBorder="1" applyAlignment="1" applyProtection="1">
      <alignment horizontal="left" vertical="top" wrapText="1"/>
      <protection locked="0"/>
    </xf>
    <xf numFmtId="169" fontId="14" fillId="0" borderId="22" xfId="0" applyFont="1" applyBorder="1" applyAlignment="1" applyProtection="1">
      <alignment horizontal="left"/>
      <protection locked="0"/>
    </xf>
    <xf numFmtId="169" fontId="14" fillId="0" borderId="189" xfId="0" applyFont="1" applyFill="1" applyBorder="1" applyAlignment="1" applyProtection="1">
      <alignment horizontal="left"/>
      <protection locked="0"/>
    </xf>
    <xf numFmtId="169" fontId="14" fillId="0" borderId="190" xfId="0" applyFont="1" applyFill="1" applyBorder="1" applyAlignment="1" applyProtection="1">
      <alignment horizontal="left"/>
      <protection locked="0"/>
    </xf>
    <xf numFmtId="169" fontId="14" fillId="0" borderId="211" xfId="0" applyFont="1" applyFill="1" applyBorder="1" applyAlignment="1" applyProtection="1">
      <alignment horizontal="left" vertical="top" wrapText="1"/>
      <protection locked="0"/>
    </xf>
    <xf numFmtId="169" fontId="14" fillId="0" borderId="212" xfId="0" applyFont="1" applyFill="1" applyBorder="1" applyAlignment="1" applyProtection="1">
      <alignment horizontal="left" vertical="top" wrapText="1"/>
      <protection locked="0"/>
    </xf>
    <xf numFmtId="169" fontId="14" fillId="0" borderId="213" xfId="0" applyFont="1" applyFill="1" applyBorder="1" applyAlignment="1" applyProtection="1">
      <alignment horizontal="left" vertical="top" wrapText="1"/>
      <protection locked="0"/>
    </xf>
    <xf numFmtId="169" fontId="14" fillId="0" borderId="214" xfId="0" applyFont="1" applyFill="1" applyBorder="1" applyAlignment="1" applyProtection="1">
      <alignment horizontal="left" vertical="top" wrapText="1"/>
      <protection locked="0"/>
    </xf>
    <xf numFmtId="169" fontId="14" fillId="0" borderId="197" xfId="0" applyFont="1" applyFill="1" applyBorder="1" applyAlignment="1" applyProtection="1">
      <alignment horizontal="left"/>
      <protection locked="0"/>
    </xf>
    <xf numFmtId="169" fontId="14" fillId="0" borderId="207" xfId="0" applyFont="1" applyFill="1" applyBorder="1" applyAlignment="1" applyProtection="1">
      <alignment horizontal="left"/>
      <protection locked="0"/>
    </xf>
    <xf numFmtId="169" fontId="14" fillId="0" borderId="190" xfId="0" applyFont="1" applyBorder="1" applyAlignment="1" applyProtection="1">
      <alignment horizontal="left"/>
      <protection locked="0"/>
    </xf>
    <xf numFmtId="169" fontId="14" fillId="0" borderId="207" xfId="0" applyFont="1" applyBorder="1" applyAlignment="1" applyProtection="1">
      <alignment horizontal="left"/>
      <protection locked="0"/>
    </xf>
    <xf numFmtId="169" fontId="51" fillId="4" borderId="5" xfId="18" applyNumberFormat="1" applyFont="1" applyFill="1" applyBorder="1" applyAlignment="1">
      <alignment horizontal="center" vertical="center" wrapText="1"/>
    </xf>
    <xf numFmtId="169" fontId="51" fillId="4" borderId="218" xfId="18" applyNumberFormat="1" applyFont="1" applyFill="1" applyBorder="1" applyAlignment="1">
      <alignment horizontal="center" vertical="center" wrapText="1"/>
    </xf>
    <xf numFmtId="169" fontId="14" fillId="0" borderId="191" xfId="0" applyFont="1" applyBorder="1" applyAlignment="1" applyProtection="1">
      <alignment horizontal="left"/>
      <protection locked="0"/>
    </xf>
    <xf numFmtId="169" fontId="14" fillId="0" borderId="22" xfId="0" applyFont="1" applyFill="1" applyBorder="1" applyAlignment="1" applyProtection="1">
      <alignment horizontal="left"/>
      <protection locked="0"/>
    </xf>
    <xf numFmtId="169" fontId="14" fillId="0" borderId="215" xfId="0" applyFont="1" applyFill="1" applyBorder="1" applyAlignment="1" applyProtection="1">
      <alignment horizontal="justify" vertical="center" wrapText="1"/>
      <protection locked="0"/>
    </xf>
    <xf numFmtId="169" fontId="14" fillId="0" borderId="212" xfId="0" applyFont="1" applyFill="1" applyBorder="1" applyAlignment="1" applyProtection="1">
      <alignment horizontal="justify" vertical="center" wrapText="1"/>
      <protection locked="0"/>
    </xf>
    <xf numFmtId="169" fontId="14" fillId="0" borderId="216" xfId="0" applyFont="1" applyFill="1" applyBorder="1" applyAlignment="1" applyProtection="1">
      <alignment horizontal="justify" vertical="center" wrapText="1"/>
      <protection locked="0"/>
    </xf>
    <xf numFmtId="169" fontId="14" fillId="0" borderId="217" xfId="0" applyFont="1" applyFill="1" applyBorder="1" applyAlignment="1" applyProtection="1">
      <alignment horizontal="justify" vertical="center" wrapText="1"/>
      <protection locked="0"/>
    </xf>
    <xf numFmtId="169" fontId="14" fillId="0" borderId="169" xfId="0" applyFont="1" applyFill="1" applyBorder="1" applyAlignment="1" applyProtection="1">
      <alignment horizontal="justify" vertical="center" wrapText="1"/>
      <protection locked="0"/>
    </xf>
    <xf numFmtId="169" fontId="14" fillId="0" borderId="205" xfId="0" applyFont="1" applyFill="1" applyBorder="1" applyAlignment="1" applyProtection="1">
      <alignment horizontal="justify" vertical="center" wrapText="1"/>
      <protection locked="0"/>
    </xf>
    <xf numFmtId="169" fontId="14" fillId="0" borderId="166" xfId="0" applyFont="1" applyFill="1" applyBorder="1" applyAlignment="1" applyProtection="1">
      <alignment horizontal="left" vertical="center" wrapText="1"/>
      <protection locked="0"/>
    </xf>
    <xf numFmtId="169" fontId="14" fillId="0" borderId="198" xfId="0" applyFont="1" applyFill="1" applyBorder="1" applyAlignment="1" applyProtection="1">
      <alignment horizontal="left" vertical="center" wrapText="1"/>
      <protection locked="0"/>
    </xf>
    <xf numFmtId="169" fontId="14" fillId="0" borderId="195" xfId="0" applyFont="1" applyFill="1" applyBorder="1" applyAlignment="1" applyProtection="1">
      <alignment horizontal="left"/>
      <protection locked="0"/>
    </xf>
    <xf numFmtId="169" fontId="14" fillId="0" borderId="199" xfId="0" applyFont="1" applyFill="1" applyBorder="1" applyAlignment="1" applyProtection="1">
      <alignment horizontal="left" vertical="center" wrapText="1"/>
      <protection locked="0"/>
    </xf>
    <xf numFmtId="169" fontId="14" fillId="0" borderId="200" xfId="0" applyFont="1" applyFill="1" applyBorder="1" applyAlignment="1" applyProtection="1">
      <alignment horizontal="left" vertical="center" wrapText="1"/>
      <protection locked="0"/>
    </xf>
    <xf numFmtId="169" fontId="14" fillId="0" borderId="206" xfId="0" applyFont="1" applyFill="1" applyBorder="1" applyAlignment="1" applyProtection="1">
      <alignment horizontal="left"/>
      <protection locked="0"/>
    </xf>
    <xf numFmtId="169" fontId="14" fillId="0" borderId="219" xfId="0" applyFont="1" applyFill="1" applyBorder="1" applyAlignment="1" applyProtection="1">
      <alignment horizontal="justify" vertical="center" wrapText="1"/>
      <protection locked="0"/>
    </xf>
    <xf numFmtId="169" fontId="14" fillId="0" borderId="202" xfId="0" applyFont="1" applyFill="1" applyBorder="1" applyAlignment="1" applyProtection="1">
      <alignment horizontal="justify" vertical="center" wrapText="1"/>
      <protection locked="0"/>
    </xf>
    <xf numFmtId="169" fontId="14" fillId="0" borderId="203" xfId="0" applyFont="1" applyFill="1" applyBorder="1" applyAlignment="1" applyProtection="1">
      <alignment horizontal="justify" vertical="center" wrapText="1"/>
      <protection locked="0"/>
    </xf>
    <xf numFmtId="43" fontId="8" fillId="14" borderId="0" xfId="22" applyFont="1" applyFill="1" applyBorder="1" applyAlignment="1" applyProtection="1">
      <alignment horizontal="center"/>
      <protection locked="0"/>
    </xf>
    <xf numFmtId="169" fontId="14" fillId="0" borderId="191" xfId="0" applyFont="1" applyFill="1" applyBorder="1" applyAlignment="1" applyProtection="1">
      <alignment horizontal="left"/>
      <protection locked="0"/>
    </xf>
    <xf numFmtId="169" fontId="51" fillId="4" borderId="192" xfId="18" applyNumberFormat="1" applyFont="1" applyFill="1" applyBorder="1" applyAlignment="1">
      <alignment horizontal="center" vertical="center" wrapText="1"/>
    </xf>
    <xf numFmtId="169" fontId="51" fillId="4" borderId="193" xfId="18" applyNumberFormat="1" applyFont="1" applyFill="1" applyBorder="1" applyAlignment="1">
      <alignment horizontal="center" vertical="center" wrapText="1"/>
    </xf>
    <xf numFmtId="169" fontId="51" fillId="4" borderId="194" xfId="18" applyNumberFormat="1" applyFont="1" applyFill="1" applyBorder="1" applyAlignment="1">
      <alignment horizontal="center" vertical="center" wrapText="1"/>
    </xf>
    <xf numFmtId="169" fontId="14" fillId="0" borderId="206" xfId="0" applyFont="1" applyBorder="1" applyAlignment="1" applyProtection="1">
      <alignment horizontal="left"/>
      <protection locked="0"/>
    </xf>
    <xf numFmtId="169" fontId="107" fillId="5" borderId="111" xfId="0" applyFont="1" applyFill="1" applyBorder="1" applyAlignment="1" applyProtection="1">
      <alignment horizontal="justify" vertical="top" wrapText="1"/>
      <protection locked="0"/>
    </xf>
    <xf numFmtId="169" fontId="107" fillId="5" borderId="110" xfId="0" applyFont="1" applyFill="1" applyBorder="1" applyAlignment="1" applyProtection="1">
      <alignment horizontal="justify" vertical="top" wrapText="1"/>
      <protection locked="0"/>
    </xf>
    <xf numFmtId="169" fontId="107" fillId="5" borderId="112" xfId="0" applyFont="1" applyFill="1" applyBorder="1" applyAlignment="1" applyProtection="1">
      <alignment horizontal="justify" vertical="top" wrapText="1"/>
      <protection locked="0"/>
    </xf>
    <xf numFmtId="169" fontId="107" fillId="5" borderId="113" xfId="0" applyFont="1" applyFill="1" applyBorder="1" applyAlignment="1" applyProtection="1">
      <alignment horizontal="justify" vertical="top" wrapText="1"/>
      <protection locked="0"/>
    </xf>
    <xf numFmtId="169" fontId="107" fillId="5" borderId="74" xfId="0" applyFont="1" applyFill="1" applyBorder="1" applyAlignment="1" applyProtection="1">
      <alignment horizontal="justify" vertical="top" wrapText="1"/>
      <protection locked="0"/>
    </xf>
    <xf numFmtId="169" fontId="107" fillId="5" borderId="76" xfId="0" applyFont="1" applyFill="1" applyBorder="1" applyAlignment="1" applyProtection="1">
      <alignment horizontal="justify" vertical="top" wrapText="1"/>
      <protection locked="0"/>
    </xf>
    <xf numFmtId="169" fontId="51" fillId="4" borderId="208" xfId="18" applyNumberFormat="1" applyFont="1" applyFill="1" applyBorder="1" applyAlignment="1">
      <alignment horizontal="center" vertical="center" wrapText="1"/>
    </xf>
    <xf numFmtId="169" fontId="14" fillId="0" borderId="196" xfId="0" applyFont="1" applyFill="1" applyBorder="1" applyAlignment="1" applyProtection="1">
      <alignment horizontal="left"/>
      <protection locked="0"/>
    </xf>
    <xf numFmtId="169" fontId="26" fillId="0" borderId="0" xfId="0" applyFont="1" applyAlignment="1">
      <alignment horizontal="center"/>
    </xf>
    <xf numFmtId="43" fontId="10" fillId="15" borderId="0" xfId="4" applyFont="1" applyFill="1" applyAlignment="1">
      <alignment horizontal="center"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datelor'!$D$78</c:f>
              <c:strCache>
                <c:ptCount val="1"/>
                <c:pt idx="0">
                  <c:v>6</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datelor'!$D$78:$D$79</c:f>
              <c:numCache>
                <c:formatCode>[$$-409]#,##0_);\([$$-409]#,##0\)</c:formatCode>
                <c:ptCount val="2"/>
                <c:pt idx="0" formatCode="#,##0">
                  <c:v>6</c:v>
                </c:pt>
              </c:numCache>
            </c:numRef>
          </c:val>
          <c:extLst xmlns:c16r2="http://schemas.microsoft.com/office/drawing/2015/06/char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297149216"/>
        <c:axId val="297149608"/>
      </c:barChart>
      <c:catAx>
        <c:axId val="297149216"/>
        <c:scaling>
          <c:orientation val="minMax"/>
        </c:scaling>
        <c:delete val="1"/>
        <c:axPos val="l"/>
        <c:numFmt formatCode="General" sourceLinked="1"/>
        <c:majorTickMark val="out"/>
        <c:minorTickMark val="none"/>
        <c:tickLblPos val="none"/>
        <c:crossAx val="297149608"/>
        <c:crosses val="autoZero"/>
        <c:auto val="1"/>
        <c:lblAlgn val="ctr"/>
        <c:lblOffset val="100"/>
        <c:noMultiLvlLbl val="0"/>
      </c:catAx>
      <c:valAx>
        <c:axId val="297149608"/>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o-RO"/>
          </a:p>
        </c:txPr>
        <c:crossAx val="297149216"/>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ro-RO"/>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val>
            <c:numRef>
              <c:f>'Introducerea datelor'!$H$120:$S$120</c:f>
              <c:numCache>
                <c:formatCode>0.0</c:formatCode>
                <c:ptCount val="12"/>
                <c:pt idx="0">
                  <c:v>55</c:v>
                </c:pt>
                <c:pt idx="1">
                  <c:v>55</c:v>
                </c:pt>
                <c:pt idx="2">
                  <c:v>60</c:v>
                </c:pt>
              </c:numCache>
            </c:numRef>
          </c:val>
          <c:extLst xmlns:c16r2="http://schemas.microsoft.com/office/drawing/2015/06/chart">
            <c:ext xmlns:c16="http://schemas.microsoft.com/office/drawing/2014/chart" uri="{C3380CC4-5D6E-409C-BE32-E72D297353CC}">
              <c16:uniqueId val="{00000000-866E-4F6B-8290-1FAA0575BA4C}"/>
            </c:ext>
          </c:extLst>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val>
            <c:numRef>
              <c:f>'Introducerea datelor'!$H$121:$S$121</c:f>
              <c:numCache>
                <c:formatCode>0.0</c:formatCode>
                <c:ptCount val="12"/>
                <c:pt idx="0" formatCode="0.00">
                  <c:v>59</c:v>
                </c:pt>
                <c:pt idx="1">
                  <c:v>59</c:v>
                </c:pt>
                <c:pt idx="2">
                  <c:v>57.1</c:v>
                </c:pt>
              </c:numCache>
            </c:numRef>
          </c:val>
          <c:extLst xmlns:c16r2="http://schemas.microsoft.com/office/drawing/2015/06/chart">
            <c:ext xmlns:c16="http://schemas.microsoft.com/office/drawing/2014/chart" uri="{C3380CC4-5D6E-409C-BE32-E72D297353CC}">
              <c16:uniqueId val="{00000001-866E-4F6B-8290-1FAA0575BA4C}"/>
            </c:ext>
          </c:extLst>
        </c:ser>
        <c:dLbls>
          <c:showLegendKey val="0"/>
          <c:showVal val="0"/>
          <c:showCatName val="0"/>
          <c:showSerName val="0"/>
          <c:showPercent val="0"/>
          <c:showBubbleSize val="0"/>
        </c:dLbls>
        <c:gapWidth val="150"/>
        <c:axId val="321974720"/>
        <c:axId val="321971192"/>
      </c:barChart>
      <c:catAx>
        <c:axId val="32197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1971192"/>
        <c:crosses val="autoZero"/>
        <c:auto val="1"/>
        <c:lblAlgn val="ctr"/>
        <c:lblOffset val="100"/>
        <c:tickLblSkip val="1"/>
        <c:tickMarkSkip val="1"/>
        <c:noMultiLvlLbl val="0"/>
      </c:catAx>
      <c:valAx>
        <c:axId val="321971192"/>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1974720"/>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datelor'!$G$115</c:f>
              <c:strCache>
                <c:ptCount val="1"/>
              </c:strCache>
            </c:strRef>
          </c:tx>
          <c:spPr>
            <a:solidFill>
              <a:srgbClr val="0066CC"/>
            </a:solidFill>
            <a:ln w="25400">
              <a:noFill/>
            </a:ln>
          </c:spPr>
          <c:invertIfNegative val="0"/>
          <c:val>
            <c:numRef>
              <c:f>'Introducerea datelor'!$H$115:$S$115</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4D2B-4582-9A8A-380B2BFD7F61}"/>
            </c:ext>
          </c:extLst>
        </c:ser>
        <c:ser>
          <c:idx val="1"/>
          <c:order val="1"/>
          <c:tx>
            <c:strRef>
              <c:f>'Introducerea datelor'!$G$116</c:f>
              <c:strCache>
                <c:ptCount val="1"/>
                <c:pt idx="0">
                  <c:v>Ținta</c:v>
                </c:pt>
              </c:strCache>
            </c:strRef>
          </c:tx>
          <c:spPr>
            <a:solidFill>
              <a:srgbClr val="0070C0"/>
            </a:solidFill>
            <a:ln w="12700">
              <a:solidFill>
                <a:srgbClr val="000000"/>
              </a:solidFill>
              <a:prstDash val="solid"/>
            </a:ln>
          </c:spPr>
          <c:invertIfNegative val="0"/>
          <c:dPt>
            <c:idx val="0"/>
            <c:invertIfNegative val="0"/>
            <c:bubble3D val="0"/>
            <c:extLst xmlns:c16r2="http://schemas.microsoft.com/office/drawing/2015/06/chart">
              <c:ext xmlns:c16="http://schemas.microsoft.com/office/drawing/2014/chart" uri="{C3380CC4-5D6E-409C-BE32-E72D297353CC}">
                <c16:uniqueId val="{00000002-4D2B-4582-9A8A-380B2BFD7F61}"/>
              </c:ext>
            </c:extLst>
          </c:dPt>
          <c:val>
            <c:numRef>
              <c:f>'Introducerea datelor'!$H$116:$S$116</c:f>
              <c:numCache>
                <c:formatCode>0.0</c:formatCode>
                <c:ptCount val="12"/>
                <c:pt idx="0">
                  <c:v>10</c:v>
                </c:pt>
                <c:pt idx="1">
                  <c:v>10</c:v>
                </c:pt>
                <c:pt idx="2">
                  <c:v>9.3000000000000007</c:v>
                </c:pt>
              </c:numCache>
            </c:numRef>
          </c:val>
          <c:extLst xmlns:c16r2="http://schemas.microsoft.com/office/drawing/2015/06/chart">
            <c:ext xmlns:c16="http://schemas.microsoft.com/office/drawing/2014/chart" uri="{C3380CC4-5D6E-409C-BE32-E72D297353CC}">
              <c16:uniqueId val="{00000003-4D2B-4582-9A8A-380B2BFD7F61}"/>
            </c:ext>
          </c:extLst>
        </c:ser>
        <c:ser>
          <c:idx val="2"/>
          <c:order val="2"/>
          <c:tx>
            <c:strRef>
              <c:f>'Introducerea datelor'!$G$117</c:f>
              <c:strCache>
                <c:ptCount val="1"/>
                <c:pt idx="0">
                  <c:v>Rezultat</c:v>
                </c:pt>
              </c:strCache>
            </c:strRef>
          </c:tx>
          <c:spPr>
            <a:solidFill>
              <a:srgbClr val="00B0F0"/>
            </a:solidFill>
            <a:ln w="12700"/>
          </c:spPr>
          <c:invertIfNegative val="0"/>
          <c:dPt>
            <c:idx val="0"/>
            <c:invertIfNegative val="0"/>
            <c:bubble3D val="0"/>
            <c:spPr>
              <a:solidFill>
                <a:srgbClr val="00B0F0"/>
              </a:solidFill>
              <a:ln w="12700">
                <a:prstDash val="solid"/>
              </a:ln>
            </c:spPr>
            <c:extLst xmlns:c16r2="http://schemas.microsoft.com/office/drawing/2015/06/chart">
              <c:ext xmlns:c16="http://schemas.microsoft.com/office/drawing/2014/chart" uri="{C3380CC4-5D6E-409C-BE32-E72D297353CC}">
                <c16:uniqueId val="{00000005-4D2B-4582-9A8A-380B2BFD7F61}"/>
              </c:ext>
            </c:extLst>
          </c:dPt>
          <c:val>
            <c:numRef>
              <c:f>'Introducerea datelor'!$H$117:$S$117</c:f>
              <c:numCache>
                <c:formatCode>0.0</c:formatCode>
                <c:ptCount val="12"/>
                <c:pt idx="0" formatCode="0.00">
                  <c:v>9.9600000000000009</c:v>
                </c:pt>
                <c:pt idx="1">
                  <c:v>10.130000000000001</c:v>
                </c:pt>
                <c:pt idx="2">
                  <c:v>9.3000000000000007</c:v>
                </c:pt>
              </c:numCache>
            </c:numRef>
          </c:val>
          <c:extLst xmlns:c16r2="http://schemas.microsoft.com/office/drawing/2015/06/chart">
            <c:ext xmlns:c16="http://schemas.microsoft.com/office/drawing/2014/chart" uri="{C3380CC4-5D6E-409C-BE32-E72D297353CC}">
              <c16:uniqueId val="{00000006-4D2B-4582-9A8A-380B2BFD7F61}"/>
            </c:ext>
          </c:extLst>
        </c:ser>
        <c:dLbls>
          <c:showLegendKey val="0"/>
          <c:showVal val="0"/>
          <c:showCatName val="0"/>
          <c:showSerName val="0"/>
          <c:showPercent val="0"/>
          <c:showBubbleSize val="0"/>
        </c:dLbls>
        <c:gapWidth val="150"/>
        <c:axId val="322168536"/>
        <c:axId val="322170496"/>
      </c:barChart>
      <c:catAx>
        <c:axId val="322168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2170496"/>
        <c:crosses val="autoZero"/>
        <c:auto val="1"/>
        <c:lblAlgn val="ctr"/>
        <c:lblOffset val="100"/>
        <c:tickLblSkip val="1"/>
        <c:tickMarkSkip val="1"/>
        <c:noMultiLvlLbl val="0"/>
      </c:catAx>
      <c:valAx>
        <c:axId val="3221704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216853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3015539.99</c:v>
                </c:pt>
                <c:pt idx="1">
                  <c:v>4816992.78</c:v>
                </c:pt>
                <c:pt idx="2">
                  <c:v>6203618.04</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2488378</c:v>
                </c:pt>
                <c:pt idx="1">
                  <c:v>3863104</c:v>
                </c:pt>
                <c:pt idx="2">
                  <c:v>4443699</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322164616"/>
        <c:axId val="322169712"/>
      </c:areaChart>
      <c:catAx>
        <c:axId val="32216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22169712"/>
        <c:crosses val="autoZero"/>
        <c:auto val="1"/>
        <c:lblAlgn val="ctr"/>
        <c:lblOffset val="100"/>
        <c:tickLblSkip val="8"/>
        <c:tickMarkSkip val="1"/>
        <c:noMultiLvlLbl val="0"/>
      </c:catAx>
      <c:valAx>
        <c:axId val="32216971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2216461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'Introducerea datelor'!$C$83</c:f>
              <c:numCache>
                <c:formatCode>#,##0</c:formatCode>
                <c:ptCount val="1"/>
                <c:pt idx="0">
                  <c:v>1</c:v>
                </c:pt>
              </c:numCache>
            </c:numRef>
          </c:val>
          <c:extLst xmlns:c16r2="http://schemas.microsoft.com/office/drawing/2015/06/char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297150392"/>
        <c:axId val="297143336"/>
      </c:barChart>
      <c:catAx>
        <c:axId val="297150392"/>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o-RO"/>
          </a:p>
        </c:txPr>
        <c:crossAx val="297143336"/>
        <c:crosses val="autoZero"/>
        <c:auto val="0"/>
        <c:lblAlgn val="ctr"/>
        <c:lblOffset val="100"/>
        <c:tickMarkSkip val="1"/>
        <c:noMultiLvlLbl val="0"/>
      </c:catAx>
      <c:valAx>
        <c:axId val="297143336"/>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o-RO"/>
          </a:p>
        </c:txPr>
        <c:crossAx val="297150392"/>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ro-RO"/>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datelor'!$D$70</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datelor'!$D$71:$D$72</c:f>
              <c:numCache>
                <c:formatCode>0</c:formatCode>
                <c:ptCount val="2"/>
                <c:pt idx="0">
                  <c:v>3</c:v>
                </c:pt>
              </c:numCache>
            </c:numRef>
          </c:val>
          <c:extLst xmlns:c16r2="http://schemas.microsoft.com/office/drawing/2015/06/chart">
            <c:ext xmlns:c16="http://schemas.microsoft.com/office/drawing/2014/chart" uri="{C3380CC4-5D6E-409C-BE32-E72D297353CC}">
              <c16:uniqueId val="{00000000-D08E-42FA-87E5-9BAD02454A53}"/>
            </c:ext>
          </c:extLst>
        </c:ser>
        <c:ser>
          <c:idx val="1"/>
          <c:order val="1"/>
          <c:tx>
            <c:strRef>
              <c:f>'Introducerea datelor'!$E$70</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datelor'!$E$71:$E$72</c:f>
              <c:numCache>
                <c:formatCode>0</c:formatCode>
                <c:ptCount val="2"/>
                <c:pt idx="0">
                  <c:v>1</c:v>
                </c:pt>
              </c:numCache>
            </c:numRef>
          </c:val>
          <c:extLst xmlns:c16r2="http://schemas.microsoft.com/office/drawing/2015/06/chart">
            <c:ext xmlns:c16="http://schemas.microsoft.com/office/drawing/2014/chart" uri="{C3380CC4-5D6E-409C-BE32-E72D297353CC}">
              <c16:uniqueId val="{00000001-D08E-42FA-87E5-9BAD02454A53}"/>
            </c:ext>
          </c:extLst>
        </c:ser>
        <c:ser>
          <c:idx val="2"/>
          <c:order val="2"/>
          <c:tx>
            <c:strRef>
              <c:f>'Introducerea datelor'!$F$70</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datelor'!$F$71:$F$72</c:f>
              <c:numCache>
                <c:formatCode>0</c:formatCode>
                <c:ptCount val="2"/>
              </c:numCache>
            </c:numRef>
          </c:val>
          <c:extLst xmlns:c16r2="http://schemas.microsoft.com/office/drawing/2015/06/char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297144120"/>
        <c:axId val="297144512"/>
      </c:barChart>
      <c:catAx>
        <c:axId val="2971441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97144512"/>
        <c:crosses val="autoZero"/>
        <c:auto val="1"/>
        <c:lblAlgn val="ctr"/>
        <c:lblOffset val="100"/>
        <c:tickLblSkip val="1"/>
        <c:tickMarkSkip val="1"/>
        <c:noMultiLvlLbl val="0"/>
      </c:catAx>
      <c:valAx>
        <c:axId val="29714451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297144120"/>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datelor'!$D$87</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datelor'!$D$88:$D$89</c:f>
              <c:numCache>
                <c:formatCode>0</c:formatCode>
                <c:ptCount val="2"/>
                <c:pt idx="0">
                  <c:v>0</c:v>
                </c:pt>
                <c:pt idx="1">
                  <c:v>2</c:v>
                </c:pt>
              </c:numCache>
            </c:numRef>
          </c:val>
          <c:extLst xmlns:c16r2="http://schemas.microsoft.com/office/drawing/2015/06/chart">
            <c:ext xmlns:c16="http://schemas.microsoft.com/office/drawing/2014/chart" uri="{C3380CC4-5D6E-409C-BE32-E72D297353CC}">
              <c16:uniqueId val="{00000000-0579-471F-8EB0-B16F21AC51C8}"/>
            </c:ext>
          </c:extLst>
        </c:ser>
        <c:ser>
          <c:idx val="2"/>
          <c:order val="1"/>
          <c:tx>
            <c:strRef>
              <c:f>'Introducerea datelor'!$E$87</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datelor'!$E$88:$E$89</c:f>
              <c:numCache>
                <c:formatCode>#,##0</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297146472"/>
        <c:axId val="297147256"/>
      </c:barChart>
      <c:catAx>
        <c:axId val="2971464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97147256"/>
        <c:crosses val="autoZero"/>
        <c:auto val="1"/>
        <c:lblAlgn val="ctr"/>
        <c:lblOffset val="100"/>
        <c:noMultiLvlLbl val="0"/>
      </c:catAx>
      <c:valAx>
        <c:axId val="2971472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9714647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ro-RO"/>
          </a:p>
        </c:txPr>
      </c:legendEntry>
      <c:legendEntry>
        <c:idx val="1"/>
        <c:txPr>
          <a:bodyPr/>
          <a:lstStyle/>
          <a:p>
            <a:pPr>
              <a:defRPr sz="620" b="0" i="0" u="none" strike="noStrike" baseline="0">
                <a:solidFill>
                  <a:srgbClr val="000000"/>
                </a:solidFill>
                <a:latin typeface="Calibri"/>
                <a:ea typeface="Calibri"/>
                <a:cs typeface="Calibri"/>
              </a:defRPr>
            </a:pPr>
            <a:endParaRPr lang="ro-RO"/>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datelor'!$B$97</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Cache>
                <c:formatCode>#,##0</c:formatCode>
                <c:ptCount val="12"/>
                <c:pt idx="0">
                  <c:v>2475363.62</c:v>
                </c:pt>
                <c:pt idx="1">
                  <c:v>3946824.56</c:v>
                </c:pt>
                <c:pt idx="2">
                  <c:v>4962561.7699999996</c:v>
                </c:pt>
                <c:pt idx="3">
                  <c:v>4962561.7699999996</c:v>
                </c:pt>
                <c:pt idx="4">
                  <c:v>4962561.7699999996</c:v>
                </c:pt>
                <c:pt idx="5">
                  <c:v>4962561.7699999996</c:v>
                </c:pt>
                <c:pt idx="6">
                  <c:v>4962561.7699999996</c:v>
                </c:pt>
                <c:pt idx="7">
                  <c:v>4962561.7699999996</c:v>
                </c:pt>
                <c:pt idx="8">
                  <c:v>4962561.7699999996</c:v>
                </c:pt>
                <c:pt idx="9">
                  <c:v>4962561.7699999996</c:v>
                </c:pt>
                <c:pt idx="10">
                  <c:v>4962561.7699999996</c:v>
                </c:pt>
                <c:pt idx="11">
                  <c:v>4962561.7699999996</c:v>
                </c:pt>
              </c:numCache>
            </c:numRef>
          </c:val>
          <c:smooth val="0"/>
          <c:extLst xmlns:c16r2="http://schemas.microsoft.com/office/drawing/2015/06/chart">
            <c:ext xmlns:c16="http://schemas.microsoft.com/office/drawing/2014/chart" uri="{C3380CC4-5D6E-409C-BE32-E72D297353CC}">
              <c16:uniqueId val="{00000000-C2BB-4102-AC1C-6C02FD33FD2D}"/>
            </c:ext>
          </c:extLst>
        </c:ser>
        <c:ser>
          <c:idx val="1"/>
          <c:order val="1"/>
          <c:tx>
            <c:strRef>
              <c:f>'Introducerea datelor'!$B$98</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Cache>
                <c:formatCode>#,##0</c:formatCode>
                <c:ptCount val="12"/>
                <c:pt idx="0">
                  <c:v>87919.039999999994</c:v>
                </c:pt>
                <c:pt idx="1">
                  <c:v>565154.68000000005</c:v>
                </c:pt>
                <c:pt idx="2">
                  <c:v>1730539.4700000002</c:v>
                </c:pt>
                <c:pt idx="3">
                  <c:v>1730539.4700000002</c:v>
                </c:pt>
                <c:pt idx="4">
                  <c:v>1730539.4700000002</c:v>
                </c:pt>
                <c:pt idx="5">
                  <c:v>1730539.4700000002</c:v>
                </c:pt>
                <c:pt idx="6">
                  <c:v>1730539.4700000002</c:v>
                </c:pt>
                <c:pt idx="7">
                  <c:v>1730539.4700000002</c:v>
                </c:pt>
                <c:pt idx="8">
                  <c:v>1730539.4700000002</c:v>
                </c:pt>
                <c:pt idx="9">
                  <c:v>1730539.4700000002</c:v>
                </c:pt>
                <c:pt idx="10">
                  <c:v>1730539.4700000002</c:v>
                </c:pt>
                <c:pt idx="11">
                  <c:v>1730539.4700000002</c:v>
                </c:pt>
              </c:numCache>
            </c:numRef>
          </c:val>
          <c:smooth val="0"/>
          <c:extLst xmlns:c16r2="http://schemas.microsoft.com/office/drawing/2015/06/chart">
            <c:ext xmlns:c16="http://schemas.microsoft.com/office/drawing/2014/chart" uri="{C3380CC4-5D6E-409C-BE32-E72D297353CC}">
              <c16:uniqueId val="{00000001-C2BB-4102-AC1C-6C02FD33FD2D}"/>
            </c:ext>
          </c:extLst>
        </c:ser>
        <c:ser>
          <c:idx val="2"/>
          <c:order val="2"/>
          <c:tx>
            <c:strRef>
              <c:f>'Introducerea datelor'!$B$99</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Cache>
                <c:formatCode>#,##0</c:formatCode>
                <c:ptCount val="12"/>
                <c:pt idx="0">
                  <c:v>1387405.1</c:v>
                </c:pt>
                <c:pt idx="1">
                  <c:v>1852770.71</c:v>
                </c:pt>
                <c:pt idx="2">
                  <c:v>2864468.23</c:v>
                </c:pt>
                <c:pt idx="3">
                  <c:v>2864468.23</c:v>
                </c:pt>
                <c:pt idx="4">
                  <c:v>2864468.23</c:v>
                </c:pt>
                <c:pt idx="5">
                  <c:v>2864468.23</c:v>
                </c:pt>
                <c:pt idx="6">
                  <c:v>2864468.23</c:v>
                </c:pt>
                <c:pt idx="7">
                  <c:v>2864468.23</c:v>
                </c:pt>
                <c:pt idx="8">
                  <c:v>2864468.23</c:v>
                </c:pt>
                <c:pt idx="9">
                  <c:v>2864468.23</c:v>
                </c:pt>
                <c:pt idx="10">
                  <c:v>2864468.23</c:v>
                </c:pt>
                <c:pt idx="11">
                  <c:v>2864468.23</c:v>
                </c:pt>
              </c:numCache>
            </c:numRef>
          </c:val>
          <c:smooth val="0"/>
          <c:extLst xmlns:c16r2="http://schemas.microsoft.com/office/drawing/2015/06/char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marker val="1"/>
        <c:smooth val="0"/>
        <c:axId val="321975112"/>
        <c:axId val="321971584"/>
      </c:lineChart>
      <c:catAx>
        <c:axId val="321975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21971584"/>
        <c:crosses val="autoZero"/>
        <c:auto val="1"/>
        <c:lblAlgn val="ctr"/>
        <c:lblOffset val="100"/>
        <c:tickLblSkip val="1"/>
        <c:tickMarkSkip val="1"/>
        <c:noMultiLvlLbl val="0"/>
      </c:catAx>
      <c:valAx>
        <c:axId val="321971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21975112"/>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3015539.99</c:v>
                </c:pt>
                <c:pt idx="1">
                  <c:v>4816992.78</c:v>
                </c:pt>
                <c:pt idx="2">
                  <c:v>6203618.04</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4D1-4152-9514-D67916FCE0A9}"/>
            </c:ext>
          </c:extLst>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2488378</c:v>
                </c:pt>
                <c:pt idx="1">
                  <c:v>3863104</c:v>
                </c:pt>
                <c:pt idx="2">
                  <c:v>4443699</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84D1-4152-9514-D67916FCE0A9}"/>
            </c:ext>
          </c:extLst>
        </c:ser>
        <c:dLbls>
          <c:showLegendKey val="0"/>
          <c:showVal val="0"/>
          <c:showCatName val="0"/>
          <c:showSerName val="0"/>
          <c:showPercent val="0"/>
          <c:showBubbleSize val="0"/>
        </c:dLbls>
        <c:gapWidth val="70"/>
        <c:axId val="321971976"/>
        <c:axId val="321975896"/>
      </c:barChart>
      <c:catAx>
        <c:axId val="32197197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321975896"/>
        <c:crosses val="autoZero"/>
        <c:auto val="1"/>
        <c:lblAlgn val="ctr"/>
        <c:lblOffset val="100"/>
        <c:tickLblSkip val="1"/>
        <c:tickMarkSkip val="1"/>
        <c:noMultiLvlLbl val="0"/>
      </c:catAx>
      <c:valAx>
        <c:axId val="3219758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32197197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ro-RO"/>
          </a:p>
        </c:txPr>
      </c:legendEntry>
      <c:legendEntry>
        <c:idx val="1"/>
        <c:txPr>
          <a:bodyPr/>
          <a:lstStyle/>
          <a:p>
            <a:pPr>
              <a:defRPr sz="620" b="0" i="0" u="none" strike="noStrike" baseline="0">
                <a:solidFill>
                  <a:srgbClr val="000000"/>
                </a:solidFill>
                <a:latin typeface="Arial"/>
                <a:ea typeface="Arial"/>
                <a:cs typeface="Arial"/>
              </a:defRPr>
            </a:pPr>
            <a:endParaRPr lang="ro-RO"/>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datelor'!$C$51:$C$54</c:f>
              <c:numCache>
                <c:formatCode>#,##0</c:formatCode>
                <c:ptCount val="4"/>
                <c:pt idx="0">
                  <c:v>3863104</c:v>
                </c:pt>
                <c:pt idx="1">
                  <c:v>2383960.63</c:v>
                </c:pt>
                <c:pt idx="2">
                  <c:v>60127.7</c:v>
                </c:pt>
                <c:pt idx="3">
                  <c:v>49877.27</c:v>
                </c:pt>
              </c:numCache>
            </c:numRef>
          </c:val>
          <c:extLst xmlns:c16r2="http://schemas.microsoft.com/office/drawing/2015/06/chart">
            <c:ext xmlns:c16="http://schemas.microsoft.com/office/drawing/2014/chart" uri="{C3380CC4-5D6E-409C-BE32-E72D297353CC}">
              <c16:uniqueId val="{00000000-C369-4708-87A9-A84FC531C4BE}"/>
            </c:ext>
          </c:extLst>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datelor'!$D$51:$D$54</c:f>
              <c:numCache>
                <c:formatCode>#,##0</c:formatCode>
                <c:ptCount val="4"/>
                <c:pt idx="0">
                  <c:v>580595</c:v>
                </c:pt>
                <c:pt idx="1">
                  <c:v>1279837.9099999999</c:v>
                </c:pt>
                <c:pt idx="2">
                  <c:v>32824.160000000003</c:v>
                </c:pt>
                <c:pt idx="3">
                  <c:v>33383.730000000003</c:v>
                </c:pt>
              </c:numCache>
            </c:numRef>
          </c:val>
          <c:extLst xmlns:c16r2="http://schemas.microsoft.com/office/drawing/2015/06/char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50"/>
        <c:overlap val="100"/>
        <c:axId val="321972368"/>
        <c:axId val="321977464"/>
      </c:barChart>
      <c:catAx>
        <c:axId val="3219723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321977464"/>
        <c:crossesAt val="0"/>
        <c:auto val="1"/>
        <c:lblAlgn val="ctr"/>
        <c:lblOffset val="100"/>
        <c:noMultiLvlLbl val="0"/>
      </c:catAx>
      <c:valAx>
        <c:axId val="32197746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2197236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datelor'!$C$39:$C$42</c:f>
              <c:numCache>
                <c:formatCode>#,##0</c:formatCode>
                <c:ptCount val="4"/>
                <c:pt idx="0">
                  <c:v>1543242.68</c:v>
                </c:pt>
                <c:pt idx="1">
                  <c:v>4158092.1</c:v>
                </c:pt>
                <c:pt idx="2">
                  <c:v>252096.14</c:v>
                </c:pt>
                <c:pt idx="3">
                  <c:v>250187.12</c:v>
                </c:pt>
              </c:numCache>
            </c:numRef>
          </c:val>
          <c:extLst xmlns:c16r2="http://schemas.microsoft.com/office/drawing/2015/06/chart">
            <c:ext xmlns:c16="http://schemas.microsoft.com/office/drawing/2014/chart" uri="{C3380CC4-5D6E-409C-BE32-E72D297353CC}">
              <c16:uniqueId val="{00000000-508A-4635-A6E2-88ADAD0856AB}"/>
            </c:ext>
          </c:extLst>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datelor'!$D$39:$D$42</c:f>
              <c:numCache>
                <c:formatCode>#,##0</c:formatCode>
                <c:ptCount val="4"/>
                <c:pt idx="0">
                  <c:v>940106</c:v>
                </c:pt>
                <c:pt idx="1">
                  <c:v>2423056.2599999998</c:v>
                </c:pt>
                <c:pt idx="2">
                  <c:v>132286.04</c:v>
                </c:pt>
                <c:pt idx="3">
                  <c:v>250789.55</c:v>
                </c:pt>
              </c:numCache>
            </c:numRef>
          </c:val>
          <c:extLst xmlns:c16r2="http://schemas.microsoft.com/office/drawing/2015/06/char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50"/>
        <c:axId val="321976680"/>
        <c:axId val="321973544"/>
      </c:barChart>
      <c:catAx>
        <c:axId val="321976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21973544"/>
        <c:crosses val="autoZero"/>
        <c:auto val="1"/>
        <c:lblAlgn val="ctr"/>
        <c:lblOffset val="100"/>
        <c:tickMarkSkip val="1"/>
        <c:noMultiLvlLbl val="0"/>
      </c:catAx>
      <c:valAx>
        <c:axId val="3219735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2197668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22</c:v>
                </c:pt>
                <c:pt idx="1">
                  <c:v>22</c:v>
                </c:pt>
                <c:pt idx="2">
                  <c:v>21.5</c:v>
                </c:pt>
              </c:numCache>
            </c:numRef>
          </c:val>
          <c:extLst xmlns:c16r2="http://schemas.microsoft.com/office/drawing/2015/06/chart">
            <c:ext xmlns:c16="http://schemas.microsoft.com/office/drawing/2014/chart" uri="{C3380CC4-5D6E-409C-BE32-E72D297353CC}">
              <c16:uniqueId val="{00000000-791A-4C17-AD1C-CF3323FDD685}"/>
            </c:ext>
          </c:extLst>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27.2</c:v>
                </c:pt>
                <c:pt idx="1">
                  <c:v>25.3</c:v>
                </c:pt>
                <c:pt idx="2">
                  <c:v>24.9</c:v>
                </c:pt>
              </c:numCache>
            </c:numRef>
          </c:val>
          <c:extLst xmlns:c16r2="http://schemas.microsoft.com/office/drawing/2015/06/chart">
            <c:ext xmlns:c16="http://schemas.microsoft.com/office/drawing/2014/chart" uri="{C3380CC4-5D6E-409C-BE32-E72D297353CC}">
              <c16:uniqueId val="{00000001-791A-4C17-AD1C-CF3323FDD685}"/>
            </c:ext>
          </c:extLst>
        </c:ser>
        <c:dLbls>
          <c:showLegendKey val="0"/>
          <c:showVal val="0"/>
          <c:showCatName val="0"/>
          <c:showSerName val="0"/>
          <c:showPercent val="0"/>
          <c:showBubbleSize val="0"/>
        </c:dLbls>
        <c:gapWidth val="150"/>
        <c:axId val="321970016"/>
        <c:axId val="321973936"/>
      </c:barChart>
      <c:catAx>
        <c:axId val="32197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1973936"/>
        <c:crosses val="autoZero"/>
        <c:auto val="1"/>
        <c:lblAlgn val="ctr"/>
        <c:lblOffset val="100"/>
        <c:tickLblSkip val="1"/>
        <c:tickMarkSkip val="1"/>
        <c:noMultiLvlLbl val="0"/>
      </c:catAx>
      <c:valAx>
        <c:axId val="3219739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1970016"/>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5</xdr:col>
      <xdr:colOff>1016000</xdr:colOff>
      <xdr:row>34</xdr:row>
      <xdr:rowOff>177800</xdr:rowOff>
    </xdr:from>
    <xdr:to>
      <xdr:col>5</xdr:col>
      <xdr:colOff>1028700</xdr:colOff>
      <xdr:row>44</xdr:row>
      <xdr:rowOff>152400</xdr:rowOff>
    </xdr:to>
    <xdr:cxnSp macro="">
      <xdr:nvCxnSpPr>
        <xdr:cNvPr id="2305189" name="AutoShape 100"/>
        <xdr:cNvCxnSpPr>
          <a:cxnSpLocks noChangeShapeType="1"/>
        </xdr:cNvCxnSpPr>
      </xdr:nvCxnSpPr>
      <xdr:spPr bwMode="auto">
        <a:xfrm>
          <a:off x="8458200" y="6527800"/>
          <a:ext cx="12700" cy="36703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45</xdr:row>
      <xdr:rowOff>88900</xdr:rowOff>
    </xdr:from>
    <xdr:to>
      <xdr:col>5</xdr:col>
      <xdr:colOff>25400</xdr:colOff>
      <xdr:row>45</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609600</xdr:colOff>
      <xdr:row>34</xdr:row>
      <xdr:rowOff>165100</xdr:rowOff>
    </xdr:from>
    <xdr:to>
      <xdr:col>5</xdr:col>
      <xdr:colOff>1028700</xdr:colOff>
      <xdr:row>34</xdr:row>
      <xdr:rowOff>177800</xdr:rowOff>
    </xdr:to>
    <xdr:cxnSp macro="">
      <xdr:nvCxnSpPr>
        <xdr:cNvPr id="4" name="Straight Arrow Connector 3"/>
        <xdr:cNvCxnSpPr/>
      </xdr:nvCxnSpPr>
      <xdr:spPr bwMode="auto">
        <a:xfrm flipH="1" flipV="1">
          <a:off x="6807200" y="6515100"/>
          <a:ext cx="1663700" cy="12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596900</xdr:colOff>
      <xdr:row>33</xdr:row>
      <xdr:rowOff>177800</xdr:rowOff>
    </xdr:from>
    <xdr:to>
      <xdr:col>4</xdr:col>
      <xdr:colOff>609600</xdr:colOff>
      <xdr:row>34</xdr:row>
      <xdr:rowOff>165100</xdr:rowOff>
    </xdr:to>
    <xdr:cxnSp macro="">
      <xdr:nvCxnSpPr>
        <xdr:cNvPr id="6" name="Straight Arrow Connector 5"/>
        <xdr:cNvCxnSpPr/>
      </xdr:nvCxnSpPr>
      <xdr:spPr bwMode="auto">
        <a:xfrm flipV="1">
          <a:off x="6794500" y="6324600"/>
          <a:ext cx="12700" cy="1905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10</xdr:col>
      <xdr:colOff>764071</xdr:colOff>
      <xdr:row>20</xdr:row>
      <xdr:rowOff>38100</xdr:rowOff>
    </xdr:to>
    <xdr:grpSp>
      <xdr:nvGrpSpPr>
        <xdr:cNvPr id="1591155" name="Group 489"/>
        <xdr:cNvGrpSpPr>
          <a:grpSpLocks/>
        </xdr:cNvGrpSpPr>
      </xdr:nvGrpSpPr>
      <xdr:grpSpPr bwMode="auto">
        <a:xfrm>
          <a:off x="4145032" y="5800725"/>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11615116"/>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126619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126619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126619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126619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8" r="C42" connectionId="0">
    <xmlCellPr id="1" uniqueName="1">
      <xmlPr mapId="43" xpath="/ns1:Root/ns1:F2/ns1:Environ__Community_TB_care__Cumulative_Budget__in___" xmlDataType="double"/>
    </xmlCellPr>
  </singleXmlCell>
  <singleXmlCell id="469" r="D42" connectionId="0">
    <xmlCellPr id="1" uniqueName="1">
      <xmlPr mapId="43" xpath="/ns1:Root/ns1:F2/ns1:Environ__Community_TB_care__Cumulative_Expenditures__in___" xmlDataType="double"/>
    </xmlCellPr>
  </singleXmlCell>
  <singleXmlCell id="470" r="C43" connectionId="0">
    <xmlCellPr id="1" uniqueName="1">
      <xmlPr mapId="43" xpath="/ns1:Root/ns1:F2/ns1:_Cumulative_Budget__in____1" xmlDataType="string"/>
    </xmlCellPr>
  </singleXmlCell>
  <singleXmlCell id="471" r="D43" connectionId="0">
    <xmlCellPr id="1" uniqueName="1">
      <xmlPr mapId="43" xpath="/ns1:Root/ns1:F2/ns1:_Cumulative_Expenditures__in____1" xmlDataType="string"/>
    </xmlCellPr>
  </singleXmlCell>
  <singleXmlCell id="472" r="C44" connectionId="0">
    <xmlCellPr id="1" uniqueName="1">
      <xmlPr mapId="43" xpath="/ns1:Root/ns1:F2/ns1:_Cumulative_Budget__in____2" xmlDataType="string"/>
    </xmlCellPr>
  </singleXmlCell>
  <singleXmlCell id="473" r="D44" connectionId="0">
    <xmlCellPr id="1" uniqueName="1">
      <xmlPr mapId="43" xpath="/ns1:Root/ns1:F2/ns1:_Cumulative_Expenditures__in____2" xmlDataType="string"/>
    </xmlCellPr>
  </singleXmlCell>
  <singleXmlCell id="474" r="C45" connectionId="0">
    <xmlCellPr id="1" uniqueName="1">
      <xmlPr mapId="43" xpath="/ns1:Root/ns1:F2/ns1:_Cumulative_Budget__in___" xmlDataType="string"/>
    </xmlCellPr>
  </singleXmlCell>
  <singleXmlCell id="475" r="D45" connectionId="0">
    <xmlCellPr id="1" uniqueName="1">
      <xmlPr mapId="43" xpath="/ns1:Root/ns1:F2/ns1:_Cumulative_Expenditures__in___" xmlDataType="string"/>
    </xmlCellPr>
  </singleXmlCell>
  <singleXmlCell id="476" r="C51" connectionId="0">
    <xmlCellPr id="1" uniqueName="1">
      <xmlPr mapId="43" xpath="/ns1:Root/ns1:F3/ns1:Disbursed_by_Global_Fund_Prior_to_reporting_period__in___" xmlDataType="double"/>
    </xmlCellPr>
  </singleXmlCell>
  <singleXmlCell id="477" r="D51" connectionId="0">
    <xmlCellPr id="1" uniqueName="1">
      <xmlPr mapId="43" xpath="/ns1:Root/ns1:F3/ns1:Disbursed_by_Global_Fund_Reporting_period__in___" xmlDataType="double"/>
    </xmlCellPr>
  </singleXmlCell>
  <singleXmlCell id="478" r="C52" connectionId="0">
    <xmlCellPr id="1" uniqueName="1">
      <xmlPr mapId="43" xpath="/ns1:Root/ns1:F3/ns1:PR_expenditure_and_disbursement_Prior_to_reporting_period__in___" xmlDataType="double"/>
    </xmlCellPr>
  </singleXmlCell>
  <singleXmlCell id="479" r="D52" connectionId="0">
    <xmlCellPr id="1" uniqueName="1">
      <xmlPr mapId="43" xpath="/ns1:Root/ns1:F3/ns1:PR_expenditure_and_disbursement_Reporting_period__in___" xmlDataType="double"/>
    </xmlCellPr>
  </singleXmlCell>
  <singleXmlCell id="480" r="C53" connectionId="0">
    <xmlCellPr id="1" uniqueName="1">
      <xmlPr mapId="43" xpath="/ns1:Root/ns1:F3/ns1:Disbursed_to_SRs_Prior_to_reporting_period__in___" xmlDataType="double"/>
    </xmlCellPr>
  </singleXmlCell>
  <singleXmlCell id="481" r="D53" connectionId="0">
    <xmlCellPr id="1" uniqueName="1">
      <xmlPr mapId="43" xpath="/ns1:Root/ns1:F3/ns1:Disbursed_to_SRs_Reporting_period__in___" xmlDataType="double"/>
    </xmlCellPr>
  </singleXmlCell>
  <singleXmlCell id="482" r="C54" connectionId="0">
    <xmlCellPr id="1" uniqueName="1">
      <xmlPr mapId="43" xpath="/ns1:Root/ns1:F3/ns1:SR_expenditures_Prior_to_reporting_period__in___" xmlDataType="double"/>
    </xmlCellPr>
  </singleXmlCell>
  <singleXmlCell id="483" r="D54" connectionId="0">
    <xmlCellPr id="1" uniqueName="1">
      <xmlPr mapId="43" xpath="/ns1:Root/ns1:F3/ns1:SR_expenditures_Reporting_period__in___" xmlDataType="double"/>
    </xmlCellPr>
  </singleXmlCell>
  <singleXmlCell id="484" r="C61" connectionId="0">
    <xmlCellPr id="1" uniqueName="1">
      <xmlPr mapId="43" xpath="/ns1:Root/ns1:F4/ns1:Days_taken_to_submit_acceptable_PU_DR_to_LFA_Expected__days_" xmlDataType="double"/>
    </xmlCellPr>
  </singleXmlCell>
  <singleXmlCell id="485" r="D61" connectionId="0">
    <xmlCellPr id="1" uniqueName="1">
      <xmlPr mapId="43" xpath="/ns1:Root/ns1:F4/ns1:Days_taken_to_submit_acceptable_PU_DR_to_LFA_Actual__days_" xmlDataType="double"/>
    </xmlCellPr>
  </singleXmlCell>
  <singleXmlCell id="486" r="C62" connectionId="0">
    <xmlCellPr id="1" uniqueName="1">
      <xmlPr mapId="43" xpath="/ns1:Root/ns1:F4/ns1:Days_taken_for_disbursement_to_reach_PR_Expected__days_" xmlDataType="double"/>
    </xmlCellPr>
  </singleXmlCell>
  <singleXmlCell id="487" r="D62" connectionId="0">
    <xmlCellPr id="1" uniqueName="1">
      <xmlPr mapId="43" xpath="/ns1:Root/ns1:F4/ns1:Days_taken_for_disbursement_to_reach_PR_Actual__days_" xmlDataType="double"/>
    </xmlCellPr>
  </singleXmlCell>
  <singleXmlCell id="488" r="C63" connectionId="0">
    <xmlCellPr id="1" uniqueName="1">
      <xmlPr mapId="43" xpath="/ns1:Root/ns1:F4/ns1:Days_taken_for_disbursement_to_reach_SRs__Expected__days_" xmlDataType="double"/>
    </xmlCellPr>
  </singleXmlCell>
  <singleXmlCell id="489" r="D63" connectionId="0">
    <xmlCellPr id="1" uniqueName="1">
      <xmlPr mapId="43" xpath="/ns1:Root/ns1:F4/ns1:Days_taken_for_disbursement_to_reach_SRs__Actual__days_" xmlDataType="double"/>
    </xmlCellPr>
  </singleXmlCell>
  <singleXmlCell id="490" r="B71" connectionId="0">
    <xmlCellPr id="1" uniqueName="1">
      <xmlPr mapId="43" xpath="/ns1:Root/ns1:M1/ns1:Conditions_precedents__CPs__" xmlDataType="string"/>
    </xmlCellPr>
  </singleXmlCell>
  <singleXmlCell id="491" r="D71" connectionId="0">
    <xmlCellPr id="1" uniqueName="1">
      <xmlPr mapId="43" xpath="/ns1:Root/ns1:M1/ns1:Conditions_precedents__CPs__Fulfilled" xmlDataType="double"/>
    </xmlCellPr>
  </singleXmlCell>
  <singleXmlCell id="492" r="E71" connectionId="0">
    <xmlCellPr id="1" uniqueName="1">
      <xmlPr mapId="43" xpath="/ns1:Root/ns1:M1/ns1:Conditions_precedents__CPs__Not_fulfilled__but_within_deadline" xmlDataType="double"/>
    </xmlCellPr>
  </singleXmlCell>
  <singleXmlCell id="493" r="F71" connectionId="0">
    <xmlCellPr id="1" uniqueName="1">
      <xmlPr mapId="43" xpath="/ns1:Root/ns1:M1/ns1:Conditions_precedents__CPs__Not_fulfilled__and_past_the_deadline" xmlDataType="double"/>
    </xmlCellPr>
  </singleXmlCell>
  <singleXmlCell id="494" r="B72" connectionId="0">
    <xmlCellPr id="1" uniqueName="1">
      <xmlPr mapId="43" xpath="/ns1:Root/ns1:M1/ns1:Time_Bound_Actions__TBAs__" xmlDataType="string"/>
    </xmlCellPr>
  </singleXmlCell>
  <singleXmlCell id="495" r="D72" connectionId="0">
    <xmlCellPr id="1" uniqueName="1">
      <xmlPr mapId="43" xpath="/ns1:Root/ns1:M1/ns1:Time_Bound_Actions__TBAs__Fulfilled" xmlDataType="double"/>
    </xmlCellPr>
  </singleXmlCell>
  <singleXmlCell id="496" r="E72" connectionId="0">
    <xmlCellPr id="1" uniqueName="1">
      <xmlPr mapId="43" xpath="/ns1:Root/ns1:M1/ns1:Time_Bound_Actions__TBAs__Not_fulfilled__but_within_deadline" xmlDataType="string"/>
    </xmlCellPr>
  </singleXmlCell>
  <singleXmlCell id="497" r="F72" connectionId="0">
    <xmlCellPr id="1" uniqueName="1">
      <xmlPr mapId="43" xpath="/ns1:Root/ns1:M1/ns1:Time_Bound_Actions__TBAs__Not_fulfilled__and_past_the_deadline" xmlDataType="double"/>
    </xmlCellPr>
  </singleXmlCell>
  <singleXmlCell id="498" r="C78" connectionId="0">
    <xmlCellPr id="1" uniqueName="1">
      <xmlPr mapId="43" xpath="/ns1:Root/ns1:M2/ns1:PMU_Planned" xmlDataType="double"/>
    </xmlCellPr>
  </singleXmlCell>
  <singleXmlCell id="499" r="D78" connectionId="0">
    <xmlCellPr id="1" uniqueName="1">
      <xmlPr mapId="43" xpath="/ns1:Root/ns1:M2/ns1:PMU_Filled" xmlDataType="double"/>
    </xmlCellPr>
  </singleXmlCell>
  <singleXmlCell id="500" r="C83" connectionId="0">
    <xmlCellPr id="1" uniqueName="1">
      <xmlPr mapId="43" xpath="/ns1:Root/ns1:M3/ns1:SRs_Identified" xmlDataType="double"/>
    </xmlCellPr>
  </singleXmlCell>
  <singleXmlCell id="501" r="D83" connectionId="0">
    <xmlCellPr id="1" uniqueName="1">
      <xmlPr mapId="43" xpath="/ns1:Root/ns1:M3/ns1:SRs_Assessed" xmlDataType="double"/>
    </xmlCellPr>
  </singleXmlCell>
  <singleXmlCell id="502" r="E83" connectionId="0">
    <xmlCellPr id="1" uniqueName="1">
      <xmlPr mapId="43" xpath="/ns1:Root/ns1:M3/ns1:SRs_Approved" xmlDataType="double"/>
    </xmlCellPr>
  </singleXmlCell>
  <singleXmlCell id="503" r="F83" connectionId="0">
    <xmlCellPr id="1" uniqueName="1">
      <xmlPr mapId="43" xpath="/ns1:Root/ns1:M3/ns1:SRs_Signed" xmlDataType="double"/>
    </xmlCellPr>
  </singleXmlCell>
  <singleXmlCell id="504" r="G83" connectionId="0">
    <xmlCellPr id="1" uniqueName="1">
      <xmlPr mapId="43" xpath="/ns1:Root/ns1:M3/ns1:SRs_Receiving_Funding" xmlDataType="double"/>
    </xmlCellPr>
  </singleXmlCell>
  <singleXmlCell id="506" r="C88" connectionId="0">
    <xmlCellPr id="1" uniqueName="1">
      <xmlPr mapId="43" xpath="/ns1:Root/ns1:M4/ns1:SSR_to_SR__IR_____Expected" xmlDataType="string"/>
    </xmlCellPr>
  </singleXmlCell>
  <singleXmlCell id="507" r="D88" connectionId="0">
    <xmlCellPr id="1" uniqueName="1">
      <xmlPr mapId="43" xpath="/ns1:Root/ns1:M4/ns1:SSR_to_SR__IR____Received" xmlDataType="string"/>
    </xmlCellPr>
  </singleXmlCell>
  <singleXmlCell id="509" r="C89" connectionId="0">
    <xmlCellPr id="1" uniqueName="1">
      <xmlPr mapId="43" xpath="/ns1:Root/ns1:M4/ns1:SRs__IRs__to_PR____Expected" xmlDataType="double"/>
    </xmlCellPr>
  </singleXmlCell>
  <singleXmlCell id="510" r="D89" connectionId="0">
    <xmlCellPr id="1" uniqueName="1">
      <xmlPr mapId="43" xpath="/ns1:Root/ns1:M4/ns1:SRs__IRs__to_PR___Received" xmlDataType="double"/>
    </xmlCellPr>
  </singleXmlCell>
  <singleXmlCell id="511" r="C94" connectionId="0">
    <xmlCellPr id="1" uniqueName="1">
      <xmlPr mapId="43" xpath="/ns1:Root/ns1:M5/ns1:Budget_Approved__P1" xmlDataType="double"/>
    </xmlCellPr>
  </singleXmlCell>
  <singleXmlCell id="512" r="D94" connectionId="0">
    <xmlCellPr id="1" uniqueName="1">
      <xmlPr mapId="43" xpath="/ns1:Root/ns1:M5/ns1:Budget_Approved__P2" xmlDataType="double"/>
    </xmlCellPr>
  </singleXmlCell>
  <singleXmlCell id="513" r="E94" connectionId="0">
    <xmlCellPr id="1" uniqueName="1">
      <xmlPr mapId="43" xpath="/ns1:Root/ns1:M5/ns1:Budget_Approved__P3" xmlDataType="double"/>
    </xmlCellPr>
  </singleXmlCell>
  <singleXmlCell id="514" r="F94" connectionId="0">
    <xmlCellPr id="1" uniqueName="1">
      <xmlPr mapId="43" xpath="/ns1:Root/ns1:M5/ns1:Budget_Approved__P4" xmlDataType="double"/>
    </xmlCellPr>
  </singleXmlCell>
  <singleXmlCell id="515" r="G94" connectionId="0">
    <xmlCellPr id="1" uniqueName="1">
      <xmlPr mapId="43" xpath="/ns1:Root/ns1:M5/ns1:Budget_Approved__P5" xmlDataType="double"/>
    </xmlCellPr>
  </singleXmlCell>
  <singleXmlCell id="516" r="H94" connectionId="0">
    <xmlCellPr id="1" uniqueName="1">
      <xmlPr mapId="43" xpath="/ns1:Root/ns1:M5/ns1:Budget_Approved__P6" xmlDataType="double"/>
    </xmlCellPr>
  </singleXmlCell>
  <singleXmlCell id="517" r="I94" connectionId="0">
    <xmlCellPr id="1" uniqueName="1">
      <xmlPr mapId="43" xpath="/ns1:Root/ns1:M5/ns1:Budget_Approved__P7" xmlDataType="double"/>
    </xmlCellPr>
  </singleXmlCell>
  <singleXmlCell id="518" r="J94" connectionId="0">
    <xmlCellPr id="1" uniqueName="1">
      <xmlPr mapId="43" xpath="/ns1:Root/ns1:M5/ns1:Budget_Approved__P8" xmlDataType="double"/>
    </xmlCellPr>
  </singleXmlCell>
  <singleXmlCell id="519" r="K94" connectionId="0">
    <xmlCellPr id="1" uniqueName="1">
      <xmlPr mapId="43" xpath="/ns1:Root/ns1:M5/ns1:Budget_Approved__P9" xmlDataType="double"/>
    </xmlCellPr>
  </singleXmlCell>
  <singleXmlCell id="520" r="L94" connectionId="0">
    <xmlCellPr id="1" uniqueName="1">
      <xmlPr mapId="43" xpath="/ns1:Root/ns1:M5/ns1:Budget_Approved__P10" xmlDataType="double"/>
    </xmlCellPr>
  </singleXmlCell>
  <singleXmlCell id="521" r="M94" connectionId="0">
    <xmlCellPr id="1" uniqueName="1">
      <xmlPr mapId="43" xpath="/ns1:Root/ns1:M5/ns1:Budget_Approved__P11" xmlDataType="double"/>
    </xmlCellPr>
  </singleXmlCell>
  <singleXmlCell id="522" r="N94" connectionId="0">
    <xmlCellPr id="1" uniqueName="1">
      <xmlPr mapId="43" xpath="/ns1:Root/ns1:M5/ns1:Budget_Approved__P12" xmlDataType="double"/>
    </xmlCellPr>
  </singleXmlCell>
  <singleXmlCell id="523" r="C95" connectionId="0">
    <xmlCellPr id="1" uniqueName="1">
      <xmlPr mapId="43" xpath="/ns1:Root/ns1:M5/ns1:Obligations_P1" xmlDataType="double"/>
    </xmlCellPr>
  </singleXmlCell>
  <singleXmlCell id="524" r="D95" connectionId="0">
    <xmlCellPr id="1" uniqueName="1">
      <xmlPr mapId="43" xpath="/ns1:Root/ns1:M5/ns1:Obligations_P2" xmlDataType="double"/>
    </xmlCellPr>
  </singleXmlCell>
  <singleXmlCell id="525" r="E95" connectionId="0">
    <xmlCellPr id="1" uniqueName="1">
      <xmlPr mapId="43" xpath="/ns1:Root/ns1:M5/ns1:Obligations_P3" xmlDataType="double"/>
    </xmlCellPr>
  </singleXmlCell>
  <singleXmlCell id="526" r="F95" connectionId="0">
    <xmlCellPr id="1" uniqueName="1">
      <xmlPr mapId="43" xpath="/ns1:Root/ns1:M5/ns1:Obligations_P4" xmlDataType="double"/>
    </xmlCellPr>
  </singleXmlCell>
  <singleXmlCell id="527" r="G95" connectionId="0">
    <xmlCellPr id="1" uniqueName="1">
      <xmlPr mapId="43" xpath="/ns1:Root/ns1:M5/ns1:Obligations_P5" xmlDataType="double"/>
    </xmlCellPr>
  </singleXmlCell>
  <singleXmlCell id="528" r="H95" connectionId="0">
    <xmlCellPr id="1" uniqueName="1">
      <xmlPr mapId="43" xpath="/ns1:Root/ns1:M5/ns1:Obligations_P6" xmlDataType="double"/>
    </xmlCellPr>
  </singleXmlCell>
  <singleXmlCell id="529" r="I95" connectionId="0">
    <xmlCellPr id="1" uniqueName="1">
      <xmlPr mapId="43" xpath="/ns1:Root/ns1:M5/ns1:Obligations_P7" xmlDataType="double"/>
    </xmlCellPr>
  </singleXmlCell>
  <singleXmlCell id="530" r="J95" connectionId="0">
    <xmlCellPr id="1" uniqueName="1">
      <xmlPr mapId="43" xpath="/ns1:Root/ns1:M5/ns1:Obligations_P8" xmlDataType="double"/>
    </xmlCellPr>
  </singleXmlCell>
  <singleXmlCell id="531" r="K95" connectionId="0">
    <xmlCellPr id="1" uniqueName="1">
      <xmlPr mapId="43" xpath="/ns1:Root/ns1:M5/ns1:Obligations_P9" xmlDataType="double"/>
    </xmlCellPr>
  </singleXmlCell>
  <singleXmlCell id="532" r="L95" connectionId="0">
    <xmlCellPr id="1" uniqueName="1">
      <xmlPr mapId="43" xpath="/ns1:Root/ns1:M5/ns1:Obligations_P10" xmlDataType="double"/>
    </xmlCellPr>
  </singleXmlCell>
  <singleXmlCell id="533" r="M95" connectionId="0">
    <xmlCellPr id="1" uniqueName="1">
      <xmlPr mapId="43" xpath="/ns1:Root/ns1:M5/ns1:Obligations_P11" xmlDataType="double"/>
    </xmlCellPr>
  </singleXmlCell>
  <singleXmlCell id="534" r="N95" connectionId="0">
    <xmlCellPr id="1" uniqueName="1">
      <xmlPr mapId="43" xpath="/ns1:Root/ns1:M5/ns1:Obligations_P12" xmlDataType="double"/>
    </xmlCellPr>
  </singleXmlCell>
  <singleXmlCell id="535" r="C96" connectionId="0">
    <xmlCellPr id="1" uniqueName="1">
      <xmlPr mapId="43" xpath="/ns1:Root/ns1:M5/ns1:Expenditures_P1" xmlDataType="double"/>
    </xmlCellPr>
  </singleXmlCell>
  <singleXmlCell id="536" r="D96" connectionId="0">
    <xmlCellPr id="1" uniqueName="1">
      <xmlPr mapId="43" xpath="/ns1:Root/ns1:M5/ns1:Expenditures_P2" xmlDataType="double"/>
    </xmlCellPr>
  </singleXmlCell>
  <singleXmlCell id="537" r="E96" connectionId="0">
    <xmlCellPr id="1" uniqueName="1">
      <xmlPr mapId="43" xpath="/ns1:Root/ns1:M5/ns1:Expenditures_P3" xmlDataType="double"/>
    </xmlCellPr>
  </singleXmlCell>
  <singleXmlCell id="538" r="F96" connectionId="0">
    <xmlCellPr id="1" uniqueName="1">
      <xmlPr mapId="43" xpath="/ns1:Root/ns1:M5/ns1:Expenditures_P4" xmlDataType="double"/>
    </xmlCellPr>
  </singleXmlCell>
  <singleXmlCell id="539" r="G96" connectionId="0">
    <xmlCellPr id="1" uniqueName="1">
      <xmlPr mapId="43" xpath="/ns1:Root/ns1:M5/ns1:Expenditures_P5" xmlDataType="double"/>
    </xmlCellPr>
  </singleXmlCell>
  <singleXmlCell id="540" r="H96" connectionId="0">
    <xmlCellPr id="1" uniqueName="1">
      <xmlPr mapId="43" xpath="/ns1:Root/ns1:M5/ns1:Expenditures_P6" xmlDataType="double"/>
    </xmlCellPr>
  </singleXmlCell>
  <singleXmlCell id="541" r="I96" connectionId="0">
    <xmlCellPr id="1" uniqueName="1">
      <xmlPr mapId="43" xpath="/ns1:Root/ns1:M5/ns1:Expenditures_P7" xmlDataType="double"/>
    </xmlCellPr>
  </singleXmlCell>
  <singleXmlCell id="542" r="J96" connectionId="0">
    <xmlCellPr id="1" uniqueName="1">
      <xmlPr mapId="43" xpath="/ns1:Root/ns1:M5/ns1:Expenditures_P8" xmlDataType="double"/>
    </xmlCellPr>
  </singleXmlCell>
  <singleXmlCell id="543" r="K96" connectionId="0">
    <xmlCellPr id="1" uniqueName="1">
      <xmlPr mapId="43" xpath="/ns1:Root/ns1:M5/ns1:Expenditures_P9" xmlDataType="double"/>
    </xmlCellPr>
  </singleXmlCell>
  <singleXmlCell id="544" r="L96" connectionId="0">
    <xmlCellPr id="1" uniqueName="1">
      <xmlPr mapId="43" xpath="/ns1:Root/ns1:M5/ns1:Expenditures_P10" xmlDataType="double"/>
    </xmlCellPr>
  </singleXmlCell>
  <singleXmlCell id="545" r="M96" connectionId="0">
    <xmlCellPr id="1" uniqueName="1">
      <xmlPr mapId="43" xpath="/ns1:Root/ns1:M5/ns1:Expenditures_P11" xmlDataType="double"/>
    </xmlCellPr>
  </singleXmlCell>
  <singleXmlCell id="546" r="N96" connectionId="0">
    <xmlCellPr id="1" uniqueName="1">
      <xmlPr mapId="43" xpath="/ns1:Root/ns1:M5/ns1:Expenditures_P12" xmlDataType="double"/>
    </xmlCellPr>
  </singleXmlCell>
  <singleXmlCell id="547" r="C107" connectionId="0">
    <xmlCellPr id="1" uniqueName="1">
      <xmlPr mapId="43" xpath="/ns1:Root/ns1:M6/ns1:HIV___AIDS_Products" xmlDataType="string"/>
    </xmlCellPr>
  </singleXmlCell>
  <singleXmlCell id="548" r="D107" connectionId="0">
    <xmlCellPr id="1" uniqueName="1">
      <xmlPr mapId="43" xpath="/ns1:Root/ns1:M6/ns1:HIV___AIDS__1__Number_of_tablets_per_patient_per_day__Review_country_treatment_guidelines_" xmlDataType="double"/>
    </xmlCellPr>
  </singleXmlCell>
  <singleXmlCell id="549" r="F107" connectionId="0">
    <xmlCellPr id="1" uniqueName="1">
      <xmlPr mapId="43" xpath="/ns1:Root/ns1:M6/ns1:HIV___AIDS__3__Total_patients_in_treatment" xmlDataType="double"/>
    </xmlCellPr>
  </singleXmlCell>
  <singleXmlCell id="550" r="H107" connectionId="0">
    <xmlCellPr id="1" uniqueName="1">
      <xmlPr mapId="43" xpath="/ns1:Root/ns1:M6/ns1:HIV___AIDS__5__Current_stock_in_central_warehouse__that_does_not_expire_within_the_next_3_months_" xmlDataType="double"/>
    </xmlCellPr>
  </singleXmlCell>
  <singleXmlCell id="551" r="J107" connectionId="0">
    <xmlCellPr id="1" uniqueName="1">
      <xmlPr mapId="43" xpath="/ns1:Root/ns1:M6/ns1:HIV___AIDS__7__Level_of_safety_stock__expressed_in_months_and_defined_by_country__" xmlDataType="double"/>
    </xmlCellPr>
  </singleXmlCell>
  <singleXmlCell id="552" r="C108" connectionId="0">
    <xmlCellPr id="1" uniqueName="1">
      <xmlPr mapId="43" xpath="/ns1:Root/ns1:M6/ns1:_Products_1" xmlDataType="string"/>
    </xmlCellPr>
  </singleXmlCell>
  <singleXmlCell id="553" r="D108" connectionId="0">
    <xmlCellPr id="1" uniqueName="1">
      <xmlPr mapId="43" xpath="/ns1:Root/ns1:M6/ns1:__1__Number_of_tablets_per_patient_per_day__Review_country_treatment_guidelines__1" xmlDataType="double"/>
    </xmlCellPr>
  </singleXmlCell>
  <singleXmlCell id="554" r="F108" connectionId="0">
    <xmlCellPr id="1" uniqueName="1">
      <xmlPr mapId="43" xpath="/ns1:Root/ns1:M6/ns1:__3__Total_patients_in_treatment_1" xmlDataType="double"/>
    </xmlCellPr>
  </singleXmlCell>
  <singleXmlCell id="555" r="H108" connectionId="0">
    <xmlCellPr id="1" uniqueName="1">
      <xmlPr mapId="43" xpath="/ns1:Root/ns1:M6/ns1:__5__Current_stock_in_central_warehouse__that_does_not_expire_within_the_next_3_months__1" xmlDataType="double"/>
    </xmlCellPr>
  </singleXmlCell>
  <singleXmlCell id="556" r="J108" connectionId="0">
    <xmlCellPr id="1" uniqueName="1">
      <xmlPr mapId="43" xpath="/ns1:Root/ns1:M6/ns1:__7__Level_of_safety_stock__expressed_in_months_and_defined_by_country___1" xmlDataType="double"/>
    </xmlCellPr>
  </singleXmlCell>
  <singleXmlCell id="557" r="C109" connectionId="0">
    <xmlCellPr id="1" uniqueName="1">
      <xmlPr mapId="43" xpath="/ns1:Root/ns1:M6/ns1:_Products_2" xmlDataType="string"/>
    </xmlCellPr>
  </singleXmlCell>
  <singleXmlCell id="558" r="D109" connectionId="0">
    <xmlCellPr id="1" uniqueName="1">
      <xmlPr mapId="43" xpath="/ns1:Root/ns1:M6/ns1:__1__Number_of_tablets_per_patient_per_day__Review_country_treatment_guidelines__2" xmlDataType="double"/>
    </xmlCellPr>
  </singleXmlCell>
  <singleXmlCell id="559" r="F109" connectionId="0">
    <xmlCellPr id="1" uniqueName="1">
      <xmlPr mapId="43" xpath="/ns1:Root/ns1:M6/ns1:__3__Total_patients_in_treatment_2" xmlDataType="double"/>
    </xmlCellPr>
  </singleXmlCell>
  <singleXmlCell id="560" r="H109" connectionId="0">
    <xmlCellPr id="1" uniqueName="1">
      <xmlPr mapId="43" xpath="/ns1:Root/ns1:M6/ns1:__5__Current_stock_in_central_warehouse__that_does_not_expire_within_the_next_3_months__2" xmlDataType="double"/>
    </xmlCellPr>
  </singleXmlCell>
  <singleXmlCell id="561" r="J109" connectionId="0">
    <xmlCellPr id="1" uniqueName="1">
      <xmlPr mapId="43" xpath="/ns1:Root/ns1:M6/ns1:__7__Level_of_safety_stock__expressed_in_months_and_defined_by_country___2" xmlDataType="double"/>
    </xmlCellPr>
  </singleXmlCell>
  <singleXmlCell id="562" r="C110" connectionId="0">
    <xmlCellPr id="1" uniqueName="1">
      <xmlPr mapId="43" xpath="/ns1:Root/ns1:M6/ns1:_Products" xmlDataType="string"/>
    </xmlCellPr>
  </singleXmlCell>
  <singleXmlCell id="563" r="D110" connectionId="0">
    <xmlCellPr id="1" uniqueName="1">
      <xmlPr mapId="43" xpath="/ns1:Root/ns1:M6/ns1:__1__Number_of_tablets_per_patient_per_day__Review_country_treatment_guidelines_" xmlDataType="double"/>
    </xmlCellPr>
  </singleXmlCell>
  <singleXmlCell id="564" r="F110" connectionId="0">
    <xmlCellPr id="1" uniqueName="1">
      <xmlPr mapId="43" xpath="/ns1:Root/ns1:M6/ns1:__3__Total_patients_in_treatment" xmlDataType="double"/>
    </xmlCellPr>
  </singleXmlCell>
  <singleXmlCell id="565" r="H110" connectionId="0">
    <xmlCellPr id="1" uniqueName="1">
      <xmlPr mapId="43" xpath="/ns1:Root/ns1:M6/ns1:__5__Current_stock_in_central_warehouse__that_does_not_expire_within_the_next_3_months_" xmlDataType="double"/>
    </xmlCellPr>
  </singleXmlCell>
  <singleXmlCell id="566" r="J110" connectionId="0">
    <xmlCellPr id="1" uniqueName="1">
      <xmlPr mapId="43" xpath="/ns1:Root/ns1:M6/ns1:__7__Level_of_safety_stock__expressed_in_months_and_defined_by_country__" xmlDataType="double"/>
    </xmlCellPr>
  </singleXmlCell>
  <singleXmlCell id="567" r="H116" connectionId="0">
    <xmlCellPr id="1" uniqueName="1">
      <xmlPr mapId="43" xpath="/ns1:Root/ns1:Prog/ns1:Target_P1_1" xmlDataType="double"/>
    </xmlCellPr>
  </singleXmlCell>
  <singleXmlCell id="568" r="I116" connectionId="0">
    <xmlCellPr id="1" uniqueName="1">
      <xmlPr mapId="43" xpath="/ns1:Root/ns1:Prog/ns1:Target_P2_1" xmlDataType="double"/>
    </xmlCellPr>
  </singleXmlCell>
  <singleXmlCell id="569" r="J116" connectionId="0">
    <xmlCellPr id="1" uniqueName="1">
      <xmlPr mapId="43" xpath="/ns1:Root/ns1:Prog/ns1:Target_P3_1" xmlDataType="double"/>
    </xmlCellPr>
  </singleXmlCell>
  <singleXmlCell id="570" r="K116" connectionId="0">
    <xmlCellPr id="1" uniqueName="1">
      <xmlPr mapId="43" xpath="/ns1:Root/ns1:Prog/ns1:Target_P4_1" xmlDataType="double"/>
    </xmlCellPr>
  </singleXmlCell>
  <singleXmlCell id="571" r="L116" connectionId="0">
    <xmlCellPr id="1" uniqueName="1">
      <xmlPr mapId="43" xpath="/ns1:Root/ns1:Prog/ns1:Target_P5_1" xmlDataType="double"/>
    </xmlCellPr>
  </singleXmlCell>
  <singleXmlCell id="572" r="M116" connectionId="0">
    <xmlCellPr id="1" uniqueName="1">
      <xmlPr mapId="43" xpath="/ns1:Root/ns1:Prog/ns1:Target_P6_1" xmlDataType="double"/>
    </xmlCellPr>
  </singleXmlCell>
  <singleXmlCell id="573" r="N116" connectionId="0">
    <xmlCellPr id="1" uniqueName="1">
      <xmlPr mapId="43" xpath="/ns1:Root/ns1:Prog/ns1:Target_P7_1" xmlDataType="double"/>
    </xmlCellPr>
  </singleXmlCell>
  <singleXmlCell id="574" r="O116" connectionId="0">
    <xmlCellPr id="1" uniqueName="1">
      <xmlPr mapId="43" xpath="/ns1:Root/ns1:Prog/ns1:Target_P8_1" xmlDataType="double"/>
    </xmlCellPr>
  </singleXmlCell>
  <singleXmlCell id="575" r="P116" connectionId="0">
    <xmlCellPr id="1" uniqueName="1">
      <xmlPr mapId="43" xpath="/ns1:Root/ns1:Prog/ns1:Target_P9_1" xmlDataType="double"/>
    </xmlCellPr>
  </singleXmlCell>
  <singleXmlCell id="576" r="Q116" connectionId="0">
    <xmlCellPr id="1" uniqueName="1">
      <xmlPr mapId="43" xpath="/ns1:Root/ns1:Prog/ns1:Target_P10_1" xmlDataType="double"/>
    </xmlCellPr>
  </singleXmlCell>
  <singleXmlCell id="577" r="R116" connectionId="0">
    <xmlCellPr id="1" uniqueName="1">
      <xmlPr mapId="43" xpath="/ns1:Root/ns1:Prog/ns1:Target_P11_1" xmlDataType="double"/>
    </xmlCellPr>
  </singleXmlCell>
  <singleXmlCell id="578" r="S116" connectionId="0">
    <xmlCellPr id="1" uniqueName="1">
      <xmlPr mapId="43" xpath="/ns1:Root/ns1:Prog/ns1:Target_P12_1" xmlDataType="double"/>
    </xmlCellPr>
  </singleXmlCell>
  <singleXmlCell id="579" r="H117" connectionId="0">
    <xmlCellPr id="1" uniqueName="1">
      <xmlPr mapId="43" xpath="/ns1:Root/ns1:Prog/ns1:Achieved__P1_1" xmlDataType="double"/>
    </xmlCellPr>
  </singleXmlCell>
  <singleXmlCell id="580" r="I117" connectionId="0">
    <xmlCellPr id="1" uniqueName="1">
      <xmlPr mapId="43" xpath="/ns1:Root/ns1:Prog/ns1:Achieved__P2_1" xmlDataType="double"/>
    </xmlCellPr>
  </singleXmlCell>
  <singleXmlCell id="581" r="J117" connectionId="0">
    <xmlCellPr id="1" uniqueName="1">
      <xmlPr mapId="43" xpath="/ns1:Root/ns1:Prog/ns1:Achieved__P3_1" xmlDataType="double"/>
    </xmlCellPr>
  </singleXmlCell>
  <singleXmlCell id="582" r="K117" connectionId="0">
    <xmlCellPr id="1" uniqueName="1">
      <xmlPr mapId="43" xpath="/ns1:Root/ns1:Prog/ns1:Achieved__P4_1" xmlDataType="double"/>
    </xmlCellPr>
  </singleXmlCell>
  <singleXmlCell id="583" r="L117" connectionId="0">
    <xmlCellPr id="1" uniqueName="1">
      <xmlPr mapId="43" xpath="/ns1:Root/ns1:Prog/ns1:Achieved__P5_1" xmlDataType="string"/>
    </xmlCellPr>
  </singleXmlCell>
  <singleXmlCell id="584" r="M117" connectionId="0">
    <xmlCellPr id="1" uniqueName="1">
      <xmlPr mapId="43" xpath="/ns1:Root/ns1:Prog/ns1:Achieved__P6_1" xmlDataType="string"/>
    </xmlCellPr>
  </singleXmlCell>
  <singleXmlCell id="585" r="N117" connectionId="0">
    <xmlCellPr id="1" uniqueName="1">
      <xmlPr mapId="43" xpath="/ns1:Root/ns1:Prog/ns1:Achieved__P7_1" xmlDataType="string"/>
    </xmlCellPr>
  </singleXmlCell>
  <singleXmlCell id="586" r="O117" connectionId="0">
    <xmlCellPr id="1" uniqueName="1">
      <xmlPr mapId="43" xpath="/ns1:Root/ns1:Prog/ns1:Achieved__P8_1" xmlDataType="string"/>
    </xmlCellPr>
  </singleXmlCell>
  <singleXmlCell id="587" r="P117" connectionId="0">
    <xmlCellPr id="1" uniqueName="1">
      <xmlPr mapId="43" xpath="/ns1:Root/ns1:Prog/ns1:Achieved__P9_1" xmlDataType="string"/>
    </xmlCellPr>
  </singleXmlCell>
  <singleXmlCell id="588" r="Q117" connectionId="0">
    <xmlCellPr id="1" uniqueName="1">
      <xmlPr mapId="43" xpath="/ns1:Root/ns1:Prog/ns1:Achieved__P10_1" xmlDataType="string"/>
    </xmlCellPr>
  </singleXmlCell>
  <singleXmlCell id="589" r="R117" connectionId="0">
    <xmlCellPr id="1" uniqueName="1">
      <xmlPr mapId="43" xpath="/ns1:Root/ns1:Prog/ns1:Achieved__P11_1" xmlDataType="string"/>
    </xmlCellPr>
  </singleXmlCell>
  <singleXmlCell id="590" r="S117" connectionId="0">
    <xmlCellPr id="1" uniqueName="1">
      <xmlPr mapId="43" xpath="/ns1:Root/ns1:Prog/ns1:Achieved__P12_1" xmlDataType="string"/>
    </xmlCellPr>
  </singleXmlCell>
  <singleXmlCell id="599" r="Q118" connectionId="0">
    <xmlCellPr id="1" uniqueName="1">
      <xmlPr mapId="43" xpath="/ns1:Root/ns1:Prog/ns1:Target_P10_2" xmlDataType="double"/>
    </xmlCellPr>
  </singleXmlCell>
  <singleXmlCell id="600" r="R118" connectionId="0">
    <xmlCellPr id="1" uniqueName="1">
      <xmlPr mapId="43" xpath="/ns1:Root/ns1:Prog/ns1:Target_P11_2" xmlDataType="double"/>
    </xmlCellPr>
  </singleXmlCell>
  <singleXmlCell id="601" r="S118" connectionId="0">
    <xmlCellPr id="1" uniqueName="1">
      <xmlPr mapId="43" xpath="/ns1:Root/ns1:Prog/ns1:Target_P12_2" xmlDataType="double"/>
    </xmlCellPr>
  </singleXmlCell>
  <singleXmlCell id="611" r="Q119" connectionId="0">
    <xmlCellPr id="1" uniqueName="1">
      <xmlPr mapId="43" xpath="/ns1:Root/ns1:Prog/ns1:Achieved__P10_2" xmlDataType="string"/>
    </xmlCellPr>
  </singleXmlCell>
  <singleXmlCell id="612" r="R119" connectionId="0">
    <xmlCellPr id="1" uniqueName="1">
      <xmlPr mapId="43" xpath="/ns1:Root/ns1:Prog/ns1:Achieved__P11_2" xmlDataType="string"/>
    </xmlCellPr>
  </singleXmlCell>
  <singleXmlCell id="613" r="S119" connectionId="0">
    <xmlCellPr id="1" uniqueName="1">
      <xmlPr mapId="43" xpath="/ns1:Root/ns1:Prog/ns1:Achieved__P12_2"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807" r="B116" connectionId="0">
    <xmlCellPr id="1" uniqueName="1">
      <xmlPr mapId="43" xpath="/ns1:Root/ns1:P1" xmlDataType="string"/>
    </xmlCellPr>
  </singleXmlCell>
  <singleXmlCell id="808" r="E116" connectionId="0">
    <xmlCellPr id="1" uniqueName="1">
      <xmlPr mapId="43" xpath="/ns1:Root/ns1:P1_Code" xmlDataType="double"/>
    </xmlCellPr>
  </singleXmlCell>
  <singleXmlCell id="809" r="F116" connectionId="0">
    <xmlCellPr id="1" uniqueName="1">
      <xmlPr mapId="43" xpath="/ns1:Root/ns1:P1_Tied" xmlDataType="string"/>
    </xmlCellPr>
  </singleXmlCell>
  <singleXmlCell id="810" r="B118" connectionId="0">
    <xmlCellPr id="1" uniqueName="1">
      <xmlPr mapId="43" xpath="/ns1:Root/ns1:P2" xmlDataType="string"/>
    </xmlCellPr>
  </singleXmlCell>
  <singleXmlCell id="811" r="E118" connectionId="0">
    <xmlCellPr id="1" uniqueName="1">
      <xmlPr mapId="43" xpath="/ns1:Root/ns1:P2_Code" xmlDataType="double"/>
    </xmlCellPr>
  </singleXmlCell>
  <singleXmlCell id="812" r="F118" connectionId="0">
    <xmlCellPr id="1" uniqueName="1">
      <xmlPr mapId="43" xpath="/ns1:Root/ns1:P2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37" r="D26" connectionId="0">
    <xmlCellPr id="1" uniqueName="1">
      <xmlPr mapId="43" xpath="/ns1:Root/ns1:Currency" xmlDataType="string"/>
    </xmlCellPr>
  </singleXmlCell>
  <singleXmlCell id="830" r="F130" connectionId="0">
    <xmlCellPr id="1" uniqueName="1">
      <xmlPr mapId="43" xpath="/ns1:Root/ns1:P8_Tied" xmlDataType="string"/>
    </xmlCellPr>
  </singleXmlCell>
  <singleXmlCell id="829" r="E130" connectionId="0">
    <xmlCellPr id="1" uniqueName="1">
      <xmlPr mapId="43" xpath="/ns1:Root/ns1:P8_Code" xmlDataType="double"/>
    </xmlCellPr>
  </singleXmlCell>
  <singleXmlCell id="828" r="B130" connectionId="0">
    <xmlCellPr id="1" uniqueName="1">
      <xmlPr mapId="43" xpath="/ns1:Root/ns1:P8" xmlDataType="string"/>
    </xmlCellPr>
  </singleXmlCell>
  <singleXmlCell id="827" r="F126" connectionId="0">
    <xmlCellPr id="1" uniqueName="1">
      <xmlPr mapId="43" xpath="/ns1:Root/ns1:P7_Tied" xmlDataType="string"/>
    </xmlCellPr>
  </singleXmlCell>
  <singleXmlCell id="826" r="E126" connectionId="0">
    <xmlCellPr id="1" uniqueName="1">
      <xmlPr mapId="43" xpath="/ns1:Root/ns1:P7_Code" xmlDataType="double"/>
    </xmlCellPr>
  </singleXmlCell>
  <singleXmlCell id="825" r="B126" connectionId="0">
    <xmlCellPr id="1" uniqueName="1">
      <xmlPr mapId="43" xpath="/ns1:Root/ns1:P7" xmlDataType="string"/>
    </xmlCellPr>
  </singleXmlCell>
  <singleXmlCell id="757" r="S131" connectionId="0">
    <xmlCellPr id="1" uniqueName="1">
      <xmlPr mapId="43" xpath="/ns1:Root/ns1:Prog/ns1:Achieved__P12_8" xmlDataType="string"/>
    </xmlCellPr>
  </singleXmlCell>
  <singleXmlCell id="756" r="R131" connectionId="0">
    <xmlCellPr id="1" uniqueName="1">
      <xmlPr mapId="43" xpath="/ns1:Root/ns1:Prog/ns1:Achieved__P11_8" xmlDataType="string"/>
    </xmlCellPr>
  </singleXmlCell>
  <singleXmlCell id="755" r="Q131" connectionId="0">
    <xmlCellPr id="1" uniqueName="1">
      <xmlPr mapId="43" xpath="/ns1:Root/ns1:Prog/ns1:Achieved__P10_8" xmlDataType="string"/>
    </xmlCellPr>
  </singleXmlCell>
  <singleXmlCell id="754" r="P131" connectionId="0">
    <xmlCellPr id="1" uniqueName="1">
      <xmlPr mapId="43" xpath="/ns1:Root/ns1:Prog/ns1:Achieved__P9_8" xmlDataType="string"/>
    </xmlCellPr>
  </singleXmlCell>
  <singleXmlCell id="753" r="O131" connectionId="0">
    <xmlCellPr id="1" uniqueName="1">
      <xmlPr mapId="43" xpath="/ns1:Root/ns1:Prog/ns1:Achieved__P8_8" xmlDataType="string"/>
    </xmlCellPr>
  </singleXmlCell>
  <singleXmlCell id="752" r="N131" connectionId="0">
    <xmlCellPr id="1" uniqueName="1">
      <xmlPr mapId="43" xpath="/ns1:Root/ns1:Prog/ns1:Achieved__P7_8" xmlDataType="string"/>
    </xmlCellPr>
  </singleXmlCell>
  <singleXmlCell id="751" r="M131" connectionId="0">
    <xmlCellPr id="1" uniqueName="1">
      <xmlPr mapId="43" xpath="/ns1:Root/ns1:Prog/ns1:Achieved__P6_8" xmlDataType="string"/>
    </xmlCellPr>
  </singleXmlCell>
  <singleXmlCell id="750" r="L131" connectionId="0">
    <xmlCellPr id="1" uniqueName="1">
      <xmlPr mapId="43" xpath="/ns1:Root/ns1:Prog/ns1:Achieved__P5_8" xmlDataType="string"/>
    </xmlCellPr>
  </singleXmlCell>
  <singleXmlCell id="749" r="K131" connectionId="0">
    <xmlCellPr id="1" uniqueName="1">
      <xmlPr mapId="43" xpath="/ns1:Root/ns1:Prog/ns1:Achieved__P4_8" xmlDataType="string"/>
    </xmlCellPr>
  </singleXmlCell>
  <singleXmlCell id="748" r="J131" connectionId="0">
    <xmlCellPr id="1" uniqueName="1">
      <xmlPr mapId="43" xpath="/ns1:Root/ns1:Prog/ns1:Achieved__P3_8" xmlDataType="string"/>
    </xmlCellPr>
  </singleXmlCell>
  <singleXmlCell id="747" r="I131" connectionId="0">
    <xmlCellPr id="1" uniqueName="1">
      <xmlPr mapId="43" xpath="/ns1:Root/ns1:Prog/ns1:Achieved__P2_8" xmlDataType="string"/>
    </xmlCellPr>
  </singleXmlCell>
  <singleXmlCell id="746" r="H131" connectionId="0">
    <xmlCellPr id="1" uniqueName="1">
      <xmlPr mapId="43" xpath="/ns1:Root/ns1:Prog/ns1:Achieved__P1_8" xmlDataType="string"/>
    </xmlCellPr>
  </singleXmlCell>
  <singleXmlCell id="745" r="S130" connectionId="0">
    <xmlCellPr id="1" uniqueName="1">
      <xmlPr mapId="43" xpath="/ns1:Root/ns1:Prog/ns1:Target_P12_8" xmlDataType="double"/>
    </xmlCellPr>
  </singleXmlCell>
  <singleXmlCell id="744" r="R130" connectionId="0">
    <xmlCellPr id="1" uniqueName="1">
      <xmlPr mapId="43" xpath="/ns1:Root/ns1:Prog/ns1:Target_P11_8" xmlDataType="double"/>
    </xmlCellPr>
  </singleXmlCell>
  <singleXmlCell id="743" r="Q130" connectionId="0">
    <xmlCellPr id="1" uniqueName="1">
      <xmlPr mapId="43" xpath="/ns1:Root/ns1:Prog/ns1:Target_P10_8" xmlDataType="double"/>
    </xmlCellPr>
  </singleXmlCell>
  <singleXmlCell id="742" r="P130" connectionId="0">
    <xmlCellPr id="1" uniqueName="1">
      <xmlPr mapId="43" xpath="/ns1:Root/ns1:Prog/ns1:Target_P9_8" xmlDataType="double"/>
    </xmlCellPr>
  </singleXmlCell>
  <singleXmlCell id="741" r="O130" connectionId="0">
    <xmlCellPr id="1" uniqueName="1">
      <xmlPr mapId="43" xpath="/ns1:Root/ns1:Prog/ns1:Target_P8_8" xmlDataType="double"/>
    </xmlCellPr>
  </singleXmlCell>
  <singleXmlCell id="740" r="N130" connectionId="0">
    <xmlCellPr id="1" uniqueName="1">
      <xmlPr mapId="43" xpath="/ns1:Root/ns1:Prog/ns1:Target_P7_8" xmlDataType="string"/>
    </xmlCellPr>
  </singleXmlCell>
  <singleXmlCell id="739" r="M130" connectionId="0">
    <xmlCellPr id="1" uniqueName="1">
      <xmlPr mapId="43" xpath="/ns1:Root/ns1:Prog/ns1:Target_P6_8" xmlDataType="double"/>
    </xmlCellPr>
  </singleXmlCell>
  <singleXmlCell id="738" r="L130" connectionId="0">
    <xmlCellPr id="1" uniqueName="1">
      <xmlPr mapId="43" xpath="/ns1:Root/ns1:Prog/ns1:Target_P5_8" xmlDataType="string"/>
    </xmlCellPr>
  </singleXmlCell>
  <singleXmlCell id="737" r="K130" connectionId="0">
    <xmlCellPr id="1" uniqueName="1">
      <xmlPr mapId="43" xpath="/ns1:Root/ns1:Prog/ns1:Target_P4_8" xmlDataType="double"/>
    </xmlCellPr>
  </singleXmlCell>
  <singleXmlCell id="736" r="J130" connectionId="0">
    <xmlCellPr id="1" uniqueName="1">
      <xmlPr mapId="43" xpath="/ns1:Root/ns1:Prog/ns1:Target_P3_8" xmlDataType="string"/>
    </xmlCellPr>
  </singleXmlCell>
  <singleXmlCell id="735" r="I130" connectionId="0">
    <xmlCellPr id="1" uniqueName="1">
      <xmlPr mapId="43" xpath="/ns1:Root/ns1:Prog/ns1:Target_P2_8" xmlDataType="double"/>
    </xmlCellPr>
  </singleXmlCell>
  <singleXmlCell id="734" r="H130" connectionId="0">
    <xmlCellPr id="1" uniqueName="1">
      <xmlPr mapId="43" xpath="/ns1:Root/ns1:Prog/ns1:Target_P1_8" xmlDataType="string"/>
    </xmlCellPr>
  </singleXmlCell>
  <singleXmlCell id="733" r="S127" connectionId="0">
    <xmlCellPr id="1" uniqueName="1">
      <xmlPr mapId="43" xpath="/ns1:Root/ns1:Prog/ns1:Achieved__P12_7" xmlDataType="string"/>
    </xmlCellPr>
  </singleXmlCell>
  <singleXmlCell id="732" r="R127" connectionId="0">
    <xmlCellPr id="1" uniqueName="1">
      <xmlPr mapId="43" xpath="/ns1:Root/ns1:Prog/ns1:Achieved__P11_7" xmlDataType="string"/>
    </xmlCellPr>
  </singleXmlCell>
  <singleXmlCell id="731" r="Q127" connectionId="0">
    <xmlCellPr id="1" uniqueName="1">
      <xmlPr mapId="43" xpath="/ns1:Root/ns1:Prog/ns1:Achieved__P10_7" xmlDataType="string"/>
    </xmlCellPr>
  </singleXmlCell>
  <singleXmlCell id="730" r="P127" connectionId="0">
    <xmlCellPr id="1" uniqueName="1">
      <xmlPr mapId="43" xpath="/ns1:Root/ns1:Prog/ns1:Achieved__P9_7" xmlDataType="string"/>
    </xmlCellPr>
  </singleXmlCell>
  <singleXmlCell id="729" r="O127" connectionId="0">
    <xmlCellPr id="1" uniqueName="1">
      <xmlPr mapId="43" xpath="/ns1:Root/ns1:Prog/ns1:Achieved__P8_7" xmlDataType="string"/>
    </xmlCellPr>
  </singleXmlCell>
  <singleXmlCell id="728" r="N127" connectionId="0">
    <xmlCellPr id="1" uniqueName="1">
      <xmlPr mapId="43" xpath="/ns1:Root/ns1:Prog/ns1:Achieved__P7_7" xmlDataType="string"/>
    </xmlCellPr>
  </singleXmlCell>
  <singleXmlCell id="727" r="M127" connectionId="0">
    <xmlCellPr id="1" uniqueName="1">
      <xmlPr mapId="43" xpath="/ns1:Root/ns1:Prog/ns1:Achieved__P6_7" xmlDataType="string"/>
    </xmlCellPr>
  </singleXmlCell>
  <singleXmlCell id="726" r="L127" connectionId="0">
    <xmlCellPr id="1" uniqueName="1">
      <xmlPr mapId="43" xpath="/ns1:Root/ns1:Prog/ns1:Achieved__P5_7" xmlDataType="string"/>
    </xmlCellPr>
  </singleXmlCell>
  <singleXmlCell id="725" r="K127" connectionId="0">
    <xmlCellPr id="1" uniqueName="1">
      <xmlPr mapId="43" xpath="/ns1:Root/ns1:Prog/ns1:Achieved__P4_7" xmlDataType="double"/>
    </xmlCellPr>
  </singleXmlCell>
  <singleXmlCell id="724" r="J127" connectionId="0">
    <xmlCellPr id="1" uniqueName="1">
      <xmlPr mapId="43" xpath="/ns1:Root/ns1:Prog/ns1:Achieved__P3_7" xmlDataType="double"/>
    </xmlCellPr>
  </singleXmlCell>
  <singleXmlCell id="723" r="I127" connectionId="0">
    <xmlCellPr id="1" uniqueName="1">
      <xmlPr mapId="43" xpath="/ns1:Root/ns1:Prog/ns1:Achieved__P2_7" xmlDataType="double"/>
    </xmlCellPr>
  </singleXmlCell>
  <singleXmlCell id="722" r="H127" connectionId="0">
    <xmlCellPr id="1" uniqueName="1">
      <xmlPr mapId="43" xpath="/ns1:Root/ns1:Prog/ns1:Achieved__P1_7" xmlDataType="double"/>
    </xmlCellPr>
  </singleXmlCell>
  <singleXmlCell id="721" r="S126" connectionId="0">
    <xmlCellPr id="1" uniqueName="1">
      <xmlPr mapId="43" xpath="/ns1:Root/ns1:Prog/ns1:Target_P12_7" xmlDataType="double"/>
    </xmlCellPr>
  </singleXmlCell>
  <singleXmlCell id="720" r="R126" connectionId="0">
    <xmlCellPr id="1" uniqueName="1">
      <xmlPr mapId="43" xpath="/ns1:Root/ns1:Prog/ns1:Target_P11_7" xmlDataType="double"/>
    </xmlCellPr>
  </singleXmlCell>
  <singleXmlCell id="719" r="Q126" connectionId="0">
    <xmlCellPr id="1" uniqueName="1">
      <xmlPr mapId="43" xpath="/ns1:Root/ns1:Prog/ns1:Target_P10_7" xmlDataType="double"/>
    </xmlCellPr>
  </singleXmlCell>
  <singleXmlCell id="718" r="P126" connectionId="0">
    <xmlCellPr id="1" uniqueName="1">
      <xmlPr mapId="43" xpath="/ns1:Root/ns1:Prog/ns1:Target_P9_7" xmlDataType="double"/>
    </xmlCellPr>
  </singleXmlCell>
  <singleXmlCell id="717" r="O126" connectionId="0">
    <xmlCellPr id="1" uniqueName="1">
      <xmlPr mapId="43" xpath="/ns1:Root/ns1:Prog/ns1:Target_P8_7" xmlDataType="double"/>
    </xmlCellPr>
  </singleXmlCell>
  <singleXmlCell id="716" r="N126" connectionId="0">
    <xmlCellPr id="1" uniqueName="1">
      <xmlPr mapId="43" xpath="/ns1:Root/ns1:Prog/ns1:Target_P7_7" xmlDataType="double"/>
    </xmlCellPr>
  </singleXmlCell>
  <singleXmlCell id="715" r="M126" connectionId="0">
    <xmlCellPr id="1" uniqueName="1">
      <xmlPr mapId="43" xpath="/ns1:Root/ns1:Prog/ns1:Target_P6_7" xmlDataType="double"/>
    </xmlCellPr>
  </singleXmlCell>
  <singleXmlCell id="714" r="L126" connectionId="0">
    <xmlCellPr id="1" uniqueName="1">
      <xmlPr mapId="43" xpath="/ns1:Root/ns1:Prog/ns1:Target_P5_7" xmlDataType="double"/>
    </xmlCellPr>
  </singleXmlCell>
  <singleXmlCell id="713" r="K126" connectionId="0">
    <xmlCellPr id="1" uniqueName="1">
      <xmlPr mapId="43" xpath="/ns1:Root/ns1:Prog/ns1:Target_P4_7" xmlDataType="double"/>
    </xmlCellPr>
  </singleXmlCell>
  <singleXmlCell id="712" r="J126" connectionId="0">
    <xmlCellPr id="1" uniqueName="1">
      <xmlPr mapId="43" xpath="/ns1:Root/ns1:Prog/ns1:Target_P3_7" xmlDataType="double"/>
    </xmlCellPr>
  </singleXmlCell>
  <singleXmlCell id="711" r="I126" connectionId="0">
    <xmlCellPr id="1" uniqueName="1">
      <xmlPr mapId="43" xpath="/ns1:Root/ns1:Prog/ns1:Target_P2_7" xmlDataType="double"/>
    </xmlCellPr>
  </singleXmlCell>
  <singleXmlCell id="710" r="H126" connectionId="0">
    <xmlCellPr id="1" uniqueName="1">
      <xmlPr mapId="43" xpath="/ns1:Root/ns1:Prog/ns1:Target_P1_7" xmlDataType="double"/>
    </xmlCellPr>
  </singleXmlCell>
  <singleXmlCell id="815" r="F120" connectionId="0">
    <xmlCellPr id="1" uniqueName="1">
      <xmlPr mapId="43" xpath="/ns1:Root/ns1:P3_Tied" xmlDataType="string"/>
    </xmlCellPr>
  </singleXmlCell>
  <singleXmlCell id="814" r="E120" connectionId="0">
    <xmlCellPr id="1" uniqueName="1">
      <xmlPr mapId="43" xpath="/ns1:Root/ns1:P3_Code" xmlDataType="double"/>
    </xmlCellPr>
  </singleXmlCell>
  <singleXmlCell id="813" r="B120" connectionId="0">
    <xmlCellPr id="1" uniqueName="1">
      <xmlPr mapId="43" xpath="/ns1:Root/ns1:P3" xmlDataType="string"/>
    </xmlCellPr>
  </singleXmlCell>
  <singleXmlCell id="637" r="S121" connectionId="0">
    <xmlCellPr id="1" uniqueName="1">
      <xmlPr mapId="43" xpath="/ns1:Root/ns1:Prog/ns1:Achieved__P12_3" xmlDataType="string"/>
    </xmlCellPr>
  </singleXmlCell>
  <singleXmlCell id="636" r="R121" connectionId="0">
    <xmlCellPr id="1" uniqueName="1">
      <xmlPr mapId="43" xpath="/ns1:Root/ns1:Prog/ns1:Achieved__P11_3" xmlDataType="string"/>
    </xmlCellPr>
  </singleXmlCell>
  <singleXmlCell id="635" r="Q121" connectionId="0">
    <xmlCellPr id="1" uniqueName="1">
      <xmlPr mapId="43" xpath="/ns1:Root/ns1:Prog/ns1:Achieved__P10_3" xmlDataType="string"/>
    </xmlCellPr>
  </singleXmlCell>
  <singleXmlCell id="634" r="P121" connectionId="0">
    <xmlCellPr id="1" uniqueName="1">
      <xmlPr mapId="43" xpath="/ns1:Root/ns1:Prog/ns1:Achieved__P9_3" xmlDataType="string"/>
    </xmlCellPr>
  </singleXmlCell>
  <singleXmlCell id="633" r="O121" connectionId="0">
    <xmlCellPr id="1" uniqueName="1">
      <xmlPr mapId="43" xpath="/ns1:Root/ns1:Prog/ns1:Achieved__P8_3" xmlDataType="string"/>
    </xmlCellPr>
  </singleXmlCell>
  <singleXmlCell id="632" r="N121" connectionId="0">
    <xmlCellPr id="1" uniqueName="1">
      <xmlPr mapId="43" xpath="/ns1:Root/ns1:Prog/ns1:Achieved__P7_3" xmlDataType="string"/>
    </xmlCellPr>
  </singleXmlCell>
  <singleXmlCell id="631" r="M121" connectionId="0">
    <xmlCellPr id="1" uniqueName="1">
      <xmlPr mapId="43" xpath="/ns1:Root/ns1:Prog/ns1:Achieved__P6_3" xmlDataType="string"/>
    </xmlCellPr>
  </singleXmlCell>
  <singleXmlCell id="630" r="L121" connectionId="0">
    <xmlCellPr id="1" uniqueName="1">
      <xmlPr mapId="43" xpath="/ns1:Root/ns1:Prog/ns1:Achieved__P5_3" xmlDataType="string"/>
    </xmlCellPr>
  </singleXmlCell>
  <singleXmlCell id="629" r="K121" connectionId="0">
    <xmlCellPr id="1" uniqueName="1">
      <xmlPr mapId="43" xpath="/ns1:Root/ns1:Prog/ns1:Achieved__P4_3" xmlDataType="double"/>
    </xmlCellPr>
  </singleXmlCell>
  <singleXmlCell id="628" r="J121" connectionId="0">
    <xmlCellPr id="1" uniqueName="1">
      <xmlPr mapId="43" xpath="/ns1:Root/ns1:Prog/ns1:Achieved__P3_3" xmlDataType="string"/>
    </xmlCellPr>
  </singleXmlCell>
  <singleXmlCell id="627" r="I121" connectionId="0">
    <xmlCellPr id="1" uniqueName="1">
      <xmlPr mapId="43" xpath="/ns1:Root/ns1:Prog/ns1:Achieved__P2_3" xmlDataType="double"/>
    </xmlCellPr>
  </singleXmlCell>
  <singleXmlCell id="626" r="H121" connectionId="0">
    <xmlCellPr id="1" uniqueName="1">
      <xmlPr mapId="43" xpath="/ns1:Root/ns1:Prog/ns1:Achieved__P1_3" xmlDataType="string"/>
    </xmlCellPr>
  </singleXmlCell>
  <singleXmlCell id="625" r="S120" connectionId="0">
    <xmlCellPr id="1" uniqueName="1">
      <xmlPr mapId="43" xpath="/ns1:Root/ns1:Prog/ns1:Target_P12_3" xmlDataType="double"/>
    </xmlCellPr>
  </singleXmlCell>
  <singleXmlCell id="624" r="R120" connectionId="0">
    <xmlCellPr id="1" uniqueName="1">
      <xmlPr mapId="43" xpath="/ns1:Root/ns1:Prog/ns1:Target_P11_3" xmlDataType="string"/>
    </xmlCellPr>
  </singleXmlCell>
  <singleXmlCell id="623" r="Q120" connectionId="0">
    <xmlCellPr id="1" uniqueName="1">
      <xmlPr mapId="43" xpath="/ns1:Root/ns1:Prog/ns1:Target_P10_3" xmlDataType="string"/>
    </xmlCellPr>
  </singleXmlCell>
  <singleXmlCell id="622" r="P120" connectionId="0">
    <xmlCellPr id="1" uniqueName="1">
      <xmlPr mapId="43" xpath="/ns1:Root/ns1:Prog/ns1:Target_P9_3" xmlDataType="double"/>
    </xmlCellPr>
  </singleXmlCell>
  <singleXmlCell id="621" r="O120" connectionId="0">
    <xmlCellPr id="1" uniqueName="1">
      <xmlPr mapId="43" xpath="/ns1:Root/ns1:Prog/ns1:Target_P8_3" xmlDataType="double"/>
    </xmlCellPr>
  </singleXmlCell>
  <singleXmlCell id="620" r="N120" connectionId="0">
    <xmlCellPr id="1" uniqueName="1">
      <xmlPr mapId="43" xpath="/ns1:Root/ns1:Prog/ns1:Target_P7_3" xmlDataType="double"/>
    </xmlCellPr>
  </singleXmlCell>
  <singleXmlCell id="619" r="M120" connectionId="0">
    <xmlCellPr id="1" uniqueName="1">
      <xmlPr mapId="43" xpath="/ns1:Root/ns1:Prog/ns1:Target_P6_3" xmlDataType="double"/>
    </xmlCellPr>
  </singleXmlCell>
  <singleXmlCell id="618" r="L120" connectionId="0">
    <xmlCellPr id="1" uniqueName="1">
      <xmlPr mapId="43" xpath="/ns1:Root/ns1:Prog/ns1:Target_P5_3" xmlDataType="double"/>
    </xmlCellPr>
  </singleXmlCell>
  <singleXmlCell id="617" r="K120" connectionId="0">
    <xmlCellPr id="1" uniqueName="1">
      <xmlPr mapId="43" xpath="/ns1:Root/ns1:Prog/ns1:Target_P4_3" xmlDataType="double"/>
    </xmlCellPr>
  </singleXmlCell>
  <singleXmlCell id="616" r="J120" connectionId="0">
    <xmlCellPr id="1" uniqueName="1">
      <xmlPr mapId="43" xpath="/ns1:Root/ns1:Prog/ns1:Target_P3_3" xmlDataType="double"/>
    </xmlCellPr>
  </singleXmlCell>
  <singleXmlCell id="615" r="I120" connectionId="0">
    <xmlCellPr id="1" uniqueName="1">
      <xmlPr mapId="43" xpath="/ns1:Root/ns1:Prog/ns1:Target_P2_3" xmlDataType="double"/>
    </xmlCellPr>
  </singleXmlCell>
  <singleXmlCell id="614" r="H120" connectionId="0">
    <xmlCellPr id="1"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P22" sqref="P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48" t="str">
        <f>+'Detail despre Grant'!B3:J3</f>
        <v>Tabel Programatic de Evaluare:  Moldova - TB</v>
      </c>
      <c r="C2" s="548"/>
      <c r="D2" s="548"/>
      <c r="E2" s="548"/>
      <c r="F2" s="548"/>
      <c r="G2" s="548"/>
      <c r="H2" s="548"/>
      <c r="I2" s="548"/>
      <c r="J2" s="548"/>
      <c r="K2" s="548"/>
      <c r="L2" s="548"/>
      <c r="M2" s="1"/>
      <c r="N2" s="1"/>
      <c r="O2" s="1"/>
    </row>
    <row r="4" spans="2:15" ht="21">
      <c r="B4" s="549" t="str">
        <f>+IF('Introducerea datelor'!G6="Please Select", "",'Introducerea datelor'!G6) &amp;"  "&amp;+IF('Introducerea datelor'!G8="Please Select", "", 'Introducerea datelor'!G8&amp;",  ")&amp;+IF('Introducerea datelor'!I8="Please Select","",'Introducerea datelor'!I8)</f>
        <v>TB  Period 1</v>
      </c>
      <c r="C4" s="549"/>
      <c r="D4" s="549"/>
      <c r="E4" s="550"/>
      <c r="F4" s="190"/>
      <c r="G4" s="190"/>
      <c r="H4" s="277" t="str">
        <f>+'Introducerea datelor'!B6&amp;" "&amp;+'Introducerea datelor'!C6</f>
        <v>No. Grantului : MDA-T-PCIMU (#678)</v>
      </c>
      <c r="I4" s="277"/>
      <c r="J4" s="189"/>
      <c r="K4" s="190"/>
      <c r="L4" s="190"/>
    </row>
    <row r="22" spans="2:12" ht="26.25">
      <c r="B22" s="551" t="s">
        <v>276</v>
      </c>
      <c r="C22" s="552"/>
      <c r="D22" s="552"/>
      <c r="E22" s="552"/>
      <c r="F22" s="552"/>
      <c r="G22" s="552"/>
      <c r="H22" s="552"/>
      <c r="I22" s="552"/>
      <c r="J22" s="552"/>
      <c r="K22" s="552"/>
      <c r="L22" s="552"/>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79" t="str">
        <f>'Detail despre Grant'!B3:J3</f>
        <v>Tabel Programatic de Evaluare:  Moldova - TB</v>
      </c>
      <c r="C3" s="979"/>
      <c r="D3" s="979"/>
      <c r="E3" s="979"/>
      <c r="F3" s="979"/>
      <c r="G3" s="979"/>
      <c r="H3" s="979"/>
      <c r="I3" s="1"/>
    </row>
    <row r="6" spans="2:15" ht="18.75">
      <c r="B6" s="978" t="s">
        <v>247</v>
      </c>
      <c r="C6" s="978"/>
      <c r="D6" s="978"/>
      <c r="E6" s="978"/>
      <c r="F6" s="978"/>
      <c r="G6" s="978"/>
      <c r="H6" s="978"/>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24" t="s">
        <v>270</v>
      </c>
      <c r="J9" s="85" t="s">
        <v>270</v>
      </c>
      <c r="M9" s="19"/>
      <c r="N9" s="19"/>
      <c r="O9" s="19"/>
    </row>
    <row r="10" spans="2:15">
      <c r="B10" s="56" t="s">
        <v>12</v>
      </c>
      <c r="C10" s="56" t="s">
        <v>7</v>
      </c>
      <c r="D10" s="56" t="s">
        <v>5</v>
      </c>
      <c r="E10" s="56" t="s">
        <v>6</v>
      </c>
      <c r="F10" s="56" t="s">
        <v>62</v>
      </c>
      <c r="G10" s="330" t="s">
        <v>24</v>
      </c>
      <c r="H10" s="59" t="s">
        <v>29</v>
      </c>
      <c r="I10" s="26" t="s">
        <v>237</v>
      </c>
      <c r="J10" s="85" t="s">
        <v>81</v>
      </c>
      <c r="M10" s="19"/>
      <c r="N10" s="19"/>
      <c r="O10" s="19"/>
    </row>
    <row r="11" spans="2:15">
      <c r="B11" s="56" t="s">
        <v>14</v>
      </c>
      <c r="C11" s="56" t="s">
        <v>2</v>
      </c>
      <c r="D11" s="56" t="s">
        <v>8</v>
      </c>
      <c r="E11" s="56" t="s">
        <v>4</v>
      </c>
      <c r="F11" s="56" t="s">
        <v>63</v>
      </c>
      <c r="G11" s="330" t="s">
        <v>25</v>
      </c>
      <c r="H11" s="59" t="s">
        <v>30</v>
      </c>
      <c r="I11" s="26" t="s">
        <v>238</v>
      </c>
      <c r="J11" s="85" t="s">
        <v>82</v>
      </c>
      <c r="M11" s="19"/>
      <c r="N11" s="19"/>
      <c r="O11" s="19"/>
    </row>
    <row r="12" spans="2:15">
      <c r="B12" s="56" t="s">
        <v>15</v>
      </c>
      <c r="D12" s="56" t="s">
        <v>9</v>
      </c>
      <c r="E12" s="56" t="s">
        <v>10</v>
      </c>
      <c r="F12" s="56" t="s">
        <v>64</v>
      </c>
      <c r="G12" s="330" t="s">
        <v>26</v>
      </c>
      <c r="H12" s="59" t="s">
        <v>31</v>
      </c>
      <c r="I12" s="26" t="s">
        <v>239</v>
      </c>
      <c r="J12" s="85" t="s">
        <v>83</v>
      </c>
      <c r="M12" s="158"/>
      <c r="N12" s="19"/>
      <c r="O12" s="19"/>
    </row>
    <row r="13" spans="2:15">
      <c r="B13" s="56" t="s">
        <v>50</v>
      </c>
      <c r="D13" s="56" t="s">
        <v>11</v>
      </c>
      <c r="E13" s="57"/>
      <c r="F13" s="56" t="s">
        <v>65</v>
      </c>
      <c r="G13" s="330" t="s">
        <v>27</v>
      </c>
      <c r="H13" s="59" t="s">
        <v>32</v>
      </c>
      <c r="I13" s="26" t="s">
        <v>240</v>
      </c>
      <c r="J13" s="85" t="s">
        <v>84</v>
      </c>
      <c r="M13" s="158"/>
      <c r="N13" s="19"/>
      <c r="O13" s="19"/>
    </row>
    <row r="14" spans="2:15">
      <c r="B14" s="56" t="s">
        <v>51</v>
      </c>
      <c r="D14" s="56" t="s">
        <v>18</v>
      </c>
      <c r="F14" s="56" t="s">
        <v>72</v>
      </c>
      <c r="G14" s="330" t="s">
        <v>28</v>
      </c>
      <c r="H14" s="59" t="s">
        <v>33</v>
      </c>
      <c r="I14" s="26" t="s">
        <v>216</v>
      </c>
      <c r="J14" s="85" t="s">
        <v>85</v>
      </c>
      <c r="M14" s="158"/>
      <c r="N14" s="19"/>
      <c r="O14" s="19"/>
    </row>
    <row r="15" spans="2:15">
      <c r="D15" s="56" t="s">
        <v>19</v>
      </c>
      <c r="F15" s="56" t="s">
        <v>73</v>
      </c>
      <c r="H15" s="59" t="s">
        <v>34</v>
      </c>
      <c r="I15" s="26" t="s">
        <v>40</v>
      </c>
      <c r="J15" s="85" t="s">
        <v>86</v>
      </c>
      <c r="M15" s="158"/>
      <c r="N15" s="19"/>
      <c r="O15" s="19"/>
    </row>
    <row r="16" spans="2:15">
      <c r="D16" s="56" t="s">
        <v>20</v>
      </c>
      <c r="F16" s="56" t="s">
        <v>74</v>
      </c>
      <c r="H16" s="59" t="s">
        <v>35</v>
      </c>
      <c r="I16" s="26" t="s">
        <v>41</v>
      </c>
      <c r="J16" s="85" t="s">
        <v>87</v>
      </c>
      <c r="M16" s="158"/>
      <c r="N16" s="19"/>
      <c r="O16" s="19"/>
    </row>
    <row r="17" spans="4:15">
      <c r="D17" s="56" t="s">
        <v>21</v>
      </c>
      <c r="F17" s="56" t="s">
        <v>75</v>
      </c>
      <c r="H17" s="59" t="s">
        <v>36</v>
      </c>
      <c r="I17" s="26" t="s">
        <v>42</v>
      </c>
      <c r="J17" s="85" t="s">
        <v>88</v>
      </c>
      <c r="M17" s="158"/>
      <c r="N17" s="19"/>
      <c r="O17" s="19"/>
    </row>
    <row r="18" spans="4:15">
      <c r="D18" s="56" t="s">
        <v>3</v>
      </c>
      <c r="F18" s="56" t="s">
        <v>76</v>
      </c>
      <c r="H18" s="59" t="s">
        <v>37</v>
      </c>
      <c r="I18" s="26" t="s">
        <v>43</v>
      </c>
      <c r="J18" s="85" t="s">
        <v>89</v>
      </c>
      <c r="M18" s="158"/>
      <c r="N18" s="19"/>
      <c r="O18" s="19"/>
    </row>
    <row r="19" spans="4:15">
      <c r="D19" s="329" t="s">
        <v>269</v>
      </c>
      <c r="F19" s="56" t="s">
        <v>77</v>
      </c>
      <c r="H19" s="59" t="s">
        <v>38</v>
      </c>
      <c r="I19" s="26" t="s">
        <v>44</v>
      </c>
      <c r="J19" s="85" t="s">
        <v>90</v>
      </c>
      <c r="M19" s="158"/>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22"/>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370" t="s">
        <v>280</v>
      </c>
    </row>
    <row r="2" spans="1:1" ht="15" customHeight="1">
      <c r="A2" s="371" t="s">
        <v>368</v>
      </c>
    </row>
    <row r="3" spans="1:1">
      <c r="A3" s="370">
        <v>1.1000000000000001</v>
      </c>
    </row>
    <row r="4" spans="1:1">
      <c r="A4" s="371">
        <v>1.2</v>
      </c>
    </row>
    <row r="5" spans="1:1">
      <c r="A5" s="371">
        <v>1.3</v>
      </c>
    </row>
    <row r="6" spans="1:1">
      <c r="A6" s="370">
        <v>1.4</v>
      </c>
    </row>
    <row r="7" spans="1:1" ht="15.75" thickBot="1">
      <c r="A7" s="371">
        <v>1.5</v>
      </c>
    </row>
    <row r="8" spans="1:1">
      <c r="A8" s="372">
        <v>1.7</v>
      </c>
    </row>
    <row r="9" spans="1:1">
      <c r="A9" s="370">
        <v>2.1</v>
      </c>
    </row>
    <row r="10" spans="1:1">
      <c r="A10" s="371">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2"/>
  <sheetViews>
    <sheetView showGridLines="0" view="pageBreakPreview" zoomScale="80" zoomScaleNormal="70" zoomScaleSheetLayoutView="80" workbookViewId="0">
      <pane ySplit="2" topLeftCell="A9" activePane="bottomLeft" state="frozen"/>
      <selection activeCell="E22" sqref="E22"/>
      <selection pane="bottomLeft" activeCell="E19" sqref="E19:I19"/>
    </sheetView>
  </sheetViews>
  <sheetFormatPr defaultColWidth="11" defaultRowHeight="15"/>
  <cols>
    <col min="1" max="1" width="2.7109375" customWidth="1"/>
    <col min="2" max="2" width="21.42578125" customWidth="1"/>
    <col min="3" max="3" width="18" customWidth="1"/>
    <col min="4" max="4" width="17"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8554687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8" t="str">
        <f>+"Tabel Programatic de Evaluare: "&amp;" "&amp;+IF('Introducerea datelor'!C4="Please Select","",'Introducerea datelor'!C4&amp;" - ")&amp;+IF('Introducerea datelor'!G6="Please Select","",'Introducerea datelor'!G6)</f>
        <v>Tabel Programatic de Evaluare:  Moldova - TB</v>
      </c>
      <c r="C2" s="568"/>
      <c r="D2" s="568"/>
      <c r="E2" s="568"/>
      <c r="F2" s="568"/>
      <c r="G2" s="568"/>
      <c r="H2" s="568"/>
      <c r="I2" s="568"/>
      <c r="J2" s="568"/>
      <c r="K2" s="568"/>
      <c r="L2" s="568"/>
      <c r="M2" s="568"/>
    </row>
    <row r="3" spans="1:15" ht="15.75" customHeight="1">
      <c r="A3" s="3"/>
      <c r="B3" s="181"/>
      <c r="C3" s="181"/>
      <c r="D3" s="181"/>
      <c r="E3" s="181"/>
      <c r="F3" s="181"/>
      <c r="G3" s="181"/>
      <c r="H3" s="181"/>
      <c r="I3" s="181"/>
      <c r="J3" s="181"/>
      <c r="K3" s="182"/>
      <c r="L3" s="182"/>
      <c r="M3" s="3"/>
    </row>
    <row r="5" spans="1:15" ht="23.25">
      <c r="B5" s="569" t="s">
        <v>228</v>
      </c>
      <c r="C5" s="569"/>
      <c r="D5" s="569"/>
      <c r="E5" s="569"/>
      <c r="F5" s="569"/>
      <c r="G5" s="569"/>
      <c r="H5" s="569"/>
      <c r="I5" s="569"/>
      <c r="J5" s="569"/>
      <c r="K5" s="569"/>
      <c r="L5" s="569"/>
      <c r="M5" s="569"/>
      <c r="N5" s="569"/>
      <c r="O5" s="569"/>
    </row>
    <row r="7" spans="1:15" ht="21">
      <c r="B7" s="570" t="s">
        <v>217</v>
      </c>
      <c r="C7" s="571"/>
      <c r="D7" s="572"/>
      <c r="E7" s="570" t="s">
        <v>218</v>
      </c>
      <c r="F7" s="571"/>
      <c r="G7" s="571"/>
      <c r="H7" s="571"/>
      <c r="I7" s="572"/>
      <c r="J7" s="570" t="s">
        <v>219</v>
      </c>
      <c r="K7" s="571"/>
      <c r="L7" s="572"/>
      <c r="M7" s="570" t="s">
        <v>253</v>
      </c>
      <c r="N7" s="571"/>
      <c r="O7" s="572"/>
    </row>
    <row r="8" spans="1:15" ht="92.25" customHeight="1">
      <c r="B8" s="573" t="str">
        <f>+'Introducerea datelor'!B27</f>
        <v>F1: Bugetul și debursările de către Fondul Global</v>
      </c>
      <c r="C8" s="574"/>
      <c r="D8" s="575"/>
      <c r="E8" s="576" t="s">
        <v>272</v>
      </c>
      <c r="F8" s="577"/>
      <c r="G8" s="577"/>
      <c r="H8" s="577"/>
      <c r="I8" s="578"/>
      <c r="J8" s="555" t="s">
        <v>254</v>
      </c>
      <c r="K8" s="556"/>
      <c r="L8" s="557"/>
      <c r="M8" s="555" t="s">
        <v>273</v>
      </c>
      <c r="N8" s="556"/>
      <c r="O8" s="557"/>
    </row>
    <row r="9" spans="1:15" ht="110.25" customHeight="1">
      <c r="B9" s="573" t="str">
        <f>+'Introducerea datelor'!B36</f>
        <v>F2: Bugetul și cheltuielile actuale după Obiectivele Grantului</v>
      </c>
      <c r="C9" s="574"/>
      <c r="D9" s="575"/>
      <c r="E9" s="563" t="s">
        <v>262</v>
      </c>
      <c r="F9" s="564"/>
      <c r="G9" s="564"/>
      <c r="H9" s="564"/>
      <c r="I9" s="565"/>
      <c r="J9" s="555" t="s">
        <v>256</v>
      </c>
      <c r="K9" s="556"/>
      <c r="L9" s="557"/>
      <c r="M9" s="555" t="s">
        <v>273</v>
      </c>
      <c r="N9" s="556"/>
      <c r="O9" s="557"/>
    </row>
    <row r="10" spans="1:15" ht="231.75" customHeight="1">
      <c r="B10" s="558" t="str">
        <f>+'Introducerea datelor'!B48</f>
        <v>F3: Debursări și cheltuieli</v>
      </c>
      <c r="C10" s="561"/>
      <c r="D10" s="562"/>
      <c r="E10" s="563" t="s">
        <v>274</v>
      </c>
      <c r="F10" s="564"/>
      <c r="G10" s="564"/>
      <c r="H10" s="564"/>
      <c r="I10" s="565"/>
      <c r="J10" s="555" t="s">
        <v>263</v>
      </c>
      <c r="K10" s="556"/>
      <c r="L10" s="557"/>
      <c r="M10" s="555" t="s">
        <v>255</v>
      </c>
      <c r="N10" s="556"/>
      <c r="O10" s="557"/>
    </row>
    <row r="11" spans="1:15" ht="279.75" customHeight="1">
      <c r="B11" s="558" t="str">
        <f>+'Introducerea datelor'!B57</f>
        <v xml:space="preserve">F4: Ultima perioadă de raportare și debursare a RP </v>
      </c>
      <c r="C11" s="559"/>
      <c r="D11" s="560"/>
      <c r="E11" s="563" t="s">
        <v>277</v>
      </c>
      <c r="F11" s="564"/>
      <c r="G11" s="564"/>
      <c r="H11" s="564"/>
      <c r="I11" s="565"/>
      <c r="J11" s="555" t="s">
        <v>264</v>
      </c>
      <c r="K11" s="556"/>
      <c r="L11" s="557"/>
      <c r="M11" s="555" t="s">
        <v>222</v>
      </c>
      <c r="N11" s="556"/>
      <c r="O11" s="557"/>
    </row>
    <row r="12" spans="1:15" s="19" customFormat="1">
      <c r="B12" s="566"/>
      <c r="C12" s="566"/>
      <c r="D12" s="566"/>
      <c r="E12" s="554"/>
      <c r="F12" s="554"/>
      <c r="G12" s="554"/>
      <c r="H12" s="554"/>
      <c r="I12" s="554"/>
      <c r="J12" s="554"/>
      <c r="K12" s="554"/>
      <c r="L12" s="554"/>
      <c r="M12" s="554"/>
      <c r="N12" s="554"/>
      <c r="O12" s="554"/>
    </row>
    <row r="13" spans="1:15" s="19" customFormat="1" ht="9" customHeight="1">
      <c r="B13" s="567"/>
      <c r="C13" s="567"/>
      <c r="D13" s="567"/>
      <c r="E13" s="553"/>
      <c r="F13" s="553"/>
      <c r="G13" s="553"/>
      <c r="H13" s="553"/>
      <c r="I13" s="553"/>
      <c r="J13" s="553"/>
      <c r="K13" s="553"/>
      <c r="L13" s="553"/>
      <c r="M13" s="553"/>
      <c r="N13" s="553"/>
      <c r="O13" s="553"/>
    </row>
    <row r="14" spans="1:15" s="19" customFormat="1" ht="9.75" customHeight="1">
      <c r="B14" s="567"/>
      <c r="C14" s="567"/>
      <c r="D14" s="567"/>
      <c r="E14" s="553"/>
      <c r="F14" s="553"/>
      <c r="G14" s="553"/>
      <c r="H14" s="553"/>
      <c r="I14" s="553"/>
      <c r="J14" s="553"/>
      <c r="K14" s="553"/>
      <c r="L14" s="553"/>
      <c r="M14" s="553"/>
      <c r="N14" s="553"/>
      <c r="O14" s="553"/>
    </row>
    <row r="15" spans="1:15" s="19" customFormat="1">
      <c r="B15" s="567"/>
      <c r="C15" s="567"/>
      <c r="D15" s="567"/>
      <c r="E15" s="553"/>
      <c r="F15" s="553"/>
      <c r="G15" s="553"/>
      <c r="H15" s="553"/>
      <c r="I15" s="553"/>
      <c r="J15" s="553"/>
      <c r="K15" s="553"/>
      <c r="L15" s="553"/>
      <c r="M15" s="553"/>
      <c r="N15" s="553"/>
      <c r="O15" s="553"/>
    </row>
    <row r="16" spans="1:15" ht="18" customHeight="1">
      <c r="B16" s="569" t="s">
        <v>229</v>
      </c>
      <c r="C16" s="569"/>
      <c r="D16" s="569"/>
      <c r="E16" s="569"/>
      <c r="F16" s="569"/>
      <c r="G16" s="569"/>
      <c r="H16" s="569"/>
      <c r="I16" s="569"/>
      <c r="J16" s="569"/>
      <c r="K16" s="569"/>
      <c r="L16" s="569"/>
      <c r="M16" s="569"/>
      <c r="N16" s="569"/>
      <c r="O16" s="569"/>
    </row>
    <row r="17" spans="1:15" ht="9" customHeight="1"/>
    <row r="18" spans="1:15" ht="21">
      <c r="B18" s="579" t="s">
        <v>217</v>
      </c>
      <c r="C18" s="580"/>
      <c r="D18" s="581"/>
      <c r="E18" s="579" t="s">
        <v>218</v>
      </c>
      <c r="F18" s="580"/>
      <c r="G18" s="580"/>
      <c r="H18" s="580"/>
      <c r="I18" s="581"/>
      <c r="J18" s="579" t="s">
        <v>219</v>
      </c>
      <c r="K18" s="580"/>
      <c r="L18" s="581"/>
      <c r="M18" s="579" t="s">
        <v>220</v>
      </c>
      <c r="N18" s="580"/>
      <c r="O18" s="581"/>
    </row>
    <row r="19" spans="1:15" ht="114" customHeight="1">
      <c r="B19" s="573" t="str">
        <f>+'Introducerea datelor'!B68</f>
        <v xml:space="preserve">M1: Statutul Condițiilor Precedente și a Acțiunilor Prestabilite în Timp </v>
      </c>
      <c r="C19" s="582"/>
      <c r="D19" s="583"/>
      <c r="E19" s="563" t="s">
        <v>227</v>
      </c>
      <c r="F19" s="564"/>
      <c r="G19" s="564"/>
      <c r="H19" s="564"/>
      <c r="I19" s="565"/>
      <c r="J19" s="555" t="s">
        <v>257</v>
      </c>
      <c r="K19" s="556"/>
      <c r="L19" s="557"/>
      <c r="M19" s="555" t="s">
        <v>258</v>
      </c>
      <c r="N19" s="556"/>
      <c r="O19" s="557"/>
    </row>
    <row r="20" spans="1:15" ht="91.5" customHeight="1">
      <c r="B20" s="573" t="str">
        <f>+'Introducerea datelor'!B75</f>
        <v xml:space="preserve">M2: Statutul pozițiilor cheie a RP </v>
      </c>
      <c r="C20" s="582"/>
      <c r="D20" s="583"/>
      <c r="E20" s="563" t="s">
        <v>275</v>
      </c>
      <c r="F20" s="564"/>
      <c r="G20" s="564"/>
      <c r="H20" s="564"/>
      <c r="I20" s="565"/>
      <c r="J20" s="555" t="s">
        <v>224</v>
      </c>
      <c r="K20" s="556"/>
      <c r="L20" s="557"/>
      <c r="M20" s="555" t="s">
        <v>223</v>
      </c>
      <c r="N20" s="556"/>
      <c r="O20" s="557"/>
    </row>
    <row r="21" spans="1:15" ht="171.75" customHeight="1">
      <c r="B21" s="573" t="str">
        <f>+'Introducerea datelor'!B80</f>
        <v xml:space="preserve">M3: Aranjamente contractuale (SR) </v>
      </c>
      <c r="C21" s="582"/>
      <c r="D21" s="583"/>
      <c r="E21" s="587" t="s">
        <v>0</v>
      </c>
      <c r="F21" s="564"/>
      <c r="G21" s="564"/>
      <c r="H21" s="564"/>
      <c r="I21" s="565"/>
      <c r="J21" s="555" t="s">
        <v>259</v>
      </c>
      <c r="K21" s="556"/>
      <c r="L21" s="557"/>
      <c r="M21" s="555" t="s">
        <v>260</v>
      </c>
      <c r="N21" s="556"/>
      <c r="O21" s="557"/>
    </row>
    <row r="22" spans="1:15" ht="74.25" customHeight="1">
      <c r="B22" s="573" t="str">
        <f>+'Introducerea datelor'!B85</f>
        <v>M4: Numărul rapoartelor complete recepționate la timp</v>
      </c>
      <c r="C22" s="582"/>
      <c r="D22" s="583"/>
      <c r="E22" s="587" t="s">
        <v>278</v>
      </c>
      <c r="F22" s="612"/>
      <c r="G22" s="612"/>
      <c r="H22" s="612"/>
      <c r="I22" s="613"/>
      <c r="J22" s="555" t="s">
        <v>265</v>
      </c>
      <c r="K22" s="556"/>
      <c r="L22" s="557"/>
      <c r="M22" s="555" t="s">
        <v>225</v>
      </c>
      <c r="N22" s="556"/>
      <c r="O22" s="557"/>
    </row>
    <row r="23" spans="1:15" ht="135" customHeight="1">
      <c r="B23" s="597" t="str">
        <f>+'Introducerea datelor'!B91</f>
        <v xml:space="preserve">M5: Bugetul și Procurarea produselor medicale, echipamentului medical, medicamentelor și produselor farmaceutice </v>
      </c>
      <c r="C23" s="598"/>
      <c r="D23" s="599"/>
      <c r="E23" s="584" t="s">
        <v>266</v>
      </c>
      <c r="F23" s="585"/>
      <c r="G23" s="585"/>
      <c r="H23" s="585"/>
      <c r="I23" s="586"/>
      <c r="J23" s="606" t="s">
        <v>221</v>
      </c>
      <c r="K23" s="607"/>
      <c r="L23" s="608"/>
      <c r="M23" s="606" t="s">
        <v>226</v>
      </c>
      <c r="N23" s="607"/>
      <c r="O23" s="608"/>
    </row>
    <row r="24" spans="1:15" ht="97.5" customHeight="1">
      <c r="B24" s="600"/>
      <c r="C24" s="601"/>
      <c r="D24" s="602"/>
      <c r="E24" s="603" t="s">
        <v>261</v>
      </c>
      <c r="F24" s="604"/>
      <c r="G24" s="604"/>
      <c r="H24" s="604"/>
      <c r="I24" s="605"/>
      <c r="J24" s="609"/>
      <c r="K24" s="610"/>
      <c r="L24" s="611"/>
      <c r="M24" s="609"/>
      <c r="N24" s="610"/>
      <c r="O24" s="611"/>
    </row>
    <row r="25" spans="1:15" ht="196.5" customHeight="1">
      <c r="B25" s="573" t="str">
        <f>+'Introducerea datelor'!B104</f>
        <v>M6: Diferență între stocul curent și stocul de siguranță</v>
      </c>
      <c r="C25" s="582"/>
      <c r="D25" s="583"/>
      <c r="E25" s="588" t="s">
        <v>279</v>
      </c>
      <c r="F25" s="589"/>
      <c r="G25" s="589"/>
      <c r="H25" s="589"/>
      <c r="I25" s="590"/>
      <c r="J25" s="591" t="s">
        <v>267</v>
      </c>
      <c r="K25" s="592"/>
      <c r="L25" s="593"/>
      <c r="M25" s="594" t="s">
        <v>268</v>
      </c>
      <c r="N25" s="595"/>
      <c r="O25" s="596"/>
    </row>
    <row r="26" spans="1:15" ht="11.25" customHeight="1"/>
    <row r="28" spans="1:15" ht="7.5" customHeight="1"/>
    <row r="29" spans="1:15" ht="9.75" customHeight="1">
      <c r="B29" s="207"/>
    </row>
    <row r="30" spans="1:15" ht="21" customHeight="1">
      <c r="B30" s="569" t="s">
        <v>424</v>
      </c>
      <c r="C30" s="569"/>
      <c r="D30" s="569"/>
      <c r="E30" s="569"/>
      <c r="F30" s="569"/>
      <c r="G30" s="569"/>
      <c r="H30" s="569"/>
      <c r="I30" s="569"/>
      <c r="J30" s="569"/>
      <c r="K30" s="569"/>
      <c r="L30" s="569"/>
      <c r="M30" s="569"/>
      <c r="N30" s="569"/>
      <c r="O30" s="569"/>
    </row>
    <row r="31" spans="1:15" ht="12.75" customHeight="1"/>
    <row r="32" spans="1:15" ht="28.5" customHeight="1">
      <c r="A32" s="204"/>
      <c r="B32" s="617" t="s">
        <v>252</v>
      </c>
      <c r="C32" s="618"/>
      <c r="D32" s="619"/>
      <c r="E32" s="620" t="s">
        <v>458</v>
      </c>
      <c r="F32" s="621"/>
      <c r="G32" s="621"/>
      <c r="H32" s="621"/>
      <c r="I32" s="622"/>
      <c r="J32" s="620" t="s">
        <v>412</v>
      </c>
      <c r="K32" s="621"/>
      <c r="L32" s="622"/>
      <c r="M32" s="620" t="s">
        <v>413</v>
      </c>
      <c r="N32" s="621"/>
      <c r="O32" s="622"/>
    </row>
    <row r="33" spans="1:15" ht="66.75" customHeight="1">
      <c r="A33" s="205"/>
      <c r="B33" s="623" t="s">
        <v>446</v>
      </c>
      <c r="C33" s="624"/>
      <c r="D33" s="625"/>
      <c r="E33" s="641" t="s">
        <v>416</v>
      </c>
      <c r="F33" s="642"/>
      <c r="G33" s="642"/>
      <c r="H33" s="642"/>
      <c r="I33" s="643"/>
      <c r="J33" s="626" t="s">
        <v>414</v>
      </c>
      <c r="K33" s="627"/>
      <c r="L33" s="628"/>
      <c r="M33" s="626" t="s">
        <v>415</v>
      </c>
      <c r="N33" s="627"/>
      <c r="O33" s="628"/>
    </row>
    <row r="34" spans="1:15" ht="63" customHeight="1">
      <c r="A34" s="205"/>
      <c r="B34" s="623" t="s">
        <v>448</v>
      </c>
      <c r="C34" s="624"/>
      <c r="D34" s="625"/>
      <c r="E34" s="641" t="s">
        <v>461</v>
      </c>
      <c r="F34" s="642"/>
      <c r="G34" s="642"/>
      <c r="H34" s="642"/>
      <c r="I34" s="643"/>
      <c r="J34" s="626" t="s">
        <v>414</v>
      </c>
      <c r="K34" s="627"/>
      <c r="L34" s="628"/>
      <c r="M34" s="644" t="s">
        <v>459</v>
      </c>
      <c r="N34" s="645"/>
      <c r="O34" s="646"/>
    </row>
    <row r="35" spans="1:15" ht="69" customHeight="1">
      <c r="A35" s="205"/>
      <c r="B35" s="623" t="s">
        <v>447</v>
      </c>
      <c r="C35" s="624"/>
      <c r="D35" s="625"/>
      <c r="E35" s="641" t="s">
        <v>462</v>
      </c>
      <c r="F35" s="642"/>
      <c r="G35" s="642"/>
      <c r="H35" s="642"/>
      <c r="I35" s="643"/>
      <c r="J35" s="626" t="s">
        <v>414</v>
      </c>
      <c r="K35" s="627"/>
      <c r="L35" s="628"/>
      <c r="M35" s="644" t="s">
        <v>460</v>
      </c>
      <c r="N35" s="645"/>
      <c r="O35" s="646"/>
    </row>
    <row r="36" spans="1:15" ht="9.75" customHeight="1">
      <c r="A36" s="205"/>
      <c r="B36" s="638"/>
      <c r="C36" s="639"/>
      <c r="D36" s="640"/>
      <c r="E36" s="416"/>
      <c r="F36" s="414"/>
      <c r="G36" s="414"/>
      <c r="H36" s="414"/>
      <c r="I36" s="415"/>
      <c r="J36" s="416"/>
      <c r="K36" s="417"/>
      <c r="L36" s="418"/>
      <c r="M36" s="416"/>
      <c r="N36" s="417"/>
      <c r="O36" s="418"/>
    </row>
    <row r="37" spans="1:15" ht="76.5" customHeight="1">
      <c r="A37" s="205"/>
      <c r="B37" s="623" t="s">
        <v>449</v>
      </c>
      <c r="C37" s="624"/>
      <c r="D37" s="625"/>
      <c r="E37" s="626" t="s">
        <v>475</v>
      </c>
      <c r="F37" s="647"/>
      <c r="G37" s="647"/>
      <c r="H37" s="647"/>
      <c r="I37" s="648"/>
      <c r="J37" s="626" t="s">
        <v>426</v>
      </c>
      <c r="K37" s="627"/>
      <c r="L37" s="628"/>
      <c r="M37" s="626" t="s">
        <v>460</v>
      </c>
      <c r="N37" s="627"/>
      <c r="O37" s="628"/>
    </row>
    <row r="38" spans="1:15" ht="69" customHeight="1">
      <c r="A38" s="205"/>
      <c r="B38" s="623" t="s">
        <v>450</v>
      </c>
      <c r="C38" s="624"/>
      <c r="D38" s="625"/>
      <c r="E38" s="626" t="s">
        <v>464</v>
      </c>
      <c r="F38" s="627"/>
      <c r="G38" s="627"/>
      <c r="H38" s="627"/>
      <c r="I38" s="628"/>
      <c r="J38" s="626" t="s">
        <v>426</v>
      </c>
      <c r="K38" s="627"/>
      <c r="L38" s="628"/>
      <c r="M38" s="626" t="s">
        <v>470</v>
      </c>
      <c r="N38" s="627"/>
      <c r="O38" s="628"/>
    </row>
    <row r="39" spans="1:15" ht="69" customHeight="1">
      <c r="A39" s="205"/>
      <c r="B39" s="623" t="s">
        <v>451</v>
      </c>
      <c r="C39" s="624"/>
      <c r="D39" s="625"/>
      <c r="E39" s="626" t="s">
        <v>468</v>
      </c>
      <c r="F39" s="627"/>
      <c r="G39" s="627"/>
      <c r="H39" s="627"/>
      <c r="I39" s="628"/>
      <c r="J39" s="626" t="s">
        <v>426</v>
      </c>
      <c r="K39" s="627"/>
      <c r="L39" s="628"/>
      <c r="M39" s="626" t="s">
        <v>470</v>
      </c>
      <c r="N39" s="627"/>
      <c r="O39" s="628"/>
    </row>
    <row r="40" spans="1:15" ht="64.5" customHeight="1">
      <c r="A40" s="205"/>
      <c r="B40" s="623" t="s">
        <v>452</v>
      </c>
      <c r="C40" s="624"/>
      <c r="D40" s="625"/>
      <c r="E40" s="626" t="s">
        <v>476</v>
      </c>
      <c r="F40" s="627"/>
      <c r="G40" s="627"/>
      <c r="H40" s="627"/>
      <c r="I40" s="628"/>
      <c r="J40" s="626" t="s">
        <v>426</v>
      </c>
      <c r="K40" s="627"/>
      <c r="L40" s="628"/>
      <c r="M40" s="626" t="s">
        <v>470</v>
      </c>
      <c r="N40" s="627"/>
      <c r="O40" s="628"/>
    </row>
    <row r="41" spans="1:15" ht="9.75" customHeight="1">
      <c r="A41" s="205"/>
      <c r="B41" s="638"/>
      <c r="C41" s="639"/>
      <c r="D41" s="640"/>
      <c r="E41" s="416"/>
      <c r="F41" s="515"/>
      <c r="G41" s="515"/>
      <c r="H41" s="515"/>
      <c r="I41" s="516"/>
      <c r="J41" s="416"/>
      <c r="K41" s="417"/>
      <c r="L41" s="418"/>
      <c r="M41" s="416"/>
      <c r="N41" s="417"/>
      <c r="O41" s="418"/>
    </row>
    <row r="42" spans="1:15" ht="90" customHeight="1">
      <c r="A42" s="205"/>
      <c r="B42" s="623" t="s">
        <v>453</v>
      </c>
      <c r="C42" s="624"/>
      <c r="D42" s="625"/>
      <c r="E42" s="626" t="s">
        <v>465</v>
      </c>
      <c r="F42" s="627"/>
      <c r="G42" s="627"/>
      <c r="H42" s="627"/>
      <c r="I42" s="628"/>
      <c r="J42" s="626" t="s">
        <v>427</v>
      </c>
      <c r="K42" s="627"/>
      <c r="L42" s="628"/>
      <c r="M42" s="626" t="s">
        <v>471</v>
      </c>
      <c r="N42" s="627"/>
      <c r="O42" s="628"/>
    </row>
    <row r="43" spans="1:15" ht="55.5" customHeight="1">
      <c r="A43" s="205"/>
      <c r="B43" s="623" t="s">
        <v>454</v>
      </c>
      <c r="C43" s="624"/>
      <c r="D43" s="625"/>
      <c r="E43" s="626" t="s">
        <v>469</v>
      </c>
      <c r="F43" s="627"/>
      <c r="G43" s="627"/>
      <c r="H43" s="627"/>
      <c r="I43" s="628"/>
      <c r="J43" s="626" t="s">
        <v>427</v>
      </c>
      <c r="K43" s="627"/>
      <c r="L43" s="628"/>
      <c r="M43" s="649" t="s">
        <v>474</v>
      </c>
      <c r="N43" s="650"/>
      <c r="O43" s="651"/>
    </row>
    <row r="44" spans="1:15" ht="68.25" customHeight="1">
      <c r="A44" s="205"/>
      <c r="B44" s="623" t="s">
        <v>455</v>
      </c>
      <c r="C44" s="624"/>
      <c r="D44" s="625"/>
      <c r="E44" s="626" t="s">
        <v>467</v>
      </c>
      <c r="F44" s="627"/>
      <c r="G44" s="627"/>
      <c r="H44" s="627"/>
      <c r="I44" s="628"/>
      <c r="J44" s="626" t="s">
        <v>427</v>
      </c>
      <c r="K44" s="627"/>
      <c r="L44" s="628"/>
      <c r="M44" s="626" t="s">
        <v>472</v>
      </c>
      <c r="N44" s="627"/>
      <c r="O44" s="628"/>
    </row>
    <row r="45" spans="1:15" ht="52.5" customHeight="1">
      <c r="B45" s="623" t="s">
        <v>456</v>
      </c>
      <c r="C45" s="624"/>
      <c r="D45" s="625"/>
      <c r="E45" s="626" t="s">
        <v>466</v>
      </c>
      <c r="F45" s="627"/>
      <c r="G45" s="627"/>
      <c r="H45" s="627"/>
      <c r="I45" s="628"/>
      <c r="J45" s="626" t="s">
        <v>427</v>
      </c>
      <c r="K45" s="627"/>
      <c r="L45" s="628"/>
      <c r="M45" s="626" t="s">
        <v>473</v>
      </c>
      <c r="N45" s="627"/>
      <c r="O45" s="628"/>
    </row>
    <row r="46" spans="1:15" ht="44.25" customHeight="1">
      <c r="B46" s="632" t="s">
        <v>236</v>
      </c>
      <c r="C46" s="633"/>
      <c r="D46" s="634"/>
      <c r="E46" s="635" t="s">
        <v>218</v>
      </c>
      <c r="F46" s="636"/>
      <c r="G46" s="636"/>
      <c r="H46" s="636"/>
      <c r="I46" s="637"/>
      <c r="J46" s="635" t="s">
        <v>219</v>
      </c>
      <c r="K46" s="636"/>
      <c r="L46" s="637"/>
      <c r="M46" s="635" t="s">
        <v>220</v>
      </c>
      <c r="N46" s="636"/>
      <c r="O46" s="637"/>
    </row>
    <row r="47" spans="1:15" ht="33.75" customHeight="1">
      <c r="B47" s="201"/>
      <c r="C47" s="202"/>
      <c r="D47" s="202"/>
      <c r="E47" s="196"/>
      <c r="F47" s="198"/>
      <c r="G47" s="198"/>
      <c r="H47" s="198"/>
      <c r="I47" s="198"/>
      <c r="J47" s="196"/>
      <c r="K47" s="196"/>
      <c r="L47" s="197"/>
      <c r="M47" s="195"/>
      <c r="N47" s="196"/>
      <c r="O47" s="197"/>
    </row>
    <row r="48" spans="1:15" ht="15.75" customHeight="1">
      <c r="B48" s="629" t="s">
        <v>235</v>
      </c>
      <c r="C48" s="630"/>
      <c r="D48" s="630"/>
      <c r="E48" s="630"/>
      <c r="F48" s="630"/>
      <c r="G48" s="630"/>
      <c r="H48" s="630"/>
      <c r="I48" s="630"/>
      <c r="J48" s="630"/>
      <c r="K48" s="630"/>
      <c r="L48" s="631"/>
      <c r="M48" s="614" t="s">
        <v>230</v>
      </c>
      <c r="N48" s="615"/>
      <c r="O48" s="616"/>
    </row>
    <row r="49" spans="4:4">
      <c r="D49" s="183"/>
    </row>
    <row r="51" spans="4:4">
      <c r="D51" s="183"/>
    </row>
    <row r="52" spans="4:4">
      <c r="D52" s="183"/>
    </row>
  </sheetData>
  <mergeCells count="125">
    <mergeCell ref="M32:O32"/>
    <mergeCell ref="J43:L43"/>
    <mergeCell ref="M33:O33"/>
    <mergeCell ref="E33:I33"/>
    <mergeCell ref="B34:D34"/>
    <mergeCell ref="B35:D35"/>
    <mergeCell ref="E35:I35"/>
    <mergeCell ref="J35:L35"/>
    <mergeCell ref="M35:O35"/>
    <mergeCell ref="B37:D37"/>
    <mergeCell ref="B38:D38"/>
    <mergeCell ref="E37:I37"/>
    <mergeCell ref="E38:I38"/>
    <mergeCell ref="J37:L37"/>
    <mergeCell ref="J38:L38"/>
    <mergeCell ref="M43:O43"/>
    <mergeCell ref="M34:O34"/>
    <mergeCell ref="B36:D36"/>
    <mergeCell ref="E34:I34"/>
    <mergeCell ref="J34:L34"/>
    <mergeCell ref="J33:L33"/>
    <mergeCell ref="M44:O44"/>
    <mergeCell ref="M45:O45"/>
    <mergeCell ref="B39:D39"/>
    <mergeCell ref="E39:I39"/>
    <mergeCell ref="J39:L39"/>
    <mergeCell ref="M39:O39"/>
    <mergeCell ref="M40:O40"/>
    <mergeCell ref="M46:O46"/>
    <mergeCell ref="E43:I43"/>
    <mergeCell ref="B41:D41"/>
    <mergeCell ref="B43:D43"/>
    <mergeCell ref="B40:D40"/>
    <mergeCell ref="M48:O48"/>
    <mergeCell ref="B30:O30"/>
    <mergeCell ref="B32:D32"/>
    <mergeCell ref="E32:I32"/>
    <mergeCell ref="J32:L32"/>
    <mergeCell ref="B33:D33"/>
    <mergeCell ref="B45:D45"/>
    <mergeCell ref="J40:L40"/>
    <mergeCell ref="B44:D44"/>
    <mergeCell ref="E44:I44"/>
    <mergeCell ref="E45:I45"/>
    <mergeCell ref="J45:L45"/>
    <mergeCell ref="J44:L44"/>
    <mergeCell ref="M37:O37"/>
    <mergeCell ref="M38:O38"/>
    <mergeCell ref="M42:O42"/>
    <mergeCell ref="J42:L42"/>
    <mergeCell ref="E40:I40"/>
    <mergeCell ref="B42:D42"/>
    <mergeCell ref="E42:I42"/>
    <mergeCell ref="B48:L48"/>
    <mergeCell ref="B46:D46"/>
    <mergeCell ref="E46:I46"/>
    <mergeCell ref="J46:L46"/>
    <mergeCell ref="E23:I23"/>
    <mergeCell ref="J22:L22"/>
    <mergeCell ref="B22:D22"/>
    <mergeCell ref="E21:I21"/>
    <mergeCell ref="E25:I25"/>
    <mergeCell ref="J25:L25"/>
    <mergeCell ref="M25:O25"/>
    <mergeCell ref="M22:O22"/>
    <mergeCell ref="B23:D24"/>
    <mergeCell ref="E24:I24"/>
    <mergeCell ref="J23:L24"/>
    <mergeCell ref="E22:I22"/>
    <mergeCell ref="B25:D25"/>
    <mergeCell ref="M23:O24"/>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19:O19"/>
    <mergeCell ref="E19:I19"/>
    <mergeCell ref="J19:L19"/>
    <mergeCell ref="B19:D19"/>
    <mergeCell ref="M20:O20"/>
    <mergeCell ref="E20:I20"/>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s>
  <phoneticPr fontId="23" type="noConversion"/>
  <pageMargins left="0.70866141732283472" right="0.70866141732283472" top="0.74803149606299213" bottom="0.74803149606299213" header="0.31496062992125984" footer="0.31496062992125984"/>
  <pageSetup paperSize="9" scale="51"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AJ150"/>
  <sheetViews>
    <sheetView showGridLines="0" tabSelected="1" view="pageBreakPreview" topLeftCell="A120" zoomScale="75" zoomScaleNormal="75" zoomScaleSheetLayoutView="75" workbookViewId="0">
      <selection activeCell="E34" sqref="E34"/>
    </sheetView>
  </sheetViews>
  <sheetFormatPr defaultColWidth="11" defaultRowHeight="15"/>
  <cols>
    <col min="1" max="1" width="2.7109375" customWidth="1"/>
    <col min="2" max="2" width="48" customWidth="1"/>
    <col min="3" max="3" width="23" customWidth="1"/>
    <col min="4" max="4" width="19.140625" customWidth="1"/>
    <col min="5" max="5" width="18.710937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7" t="s">
        <v>282</v>
      </c>
      <c r="C2" s="697"/>
      <c r="D2" s="697"/>
      <c r="E2" s="697"/>
      <c r="F2" s="697"/>
      <c r="G2" s="697"/>
      <c r="H2" s="697"/>
      <c r="I2" s="697"/>
      <c r="J2" s="697"/>
      <c r="K2" s="225"/>
      <c r="L2" s="225"/>
      <c r="M2" s="225"/>
    </row>
    <row r="3" spans="1:13" ht="4.5" customHeight="1">
      <c r="A3" s="3"/>
      <c r="B3" s="3"/>
      <c r="C3" s="3"/>
      <c r="D3" s="3"/>
      <c r="E3" s="3"/>
      <c r="F3" s="3"/>
      <c r="G3" s="3"/>
      <c r="H3" s="3"/>
      <c r="I3" s="3"/>
      <c r="J3" s="3"/>
      <c r="K3" s="3"/>
      <c r="L3" s="3"/>
      <c r="M3" s="3"/>
    </row>
    <row r="4" spans="1:13" ht="34.5" customHeight="1">
      <c r="A4" s="3"/>
      <c r="B4" s="224" t="s">
        <v>283</v>
      </c>
      <c r="C4" s="742" t="s">
        <v>157</v>
      </c>
      <c r="D4" s="743"/>
      <c r="E4" s="724" t="s">
        <v>287</v>
      </c>
      <c r="F4" s="724"/>
      <c r="G4" s="744" t="s">
        <v>309</v>
      </c>
      <c r="H4" s="745"/>
      <c r="I4" s="745"/>
      <c r="J4" s="746"/>
      <c r="K4" s="3"/>
      <c r="L4" s="3"/>
      <c r="M4" s="3"/>
    </row>
    <row r="5" spans="1:13" ht="3" customHeight="1">
      <c r="A5" s="3"/>
      <c r="B5" s="224"/>
      <c r="C5" s="3"/>
      <c r="D5" s="3"/>
      <c r="E5" s="226"/>
      <c r="F5" s="226"/>
      <c r="G5" s="3"/>
      <c r="H5" s="3"/>
      <c r="I5" s="3"/>
      <c r="J5" s="3"/>
      <c r="K5" s="3"/>
      <c r="L5" s="3"/>
      <c r="M5" s="3"/>
    </row>
    <row r="6" spans="1:13">
      <c r="A6" s="3"/>
      <c r="B6" s="224" t="s">
        <v>284</v>
      </c>
      <c r="C6" s="742" t="s">
        <v>477</v>
      </c>
      <c r="D6" s="743"/>
      <c r="E6" s="724" t="s">
        <v>288</v>
      </c>
      <c r="F6" s="724"/>
      <c r="G6" s="247" t="s">
        <v>15</v>
      </c>
      <c r="H6" s="224" t="s">
        <v>289</v>
      </c>
      <c r="I6" s="751">
        <v>7957826</v>
      </c>
      <c r="J6" s="752"/>
      <c r="K6" s="3"/>
      <c r="L6" s="3"/>
      <c r="M6" s="3"/>
    </row>
    <row r="7" spans="1:13" ht="3" customHeight="1">
      <c r="A7" s="3"/>
      <c r="B7" s="224"/>
      <c r="C7" s="3"/>
      <c r="D7" s="3"/>
      <c r="E7" s="226"/>
      <c r="F7" s="226"/>
      <c r="G7" s="3"/>
      <c r="H7" s="224"/>
      <c r="I7" s="3"/>
      <c r="J7" s="3"/>
      <c r="K7" s="3"/>
      <c r="L7" s="3"/>
      <c r="M7" s="3"/>
    </row>
    <row r="8" spans="1:13">
      <c r="A8" s="3"/>
      <c r="B8" s="224" t="s">
        <v>285</v>
      </c>
      <c r="C8" s="742" t="s">
        <v>431</v>
      </c>
      <c r="D8" s="743"/>
      <c r="E8" s="227"/>
      <c r="F8" s="223" t="s">
        <v>290</v>
      </c>
      <c r="G8" s="309" t="s">
        <v>270</v>
      </c>
      <c r="H8" s="223" t="s">
        <v>291</v>
      </c>
      <c r="I8" s="742" t="s">
        <v>478</v>
      </c>
      <c r="J8" s="743"/>
      <c r="K8" s="3"/>
      <c r="L8" s="3"/>
      <c r="M8" s="3"/>
    </row>
    <row r="9" spans="1:13" ht="3" customHeight="1">
      <c r="A9" s="3"/>
      <c r="B9" s="226"/>
      <c r="C9" s="3"/>
      <c r="D9" s="3"/>
      <c r="E9" s="226"/>
      <c r="F9" s="226"/>
      <c r="G9" s="3"/>
      <c r="H9" s="3"/>
      <c r="I9" s="3"/>
      <c r="J9" s="3"/>
      <c r="K9" s="3"/>
      <c r="L9" s="3"/>
      <c r="M9" s="3"/>
    </row>
    <row r="10" spans="1:13">
      <c r="A10" s="3"/>
      <c r="B10" s="224" t="s">
        <v>373</v>
      </c>
      <c r="C10" s="749">
        <v>42186</v>
      </c>
      <c r="D10" s="750"/>
      <c r="E10" s="698" t="s">
        <v>292</v>
      </c>
      <c r="F10" s="695"/>
      <c r="G10" s="742" t="s">
        <v>37</v>
      </c>
      <c r="H10" s="754"/>
      <c r="I10" s="754"/>
      <c r="J10" s="743"/>
      <c r="K10" s="3"/>
      <c r="L10" s="3"/>
      <c r="M10" s="3"/>
    </row>
    <row r="11" spans="1:13" ht="5.25" customHeight="1">
      <c r="A11" s="3"/>
      <c r="B11" s="3"/>
      <c r="C11" s="3"/>
      <c r="D11" s="3"/>
      <c r="E11" s="3"/>
      <c r="F11" s="3"/>
      <c r="G11" s="3"/>
      <c r="H11" s="3"/>
      <c r="I11" s="3"/>
      <c r="J11" s="3"/>
      <c r="K11" s="3"/>
      <c r="L11" s="3"/>
      <c r="M11" s="3"/>
    </row>
    <row r="12" spans="1:13" ht="15" customHeight="1">
      <c r="A12" s="3"/>
      <c r="B12" s="224" t="s">
        <v>286</v>
      </c>
      <c r="C12" s="755" t="s">
        <v>25</v>
      </c>
      <c r="D12" s="755"/>
      <c r="E12" s="698" t="s">
        <v>233</v>
      </c>
      <c r="F12" s="724"/>
      <c r="G12" s="753" t="s">
        <v>432</v>
      </c>
      <c r="H12" s="753"/>
      <c r="I12" s="753"/>
      <c r="J12" s="753"/>
      <c r="K12" s="3"/>
      <c r="L12" s="3"/>
      <c r="M12" s="3"/>
    </row>
    <row r="13" spans="1:13" ht="5.25" customHeight="1">
      <c r="A13" s="3"/>
      <c r="B13" s="3"/>
      <c r="C13" s="3"/>
      <c r="D13" s="3"/>
      <c r="E13" s="3"/>
      <c r="F13" s="3"/>
      <c r="G13" s="3"/>
      <c r="H13" s="3"/>
      <c r="I13" s="3"/>
      <c r="J13" s="3"/>
      <c r="K13" s="3"/>
      <c r="L13" s="3"/>
      <c r="M13" s="3"/>
    </row>
    <row r="14" spans="1:13" ht="15.75" customHeight="1">
      <c r="A14" s="3"/>
      <c r="B14" s="697" t="s">
        <v>293</v>
      </c>
      <c r="C14" s="697"/>
      <c r="D14" s="697"/>
      <c r="E14" s="697"/>
      <c r="F14" s="697"/>
      <c r="G14" s="697"/>
      <c r="H14" s="697"/>
      <c r="I14" s="697"/>
      <c r="J14" s="697"/>
      <c r="K14" s="3"/>
      <c r="L14" s="3"/>
      <c r="M14" s="3"/>
    </row>
    <row r="15" spans="1:13" ht="3" customHeight="1">
      <c r="A15" s="3"/>
      <c r="B15" s="3"/>
      <c r="C15" s="3"/>
      <c r="D15" s="3"/>
      <c r="E15" s="3"/>
      <c r="F15" s="3"/>
      <c r="G15" s="3"/>
      <c r="H15" s="3"/>
      <c r="I15" s="3"/>
      <c r="J15" s="3"/>
      <c r="K15" s="3"/>
      <c r="L15" s="3"/>
      <c r="M15" s="3"/>
    </row>
    <row r="16" spans="1:13" s="35" customFormat="1" ht="30" customHeight="1">
      <c r="A16" s="368"/>
      <c r="B16" s="369" t="s">
        <v>294</v>
      </c>
      <c r="C16" s="460" t="s">
        <v>64</v>
      </c>
      <c r="D16" s="461" t="s">
        <v>295</v>
      </c>
      <c r="E16" s="462">
        <v>42552</v>
      </c>
      <c r="F16" s="463" t="s">
        <v>296</v>
      </c>
      <c r="G16" s="462">
        <v>42735</v>
      </c>
      <c r="H16" s="747" t="s">
        <v>417</v>
      </c>
      <c r="I16" s="748"/>
      <c r="J16" s="462">
        <v>42860</v>
      </c>
      <c r="K16" s="368"/>
      <c r="L16" s="368"/>
      <c r="M16" s="368"/>
    </row>
    <row r="17" spans="1:35" ht="3" customHeight="1">
      <c r="A17" s="3"/>
      <c r="B17" s="3"/>
      <c r="C17" s="3"/>
      <c r="D17" s="3"/>
      <c r="E17" s="3"/>
      <c r="F17" s="3"/>
      <c r="G17" s="3"/>
      <c r="H17" s="3"/>
      <c r="I17" s="3"/>
      <c r="J17" s="3"/>
      <c r="K17" s="3"/>
      <c r="L17" s="3"/>
      <c r="M17" s="3"/>
    </row>
    <row r="18" spans="1:35">
      <c r="A18" s="3"/>
      <c r="B18" s="694" t="s">
        <v>376</v>
      </c>
      <c r="C18" s="695"/>
      <c r="D18" s="696" t="s">
        <v>431</v>
      </c>
      <c r="E18" s="696"/>
      <c r="F18" s="696"/>
      <c r="G18" s="228"/>
      <c r="H18" s="228"/>
      <c r="I18" s="228"/>
      <c r="J18" s="228"/>
      <c r="K18" s="3"/>
      <c r="L18" s="3"/>
      <c r="M18" s="3"/>
    </row>
    <row r="19" spans="1:35" ht="30" customHeight="1">
      <c r="A19" s="3"/>
      <c r="B19" s="3"/>
      <c r="C19" s="3"/>
      <c r="D19" s="3"/>
      <c r="E19" s="3"/>
      <c r="F19" s="3"/>
      <c r="G19" s="3"/>
      <c r="H19" s="3"/>
      <c r="I19" s="3"/>
      <c r="J19" s="3"/>
      <c r="K19" s="3"/>
      <c r="L19" s="3"/>
      <c r="M19" s="3"/>
    </row>
    <row r="20" spans="1:35" ht="21" customHeight="1">
      <c r="A20" s="3"/>
      <c r="B20" s="3"/>
      <c r="C20" s="3"/>
      <c r="D20" s="3"/>
      <c r="E20" s="3"/>
      <c r="F20" s="3"/>
      <c r="G20" s="3"/>
      <c r="H20" s="3"/>
      <c r="I20" s="3"/>
      <c r="J20" s="3"/>
      <c r="K20" s="3"/>
      <c r="L20" s="3"/>
      <c r="M20" s="3"/>
    </row>
    <row r="21" spans="1:35" ht="15.75" customHeight="1">
      <c r="A21" s="3"/>
      <c r="B21" s="697" t="s">
        <v>297</v>
      </c>
      <c r="C21" s="697"/>
      <c r="D21" s="697"/>
      <c r="E21" s="697"/>
      <c r="F21" s="697"/>
      <c r="G21" s="697"/>
      <c r="H21" s="697"/>
      <c r="I21" s="697"/>
      <c r="J21" s="697"/>
      <c r="K21" s="3"/>
      <c r="L21" s="3"/>
      <c r="M21" s="3"/>
    </row>
    <row r="22" spans="1:35">
      <c r="A22" s="3"/>
      <c r="B22" s="226" t="s">
        <v>419</v>
      </c>
      <c r="C22" s="3"/>
      <c r="D22" s="3"/>
      <c r="E22" s="229"/>
      <c r="F22" s="229"/>
      <c r="G22" s="3"/>
      <c r="H22" s="3"/>
      <c r="I22" s="229"/>
      <c r="J22" s="229"/>
      <c r="K22" s="3"/>
      <c r="L22" s="3"/>
      <c r="M22" s="3"/>
    </row>
    <row r="23" spans="1:35" ht="3" customHeight="1">
      <c r="A23" s="3"/>
      <c r="B23" s="3"/>
      <c r="C23" s="3"/>
      <c r="D23" s="3"/>
      <c r="E23" s="3"/>
      <c r="F23" s="3"/>
      <c r="G23" s="3"/>
      <c r="H23" s="3"/>
      <c r="I23" s="3"/>
      <c r="J23" s="3"/>
      <c r="K23" s="3"/>
      <c r="L23" s="3"/>
      <c r="M23" s="3"/>
    </row>
    <row r="24" spans="1:35" ht="15.75" thickBot="1">
      <c r="A24" s="3"/>
      <c r="B24" s="224" t="s">
        <v>298</v>
      </c>
      <c r="C24" s="302"/>
      <c r="D24" s="724" t="s">
        <v>299</v>
      </c>
      <c r="E24" s="724"/>
      <c r="F24" s="303"/>
      <c r="G24" s="724" t="s">
        <v>300</v>
      </c>
      <c r="H24" s="724"/>
      <c r="I24" s="731"/>
      <c r="J24" s="732"/>
      <c r="K24" s="3"/>
      <c r="L24" s="3"/>
      <c r="M24" s="3"/>
      <c r="N24" s="20"/>
    </row>
    <row r="25" spans="1:35" ht="26.25" customHeight="1" thickBot="1">
      <c r="A25" s="3"/>
      <c r="B25" s="86" t="s">
        <v>298</v>
      </c>
      <c r="C25" s="87"/>
      <c r="D25" s="87"/>
      <c r="E25" s="87"/>
      <c r="F25" s="87"/>
      <c r="G25" s="87"/>
      <c r="H25" s="214"/>
      <c r="I25" s="88"/>
      <c r="J25" s="88"/>
      <c r="K25" s="214" t="s">
        <v>418</v>
      </c>
      <c r="L25" s="87"/>
      <c r="M25" s="87"/>
      <c r="N25" s="317"/>
      <c r="O25" s="39"/>
      <c r="AI25" s="43"/>
    </row>
    <row r="26" spans="1:35">
      <c r="A26" s="3"/>
      <c r="B26" s="722" t="s">
        <v>301</v>
      </c>
      <c r="C26" s="723"/>
      <c r="D26" s="365" t="s">
        <v>2</v>
      </c>
      <c r="E26" s="90"/>
      <c r="F26" s="90"/>
      <c r="G26" s="90"/>
      <c r="H26" s="90"/>
      <c r="I26" s="90"/>
      <c r="J26" s="91"/>
      <c r="K26" s="90"/>
      <c r="L26" s="90"/>
      <c r="M26" s="90"/>
      <c r="N26" s="39"/>
      <c r="O26" s="39"/>
      <c r="AI26" s="43"/>
    </row>
    <row r="27" spans="1:35" ht="18.75">
      <c r="A27" s="3"/>
      <c r="B27" s="89" t="s">
        <v>302</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c r="P28" s="35"/>
      <c r="Q28" s="35"/>
    </row>
    <row r="29" spans="1:35" ht="15.75" thickBot="1">
      <c r="A29" s="3"/>
      <c r="B29" s="725" t="s">
        <v>306</v>
      </c>
      <c r="C29" s="726"/>
      <c r="D29" s="726"/>
      <c r="E29" s="726"/>
      <c r="F29" s="726"/>
      <c r="G29" s="726"/>
      <c r="H29" s="726"/>
      <c r="I29" s="726"/>
      <c r="J29" s="726"/>
      <c r="K29" s="726"/>
      <c r="L29" s="726"/>
      <c r="M29" s="726"/>
      <c r="N29" s="727"/>
      <c r="P29" s="537"/>
      <c r="Q29" s="448"/>
      <c r="R29" s="171">
        <f>+C33</f>
        <v>3015539.99</v>
      </c>
      <c r="S29" s="169"/>
    </row>
    <row r="30" spans="1:35">
      <c r="A30" s="3"/>
      <c r="B30" s="92" t="s">
        <v>303</v>
      </c>
      <c r="C30" s="289" t="s">
        <v>62</v>
      </c>
      <c r="D30" s="289" t="s">
        <v>63</v>
      </c>
      <c r="E30" s="289" t="s">
        <v>64</v>
      </c>
      <c r="F30" s="289" t="s">
        <v>65</v>
      </c>
      <c r="G30" s="289" t="s">
        <v>72</v>
      </c>
      <c r="H30" s="289" t="s">
        <v>73</v>
      </c>
      <c r="I30" s="289" t="s">
        <v>74</v>
      </c>
      <c r="J30" s="289" t="s">
        <v>75</v>
      </c>
      <c r="K30" s="289" t="s">
        <v>76</v>
      </c>
      <c r="L30" s="289" t="s">
        <v>77</v>
      </c>
      <c r="M30" s="289" t="s">
        <v>78</v>
      </c>
      <c r="N30" s="290" t="s">
        <v>232</v>
      </c>
      <c r="O30" s="538" t="s">
        <v>310</v>
      </c>
      <c r="P30" s="537"/>
      <c r="Q30" s="448"/>
      <c r="R30" s="171">
        <f>+D33</f>
        <v>4816992.78</v>
      </c>
      <c r="S30" s="169"/>
    </row>
    <row r="31" spans="1:35">
      <c r="A31" s="3"/>
      <c r="B31" s="221" t="str">
        <f>CONCATENATE("Buget (in ",'Introducerea datelor'!$D$26,")")</f>
        <v>Buget (in €)</v>
      </c>
      <c r="C31" s="464">
        <v>3015539.99</v>
      </c>
      <c r="D31" s="464">
        <v>1801452.79</v>
      </c>
      <c r="E31" s="296">
        <v>1386625.26</v>
      </c>
      <c r="F31" s="395"/>
      <c r="G31" s="296"/>
      <c r="H31" s="395"/>
      <c r="I31" s="395"/>
      <c r="J31" s="296"/>
      <c r="K31" s="296"/>
      <c r="L31" s="296"/>
      <c r="M31" s="296"/>
      <c r="N31" s="296"/>
      <c r="O31" s="677">
        <f>E34/I6</f>
        <v>0.55840615263515436</v>
      </c>
      <c r="P31" s="539"/>
      <c r="Q31" s="448"/>
      <c r="R31" s="171">
        <f>+E33</f>
        <v>6203618.04</v>
      </c>
      <c r="S31" s="169"/>
    </row>
    <row r="32" spans="1:35">
      <c r="A32" s="3"/>
      <c r="B32" s="92" t="str">
        <f>CONCATENATE("Debursări de către FG (in ", $D$26,")")</f>
        <v>Debursări de către FG (in €)</v>
      </c>
      <c r="C32" s="464">
        <v>2488378</v>
      </c>
      <c r="D32" s="464">
        <f>1330131+44595</f>
        <v>1374726</v>
      </c>
      <c r="E32" s="297">
        <v>580595</v>
      </c>
      <c r="F32" s="396"/>
      <c r="G32" s="297"/>
      <c r="H32" s="396"/>
      <c r="I32" s="395"/>
      <c r="J32" s="296"/>
      <c r="K32" s="296"/>
      <c r="L32" s="296"/>
      <c r="M32" s="296"/>
      <c r="N32" s="296"/>
      <c r="O32" s="678"/>
      <c r="P32" s="537"/>
      <c r="Q32" s="448"/>
      <c r="R32" s="171">
        <f>+F33</f>
        <v>0</v>
      </c>
      <c r="S32" s="169"/>
    </row>
    <row r="33" spans="1:35">
      <c r="A33" s="3"/>
      <c r="B33" s="93" t="s">
        <v>304</v>
      </c>
      <c r="C33" s="465">
        <v>3015539.99</v>
      </c>
      <c r="D33" s="465">
        <f>IF(AND(D31=0,D32=0),0,+C33+D31)</f>
        <v>4816992.78</v>
      </c>
      <c r="E33" s="298">
        <f t="shared" ref="E33:N33" si="0">IF(AND(E31=0,E32=0),0,+D33+E31)</f>
        <v>6203618.04</v>
      </c>
      <c r="F33" s="397">
        <f>IF(AND(F31=0,F32=0),0,+E33+F31)</f>
        <v>0</v>
      </c>
      <c r="G33" s="298">
        <f t="shared" si="0"/>
        <v>0</v>
      </c>
      <c r="H33" s="397">
        <f t="shared" si="0"/>
        <v>0</v>
      </c>
      <c r="I33" s="397">
        <f t="shared" si="0"/>
        <v>0</v>
      </c>
      <c r="J33" s="298">
        <f t="shared" si="0"/>
        <v>0</v>
      </c>
      <c r="K33" s="298">
        <f t="shared" si="0"/>
        <v>0</v>
      </c>
      <c r="L33" s="298">
        <f t="shared" si="0"/>
        <v>0</v>
      </c>
      <c r="M33" s="298">
        <f t="shared" si="0"/>
        <v>0</v>
      </c>
      <c r="N33" s="298">
        <f t="shared" si="0"/>
        <v>0</v>
      </c>
      <c r="O33" s="678"/>
      <c r="P33" s="540"/>
      <c r="Q33" s="448"/>
      <c r="R33" s="171">
        <f>+G33</f>
        <v>0</v>
      </c>
      <c r="S33" s="169"/>
    </row>
    <row r="34" spans="1:35" ht="15.75" thickBot="1">
      <c r="A34" s="3"/>
      <c r="B34" s="94" t="s">
        <v>305</v>
      </c>
      <c r="C34" s="466">
        <v>2488378</v>
      </c>
      <c r="D34" s="466">
        <f>IF(AND(D31=0,D32=0),0,+C34+D32)</f>
        <v>3863104</v>
      </c>
      <c r="E34" s="299">
        <f t="shared" ref="E34:N34" si="1">IF(AND(E31=0,E32=0),0,+D34+E32)</f>
        <v>4443699</v>
      </c>
      <c r="F34" s="398">
        <f t="shared" si="1"/>
        <v>0</v>
      </c>
      <c r="G34" s="299">
        <f>IF(AND(G31=0,G32=0),0,+F34+G32)</f>
        <v>0</v>
      </c>
      <c r="H34" s="398">
        <f t="shared" si="1"/>
        <v>0</v>
      </c>
      <c r="I34" s="398">
        <f t="shared" si="1"/>
        <v>0</v>
      </c>
      <c r="J34" s="299">
        <f t="shared" si="1"/>
        <v>0</v>
      </c>
      <c r="K34" s="299">
        <f t="shared" si="1"/>
        <v>0</v>
      </c>
      <c r="L34" s="299">
        <f t="shared" si="1"/>
        <v>0</v>
      </c>
      <c r="M34" s="299">
        <f t="shared" si="1"/>
        <v>0</v>
      </c>
      <c r="N34" s="299">
        <f t="shared" si="1"/>
        <v>0</v>
      </c>
      <c r="O34" s="679"/>
      <c r="P34" s="540"/>
      <c r="Q34" s="448"/>
      <c r="R34" s="171">
        <f>+H33</f>
        <v>0</v>
      </c>
      <c r="S34" s="169"/>
    </row>
    <row r="35" spans="1:35">
      <c r="A35" s="3"/>
      <c r="B35" s="3"/>
      <c r="C35" s="271">
        <f>+IF(AND(C30=$C$16,C33&lt;&gt;0),C34/C33,0)</f>
        <v>0</v>
      </c>
      <c r="D35" s="271">
        <f t="shared" ref="D35:N35" si="2">+IF(AND(D30=$C$16,D33&lt;&gt;0),D34/D33,0)</f>
        <v>0</v>
      </c>
      <c r="E35" s="271">
        <f t="shared" si="2"/>
        <v>0.71630764037174666</v>
      </c>
      <c r="F35" s="271">
        <f t="shared" si="2"/>
        <v>0</v>
      </c>
      <c r="G35" s="271">
        <f t="shared" si="2"/>
        <v>0</v>
      </c>
      <c r="H35" s="271">
        <f t="shared" si="2"/>
        <v>0</v>
      </c>
      <c r="I35" s="271">
        <f t="shared" si="2"/>
        <v>0</v>
      </c>
      <c r="J35" s="271">
        <f t="shared" si="2"/>
        <v>0</v>
      </c>
      <c r="K35" s="271">
        <f t="shared" si="2"/>
        <v>0</v>
      </c>
      <c r="L35" s="271">
        <f t="shared" si="2"/>
        <v>0</v>
      </c>
      <c r="M35" s="271">
        <f t="shared" si="2"/>
        <v>0</v>
      </c>
      <c r="N35" s="271">
        <f t="shared" si="2"/>
        <v>0</v>
      </c>
      <c r="O35" s="541"/>
      <c r="P35" s="512"/>
      <c r="Q35" s="449"/>
      <c r="R35" s="171">
        <f>+I33</f>
        <v>0</v>
      </c>
      <c r="S35" s="169"/>
    </row>
    <row r="36" spans="1:35" ht="18.75">
      <c r="A36" s="3"/>
      <c r="B36" s="89" t="s">
        <v>307</v>
      </c>
      <c r="C36" s="3"/>
      <c r="D36" s="3"/>
      <c r="E36" s="280"/>
      <c r="F36" s="3"/>
      <c r="G36" s="211"/>
      <c r="H36" s="3"/>
      <c r="I36" s="3"/>
      <c r="J36" s="3"/>
      <c r="K36" s="3"/>
      <c r="L36" s="3"/>
      <c r="M36" s="3"/>
      <c r="N36" s="40"/>
      <c r="O36" s="40"/>
      <c r="P36" s="35"/>
      <c r="Q36" s="35"/>
      <c r="AI36" s="20"/>
    </row>
    <row r="37" spans="1:35" ht="15.75" thickBot="1">
      <c r="A37" s="3"/>
      <c r="B37" s="3"/>
      <c r="C37" s="3"/>
      <c r="D37" s="3"/>
      <c r="E37" s="3"/>
      <c r="F37" s="3"/>
      <c r="G37" s="3"/>
      <c r="H37" s="3"/>
      <c r="I37" s="3"/>
      <c r="J37" s="3"/>
      <c r="K37" s="3"/>
      <c r="L37" s="3"/>
      <c r="M37" s="3"/>
      <c r="N37" s="38"/>
      <c r="O37" s="38"/>
      <c r="P37" s="35"/>
      <c r="Q37" s="35"/>
    </row>
    <row r="38" spans="1:35" ht="30" customHeight="1">
      <c r="A38" s="3"/>
      <c r="B38" s="304" t="s">
        <v>308</v>
      </c>
      <c r="C38" s="305" t="str">
        <f>CONCATENATE("Bugetul Cumulativ (în ",'Introducerea datelor'!$D$26,")")</f>
        <v>Bugetul Cumulativ (în €)</v>
      </c>
      <c r="D38" s="306" t="str">
        <f>CONCATENATE("Cheltuielile Cumulative (în ",'Introducerea datelor'!$D$26,")")</f>
        <v>Cheltuielile Cumulative (în €)</v>
      </c>
      <c r="E38" s="542"/>
      <c r="F38" s="231"/>
      <c r="G38" s="3"/>
      <c r="H38" s="3"/>
      <c r="I38" s="3"/>
      <c r="J38" s="99"/>
      <c r="K38" s="41"/>
      <c r="N38"/>
      <c r="O38"/>
      <c r="Q38" s="35"/>
      <c r="AE38" s="20"/>
      <c r="AF38" s="35"/>
    </row>
    <row r="39" spans="1:35" ht="46.5" customHeight="1">
      <c r="A39" s="3"/>
      <c r="B39" s="355" t="s">
        <v>434</v>
      </c>
      <c r="C39" s="399">
        <v>1543242.68</v>
      </c>
      <c r="D39" s="400">
        <v>940106</v>
      </c>
      <c r="E39" s="543"/>
      <c r="F39" s="286"/>
      <c r="G39" s="287"/>
      <c r="H39" s="3"/>
      <c r="I39" s="3"/>
      <c r="J39" s="100"/>
      <c r="K39" s="42"/>
      <c r="N39"/>
      <c r="O39"/>
      <c r="Q39" s="35"/>
      <c r="AE39" s="20"/>
      <c r="AF39" s="35"/>
    </row>
    <row r="40" spans="1:35" ht="49.5" customHeight="1">
      <c r="A40" s="3"/>
      <c r="B40" s="355" t="s">
        <v>437</v>
      </c>
      <c r="C40" s="399">
        <v>4158092.1</v>
      </c>
      <c r="D40" s="400">
        <v>2423056.2599999998</v>
      </c>
      <c r="E40" s="544"/>
      <c r="F40" s="286"/>
      <c r="G40" s="287"/>
      <c r="H40" s="3"/>
      <c r="I40" s="3"/>
      <c r="J40" s="3"/>
      <c r="K40" s="42"/>
      <c r="N40"/>
      <c r="O40"/>
      <c r="Q40" s="35"/>
      <c r="AE40" s="20"/>
      <c r="AF40" s="35"/>
    </row>
    <row r="41" spans="1:35" ht="48" customHeight="1">
      <c r="A41" s="3"/>
      <c r="B41" s="355" t="s">
        <v>435</v>
      </c>
      <c r="C41" s="401">
        <v>252096.14</v>
      </c>
      <c r="D41" s="400">
        <v>132286.04</v>
      </c>
      <c r="E41" s="544"/>
      <c r="F41" s="288"/>
      <c r="G41" s="3"/>
      <c r="H41" s="3"/>
      <c r="I41" s="3"/>
      <c r="J41" s="3"/>
      <c r="K41" s="42"/>
      <c r="N41"/>
      <c r="O41"/>
      <c r="Q41" s="35"/>
      <c r="AE41" s="20"/>
      <c r="AF41" s="35"/>
    </row>
    <row r="42" spans="1:35" ht="24.75" customHeight="1">
      <c r="A42" s="3"/>
      <c r="B42" s="356" t="s">
        <v>436</v>
      </c>
      <c r="C42" s="401">
        <v>250187.12</v>
      </c>
      <c r="D42" s="400">
        <v>250789.55</v>
      </c>
      <c r="E42" s="544"/>
      <c r="F42" s="230"/>
      <c r="G42" s="3"/>
      <c r="H42" s="3"/>
      <c r="I42" s="3"/>
      <c r="J42" s="3"/>
      <c r="K42" s="20"/>
      <c r="N42"/>
      <c r="O42"/>
      <c r="Q42" s="35"/>
      <c r="AE42" s="20"/>
      <c r="AF42" s="35"/>
    </row>
    <row r="43" spans="1:35" ht="26.25" customHeight="1">
      <c r="A43" s="3"/>
      <c r="B43" s="356" t="s">
        <v>485</v>
      </c>
      <c r="C43" s="401"/>
      <c r="D43" s="400"/>
      <c r="E43" s="544"/>
      <c r="F43" s="325"/>
      <c r="G43" s="3"/>
      <c r="H43" s="3"/>
      <c r="I43" s="3"/>
      <c r="J43" s="3"/>
      <c r="K43" s="20"/>
      <c r="N43"/>
      <c r="O43"/>
      <c r="Q43" s="35"/>
      <c r="AE43" s="20"/>
      <c r="AF43" s="35"/>
    </row>
    <row r="44" spans="1:35">
      <c r="A44" s="3"/>
      <c r="B44" s="356" t="s">
        <v>422</v>
      </c>
      <c r="C44" s="401"/>
      <c r="D44" s="400">
        <v>10512.55</v>
      </c>
      <c r="E44" s="544"/>
      <c r="F44" s="230"/>
      <c r="G44" s="15"/>
      <c r="H44" s="15"/>
      <c r="I44" s="15"/>
      <c r="J44" s="15"/>
      <c r="K44" s="20"/>
      <c r="N44"/>
      <c r="O44"/>
      <c r="Q44" s="35"/>
      <c r="AE44" s="35"/>
      <c r="AF44" s="35"/>
    </row>
    <row r="45" spans="1:35" ht="15.75" thickBot="1">
      <c r="A45" s="3"/>
      <c r="B45" s="307"/>
      <c r="C45" s="399"/>
      <c r="D45" s="400"/>
      <c r="E45" s="544"/>
      <c r="F45" s="15"/>
      <c r="G45" s="15"/>
      <c r="H45" s="15"/>
      <c r="I45" s="15"/>
      <c r="J45" s="15"/>
      <c r="K45" s="20"/>
      <c r="N45"/>
      <c r="O45"/>
      <c r="Q45" s="35"/>
      <c r="AE45" s="35"/>
      <c r="AF45" s="35"/>
    </row>
    <row r="46" spans="1:35" ht="15.75" thickBot="1">
      <c r="A46" s="3"/>
      <c r="B46" s="308" t="s">
        <v>39</v>
      </c>
      <c r="C46" s="534">
        <f>SUM(C39:C45)</f>
        <v>6203618.04</v>
      </c>
      <c r="D46" s="402">
        <f>SUM(D39:D45)</f>
        <v>3756750.3999999994</v>
      </c>
      <c r="E46" s="541"/>
      <c r="F46" s="688" t="str">
        <f ca="1">+IF((ROUND(C46,0)=ROUND(OFFSET(B33,0,RIGHT('Introducerea datelor'!$C$16,LEN('Introducerea datelor'!$C$16)-1),1,1),0)),"OK: Data match","Warning: The data do not match")</f>
        <v>OK: Data match</v>
      </c>
      <c r="G46" s="689"/>
      <c r="H46" s="689"/>
      <c r="I46" s="690"/>
      <c r="N46" s="173"/>
      <c r="O46" s="171"/>
      <c r="P46" s="169"/>
      <c r="Q46" s="35"/>
      <c r="AE46" s="35"/>
      <c r="AF46" s="35"/>
    </row>
    <row r="47" spans="1:35">
      <c r="A47" s="3"/>
      <c r="B47" s="3"/>
      <c r="C47" s="164"/>
      <c r="D47" s="164"/>
      <c r="E47" s="217"/>
      <c r="F47" s="164"/>
      <c r="G47" s="164"/>
      <c r="H47" s="164"/>
      <c r="I47" s="164"/>
      <c r="J47" s="164"/>
      <c r="K47" s="164"/>
      <c r="L47" s="164"/>
      <c r="M47" s="164"/>
      <c r="N47" s="164"/>
      <c r="O47" s="164"/>
      <c r="P47" s="172"/>
      <c r="Q47" s="449"/>
      <c r="R47" s="171"/>
      <c r="S47" s="169"/>
    </row>
    <row r="48" spans="1:35" ht="18.75">
      <c r="A48" s="3"/>
      <c r="B48" s="89" t="s">
        <v>311</v>
      </c>
      <c r="C48" s="3"/>
      <c r="D48" s="3"/>
      <c r="E48" s="3"/>
      <c r="F48" s="3"/>
      <c r="G48" s="3"/>
      <c r="H48" s="3"/>
      <c r="I48" s="3"/>
      <c r="J48" s="3"/>
      <c r="K48" s="3"/>
      <c r="L48" s="3"/>
      <c r="M48" s="3"/>
      <c r="P48" s="169"/>
      <c r="Q48" s="448"/>
      <c r="R48" s="171">
        <f>+J33</f>
        <v>0</v>
      </c>
      <c r="S48" s="169"/>
    </row>
    <row r="49" spans="1:35" ht="15.75" thickBot="1">
      <c r="A49" s="3"/>
      <c r="B49" s="3"/>
      <c r="C49" s="3"/>
      <c r="D49" s="3"/>
      <c r="E49" s="3"/>
      <c r="F49" s="3"/>
      <c r="G49" s="3"/>
      <c r="H49" s="3"/>
      <c r="I49" s="3"/>
      <c r="J49" s="3"/>
      <c r="K49" s="3"/>
      <c r="L49" s="3"/>
      <c r="M49" s="3"/>
      <c r="P49" s="169"/>
      <c r="Q49" s="170"/>
      <c r="R49" s="171">
        <f>+K33</f>
        <v>0</v>
      </c>
      <c r="S49" s="169"/>
    </row>
    <row r="50" spans="1:35" ht="35.25" customHeight="1">
      <c r="A50" s="3"/>
      <c r="B50" s="234"/>
      <c r="C50" s="235" t="s">
        <v>316</v>
      </c>
      <c r="D50" s="235" t="s">
        <v>317</v>
      </c>
      <c r="E50" s="323" t="str">
        <f>CONCATENATE("Total Cheltuit și debursat (în ",D26,")")</f>
        <v>Total Cheltuit și debursat (în €)</v>
      </c>
      <c r="F50" s="368"/>
      <c r="G50" s="450"/>
      <c r="H50" s="231"/>
      <c r="I50" s="222"/>
      <c r="J50" s="222"/>
      <c r="K50" s="222"/>
      <c r="L50" s="222"/>
      <c r="M50" s="21"/>
      <c r="N50" s="21"/>
      <c r="O50" s="169"/>
      <c r="P50" s="170"/>
      <c r="Q50" s="171">
        <f>+M33</f>
        <v>0</v>
      </c>
      <c r="R50" s="169"/>
      <c r="AH50" s="20"/>
    </row>
    <row r="51" spans="1:35">
      <c r="A51" s="3"/>
      <c r="B51" s="232" t="s">
        <v>312</v>
      </c>
      <c r="C51" s="404">
        <v>3863104</v>
      </c>
      <c r="D51" s="404">
        <v>580595</v>
      </c>
      <c r="E51" s="535">
        <f>+D51+C51</f>
        <v>4443699</v>
      </c>
      <c r="F51" s="368"/>
      <c r="G51" s="451"/>
      <c r="H51" s="236"/>
      <c r="I51" s="95"/>
      <c r="J51" s="166"/>
      <c r="K51" s="167"/>
      <c r="L51" s="96"/>
      <c r="M51" s="36"/>
      <c r="N51" s="36"/>
      <c r="O51" s="169"/>
      <c r="P51" s="169"/>
      <c r="Q51" s="169"/>
      <c r="R51" s="169"/>
      <c r="AH51" s="20"/>
    </row>
    <row r="52" spans="1:35">
      <c r="A52" s="3"/>
      <c r="B52" s="232" t="s">
        <v>313</v>
      </c>
      <c r="C52" s="403">
        <v>2383960.63</v>
      </c>
      <c r="D52" s="403">
        <v>1279837.9099999999</v>
      </c>
      <c r="E52" s="535">
        <f>+D52+C52</f>
        <v>3663798.54</v>
      </c>
      <c r="F52" s="368"/>
      <c r="G52" s="452"/>
      <c r="H52" s="236"/>
      <c r="I52" s="95"/>
      <c r="J52" s="166"/>
      <c r="K52" s="166"/>
      <c r="L52" s="96"/>
      <c r="M52" s="37"/>
      <c r="N52" s="37"/>
      <c r="O52" s="169"/>
      <c r="P52" s="169"/>
      <c r="Q52" s="169"/>
      <c r="R52" s="169"/>
      <c r="AH52" s="20"/>
    </row>
    <row r="53" spans="1:35">
      <c r="A53" s="3"/>
      <c r="B53" s="232" t="s">
        <v>314</v>
      </c>
      <c r="C53" s="403">
        <v>60127.7</v>
      </c>
      <c r="D53" s="403">
        <v>32824.160000000003</v>
      </c>
      <c r="E53" s="535">
        <f>+D53+C53</f>
        <v>92951.86</v>
      </c>
      <c r="F53" s="368"/>
      <c r="G53" s="451"/>
      <c r="H53" s="236"/>
      <c r="I53" s="95"/>
      <c r="J53" s="166"/>
      <c r="K53" s="167"/>
      <c r="L53" s="96"/>
      <c r="M53" s="36"/>
      <c r="N53" s="36"/>
      <c r="O53"/>
      <c r="AH53" s="20"/>
    </row>
    <row r="54" spans="1:35" ht="15.75" thickBot="1">
      <c r="A54" s="3"/>
      <c r="B54" s="233" t="s">
        <v>315</v>
      </c>
      <c r="C54" s="405">
        <v>49877.27</v>
      </c>
      <c r="D54" s="405">
        <v>33383.730000000003</v>
      </c>
      <c r="E54" s="536">
        <f>+D54+C54</f>
        <v>83261</v>
      </c>
      <c r="F54" s="368"/>
      <c r="G54" s="453"/>
      <c r="H54" s="237"/>
      <c r="I54" s="97"/>
      <c r="J54" s="97"/>
      <c r="K54" s="97"/>
      <c r="L54" s="96"/>
      <c r="M54" s="37"/>
      <c r="N54" s="37"/>
      <c r="O54"/>
      <c r="AH54" s="20"/>
    </row>
    <row r="55" spans="1:35" ht="15.75" customHeight="1">
      <c r="A55" s="3"/>
      <c r="B55" s="3"/>
      <c r="C55" s="3"/>
      <c r="D55" s="3"/>
      <c r="E55" s="3"/>
      <c r="F55" s="368"/>
      <c r="G55" s="3"/>
      <c r="H55" s="3"/>
      <c r="I55" s="3"/>
      <c r="J55" s="3"/>
      <c r="K55" s="3"/>
      <c r="L55" s="3"/>
      <c r="M55" s="3"/>
      <c r="AI55" s="20"/>
    </row>
    <row r="56" spans="1:35">
      <c r="A56" s="3"/>
      <c r="B56" s="3"/>
      <c r="C56" s="3"/>
      <c r="D56" s="220"/>
      <c r="E56" s="3"/>
      <c r="F56" s="3"/>
      <c r="G56" s="3"/>
      <c r="H56" s="3"/>
      <c r="I56" s="3"/>
      <c r="J56" s="3"/>
      <c r="K56" s="3"/>
      <c r="L56" s="3"/>
      <c r="M56" s="3"/>
    </row>
    <row r="57" spans="1:35" ht="18.75">
      <c r="A57" s="3"/>
      <c r="B57" s="89" t="s">
        <v>378</v>
      </c>
      <c r="C57" s="3"/>
      <c r="D57" s="3"/>
      <c r="E57" s="3"/>
      <c r="F57" s="3"/>
      <c r="G57" s="3"/>
      <c r="H57" s="3"/>
      <c r="I57" s="3"/>
      <c r="J57" s="3"/>
      <c r="K57" s="3"/>
      <c r="L57" s="3"/>
      <c r="M57" s="3"/>
    </row>
    <row r="58" spans="1:35" ht="15.75" thickBot="1">
      <c r="A58" s="3"/>
      <c r="B58" s="3"/>
      <c r="C58" s="3"/>
      <c r="D58" s="3"/>
      <c r="E58" s="3"/>
      <c r="F58" s="3"/>
      <c r="G58" s="3"/>
      <c r="H58" s="3"/>
      <c r="I58" s="3"/>
      <c r="J58" s="3"/>
      <c r="K58" s="3"/>
      <c r="L58" s="3"/>
      <c r="M58" s="3"/>
    </row>
    <row r="59" spans="1:35">
      <c r="A59" s="3"/>
      <c r="B59" s="728" t="s">
        <v>318</v>
      </c>
      <c r="C59" s="729"/>
      <c r="D59" s="730"/>
      <c r="E59" s="3"/>
      <c r="F59" s="3"/>
      <c r="G59" s="3"/>
      <c r="H59" s="3"/>
      <c r="I59" s="3"/>
      <c r="J59" s="3"/>
      <c r="K59" s="3"/>
      <c r="L59" s="3"/>
      <c r="M59" s="35"/>
      <c r="O59"/>
    </row>
    <row r="60" spans="1:35">
      <c r="A60" s="3"/>
      <c r="B60" s="101"/>
      <c r="C60" s="239" t="s">
        <v>319</v>
      </c>
      <c r="D60" s="240" t="s">
        <v>320</v>
      </c>
      <c r="E60" s="368"/>
      <c r="F60" s="3"/>
      <c r="G60" s="3"/>
      <c r="H60" s="3"/>
      <c r="I60" s="3"/>
      <c r="J60" s="3"/>
      <c r="K60" s="3"/>
      <c r="L60" s="3"/>
      <c r="M60" s="35"/>
      <c r="O60"/>
    </row>
    <row r="61" spans="1:35">
      <c r="A61" s="3"/>
      <c r="B61" s="102" t="s">
        <v>321</v>
      </c>
      <c r="C61" s="468">
        <v>80</v>
      </c>
      <c r="D61" s="444">
        <v>80</v>
      </c>
      <c r="E61" s="368"/>
      <c r="F61" s="368"/>
      <c r="G61" s="3"/>
      <c r="H61" s="3"/>
      <c r="I61" s="3"/>
      <c r="J61" s="3"/>
      <c r="K61" s="3"/>
      <c r="L61" s="3"/>
      <c r="M61" s="35"/>
      <c r="O61"/>
    </row>
    <row r="62" spans="1:35">
      <c r="A62" s="3"/>
      <c r="B62" s="238" t="s">
        <v>322</v>
      </c>
      <c r="C62" s="468">
        <v>0</v>
      </c>
      <c r="D62" s="444">
        <v>0</v>
      </c>
      <c r="E62" s="3"/>
      <c r="F62" s="3"/>
      <c r="G62" s="3"/>
      <c r="H62" s="236"/>
      <c r="I62" s="236"/>
      <c r="J62" s="3"/>
      <c r="K62" s="3"/>
      <c r="L62" s="3"/>
      <c r="M62" s="35"/>
      <c r="O62"/>
    </row>
    <row r="63" spans="1:35" ht="15.75" thickBot="1">
      <c r="A63" s="3"/>
      <c r="B63" s="103" t="s">
        <v>323</v>
      </c>
      <c r="C63" s="445">
        <v>10</v>
      </c>
      <c r="D63" s="446">
        <v>10</v>
      </c>
      <c r="E63" s="3"/>
      <c r="F63" s="3"/>
      <c r="G63" s="3"/>
      <c r="H63" s="236"/>
      <c r="I63" s="236"/>
      <c r="J63" s="3"/>
      <c r="K63" s="3"/>
      <c r="L63" s="3"/>
      <c r="M63" s="35"/>
      <c r="O63"/>
    </row>
    <row r="64" spans="1:35">
      <c r="A64" s="3"/>
      <c r="B64" s="3"/>
      <c r="C64" s="3"/>
      <c r="D64" s="3"/>
      <c r="E64" s="3"/>
      <c r="F64" s="3"/>
      <c r="G64" s="3"/>
      <c r="H64" s="3"/>
      <c r="I64" s="3"/>
      <c r="J64" s="3"/>
      <c r="K64" s="3"/>
      <c r="L64" s="3"/>
      <c r="M64" s="3"/>
    </row>
    <row r="65" spans="1:30" ht="15.75" thickBot="1">
      <c r="A65" s="3"/>
      <c r="B65" s="3"/>
      <c r="C65" s="3"/>
      <c r="D65" s="3"/>
      <c r="E65" s="3"/>
      <c r="F65" s="3"/>
      <c r="G65" s="3"/>
      <c r="H65" s="3"/>
      <c r="I65" s="3"/>
      <c r="J65" s="3"/>
      <c r="K65" s="3"/>
      <c r="L65" s="319"/>
      <c r="M65" s="3"/>
      <c r="AC65" s="19"/>
      <c r="AD65" s="19"/>
    </row>
    <row r="66" spans="1:30" ht="19.5" thickBot="1">
      <c r="A66" s="3"/>
      <c r="B66" s="104" t="s">
        <v>325</v>
      </c>
      <c r="C66" s="105"/>
      <c r="D66" s="105"/>
      <c r="E66" s="105"/>
      <c r="F66" s="105"/>
      <c r="G66" s="105" t="s">
        <v>433</v>
      </c>
      <c r="H66" s="360"/>
      <c r="I66" s="105"/>
      <c r="J66" s="106"/>
      <c r="K66" s="106"/>
      <c r="L66" s="320"/>
      <c r="M66" s="321"/>
      <c r="N66" s="83"/>
      <c r="O66" s="83"/>
      <c r="P66" s="83"/>
      <c r="S66" s="43"/>
      <c r="AC66" s="19"/>
      <c r="AD66" s="19"/>
    </row>
    <row r="67" spans="1:30" ht="18.75">
      <c r="A67" s="3"/>
      <c r="B67" s="108"/>
      <c r="C67" s="107"/>
      <c r="D67" s="107"/>
      <c r="E67" s="107"/>
      <c r="F67" s="107"/>
      <c r="G67" s="107"/>
      <c r="H67" s="107"/>
      <c r="I67" s="107"/>
      <c r="J67" s="107"/>
      <c r="K67" s="109"/>
      <c r="L67" s="109"/>
      <c r="M67" s="107"/>
      <c r="N67" s="83"/>
      <c r="O67" s="83"/>
      <c r="P67" s="83"/>
      <c r="S67" s="43"/>
      <c r="AC67" s="19"/>
      <c r="AD67" s="19"/>
    </row>
    <row r="68" spans="1:30" ht="18.75">
      <c r="A68" s="3"/>
      <c r="B68" s="108" t="s">
        <v>326</v>
      </c>
      <c r="C68" s="107"/>
      <c r="D68" s="107"/>
      <c r="E68" s="107"/>
      <c r="F68" s="107"/>
      <c r="G68" s="107"/>
      <c r="H68" s="107"/>
      <c r="I68" s="107"/>
      <c r="J68" s="107"/>
      <c r="K68" s="109"/>
      <c r="L68" s="109"/>
      <c r="M68" s="107"/>
      <c r="N68" s="83"/>
      <c r="O68" s="83"/>
      <c r="P68" s="83"/>
      <c r="S68" s="43"/>
      <c r="AC68" s="19"/>
      <c r="AD68" s="19"/>
    </row>
    <row r="69" spans="1:30" ht="15.75" thickBot="1">
      <c r="A69" s="3"/>
      <c r="B69" s="2"/>
      <c r="C69" s="110"/>
      <c r="D69" s="110"/>
      <c r="E69" s="110"/>
      <c r="F69" s="110"/>
      <c r="G69" s="110"/>
      <c r="H69" s="2"/>
      <c r="I69" s="110"/>
      <c r="J69" s="2"/>
      <c r="K69" s="2"/>
      <c r="L69" s="2"/>
      <c r="M69" s="2"/>
      <c r="N69" s="20"/>
      <c r="O69" s="19"/>
      <c r="P69" s="19"/>
      <c r="Q69" s="19"/>
      <c r="R69" s="19"/>
      <c r="S69" s="19"/>
      <c r="AD69" s="19"/>
    </row>
    <row r="70" spans="1:30" ht="60">
      <c r="A70" s="3"/>
      <c r="B70" s="652"/>
      <c r="C70" s="653"/>
      <c r="D70" s="111" t="s">
        <v>329</v>
      </c>
      <c r="E70" s="112" t="s">
        <v>330</v>
      </c>
      <c r="F70" s="112" t="s">
        <v>331</v>
      </c>
      <c r="G70" s="113" t="s">
        <v>39</v>
      </c>
      <c r="H70" s="244"/>
      <c r="I70" s="245"/>
      <c r="J70" s="15"/>
      <c r="K70" s="2"/>
      <c r="L70" s="2"/>
      <c r="M70" s="2"/>
      <c r="N70" s="20"/>
      <c r="O70" s="19"/>
      <c r="P70" s="19"/>
      <c r="Q70" s="19"/>
      <c r="R70" s="19"/>
      <c r="S70" s="19"/>
    </row>
    <row r="71" spans="1:30">
      <c r="A71" s="3"/>
      <c r="B71" s="734" t="s">
        <v>327</v>
      </c>
      <c r="C71" s="735"/>
      <c r="D71" s="209">
        <v>3</v>
      </c>
      <c r="E71" s="209">
        <v>1</v>
      </c>
      <c r="F71" s="209"/>
      <c r="G71" s="467">
        <f>SUM(D71:F71)</f>
        <v>4</v>
      </c>
      <c r="H71" s="230"/>
      <c r="I71" s="243"/>
      <c r="J71" s="243"/>
      <c r="K71" s="2" t="s">
        <v>324</v>
      </c>
      <c r="L71" s="2"/>
      <c r="M71" s="2"/>
      <c r="N71" s="20"/>
      <c r="O71" s="19"/>
      <c r="P71" s="19"/>
      <c r="Q71" s="19"/>
      <c r="R71" s="19"/>
      <c r="S71" s="19"/>
    </row>
    <row r="72" spans="1:30" ht="15.75" thickBot="1">
      <c r="A72" s="3"/>
      <c r="B72" s="692" t="s">
        <v>328</v>
      </c>
      <c r="C72" s="693"/>
      <c r="D72" s="210"/>
      <c r="E72" s="210"/>
      <c r="F72" s="210"/>
      <c r="G72" s="116">
        <f>SUM(D72:F72)</f>
        <v>0</v>
      </c>
      <c r="H72" s="230"/>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8.75">
      <c r="A75" s="3"/>
      <c r="B75" s="108" t="s">
        <v>332</v>
      </c>
      <c r="C75" s="2"/>
      <c r="D75" s="2"/>
      <c r="E75" s="2"/>
      <c r="F75" s="2"/>
      <c r="G75" s="2"/>
      <c r="H75" s="2"/>
      <c r="I75" s="2"/>
      <c r="J75" s="2"/>
      <c r="K75" s="2"/>
      <c r="L75" s="2"/>
      <c r="M75" s="2"/>
      <c r="N75" s="19"/>
      <c r="O75" s="19"/>
      <c r="P75" s="19"/>
      <c r="S75" s="19"/>
    </row>
    <row r="76" spans="1:30" ht="15.75" thickBot="1">
      <c r="A76" s="3"/>
      <c r="B76" s="2"/>
      <c r="C76" s="2"/>
      <c r="D76" s="2"/>
      <c r="E76" s="2"/>
      <c r="F76" s="2"/>
      <c r="G76" s="2"/>
      <c r="H76" s="2"/>
      <c r="I76" s="2"/>
      <c r="J76" s="2"/>
      <c r="K76" s="2"/>
      <c r="L76" s="2"/>
      <c r="M76" s="2"/>
      <c r="N76" s="19"/>
      <c r="O76" s="19"/>
      <c r="P76" s="19"/>
      <c r="S76" s="19"/>
    </row>
    <row r="77" spans="1:30">
      <c r="A77" s="3"/>
      <c r="B77" s="117"/>
      <c r="C77" s="359" t="s">
        <v>333</v>
      </c>
      <c r="D77" s="359" t="s">
        <v>334</v>
      </c>
      <c r="E77" s="118" t="s">
        <v>335</v>
      </c>
      <c r="F77" s="15"/>
      <c r="G77" s="15"/>
      <c r="H77" s="15"/>
      <c r="I77" s="245"/>
      <c r="J77" s="2"/>
      <c r="K77" s="2"/>
      <c r="L77" s="2"/>
      <c r="M77" s="2"/>
      <c r="N77" s="19"/>
      <c r="O77" s="19"/>
      <c r="P77" s="19"/>
      <c r="S77" s="19"/>
    </row>
    <row r="78" spans="1:30" ht="15.75" thickBot="1">
      <c r="A78" s="3"/>
      <c r="B78" s="119" t="s">
        <v>431</v>
      </c>
      <c r="C78" s="469">
        <v>6</v>
      </c>
      <c r="D78" s="469">
        <v>6</v>
      </c>
      <c r="E78" s="470">
        <f>+C78-D78</f>
        <v>0</v>
      </c>
      <c r="F78" s="213"/>
      <c r="G78" s="218"/>
      <c r="H78" s="15"/>
      <c r="I78" s="243"/>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8.75">
      <c r="A80" s="3"/>
      <c r="B80" s="108" t="s">
        <v>336</v>
      </c>
      <c r="C80" s="2"/>
      <c r="D80" s="2"/>
      <c r="E80" s="2"/>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ht="30">
      <c r="A82" s="3"/>
      <c r="B82" s="117"/>
      <c r="C82" s="359" t="s">
        <v>337</v>
      </c>
      <c r="D82" s="359" t="s">
        <v>338</v>
      </c>
      <c r="E82" s="359" t="s">
        <v>339</v>
      </c>
      <c r="F82" s="359" t="s">
        <v>340</v>
      </c>
      <c r="G82" s="144" t="s">
        <v>341</v>
      </c>
      <c r="H82" s="219"/>
      <c r="I82" s="245"/>
      <c r="J82" s="2"/>
      <c r="K82" s="2"/>
      <c r="L82" s="2"/>
      <c r="M82" s="2"/>
      <c r="N82" s="19"/>
      <c r="O82" s="19"/>
      <c r="P82" s="19"/>
      <c r="S82" s="19"/>
    </row>
    <row r="83" spans="1:36" ht="15.75" thickBot="1">
      <c r="A83" s="3"/>
      <c r="B83" s="119" t="s">
        <v>79</v>
      </c>
      <c r="C83" s="469">
        <v>1</v>
      </c>
      <c r="D83" s="469">
        <v>1</v>
      </c>
      <c r="E83" s="469">
        <v>1</v>
      </c>
      <c r="F83" s="469">
        <v>1</v>
      </c>
      <c r="G83" s="471">
        <v>1</v>
      </c>
      <c r="H83" s="246"/>
      <c r="I83" s="230"/>
      <c r="J83" s="2"/>
      <c r="K83" s="2"/>
      <c r="L83" s="2"/>
      <c r="M83" s="2"/>
      <c r="N83" s="19"/>
      <c r="O83" s="19"/>
      <c r="P83" s="19"/>
      <c r="S83" s="19"/>
    </row>
    <row r="84" spans="1:36">
      <c r="A84" s="3"/>
      <c r="B84" s="2"/>
      <c r="C84" s="472"/>
      <c r="D84" s="472"/>
      <c r="E84" s="472"/>
      <c r="F84" s="472"/>
      <c r="G84" s="472"/>
      <c r="H84" s="2"/>
      <c r="J84" s="2"/>
      <c r="K84" s="2"/>
      <c r="L84" s="2"/>
      <c r="M84" s="2"/>
      <c r="N84" s="19"/>
      <c r="O84" s="19"/>
      <c r="P84" s="19"/>
      <c r="S84" s="19"/>
    </row>
    <row r="85" spans="1:36" ht="18.75">
      <c r="A85" s="3"/>
      <c r="B85" s="108" t="s">
        <v>342</v>
      </c>
      <c r="C85" s="2"/>
      <c r="D85" s="2"/>
      <c r="E85" s="2"/>
      <c r="F85" s="2"/>
      <c r="G85" s="2"/>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c r="A87" s="3"/>
      <c r="B87" s="117"/>
      <c r="C87" s="120" t="s">
        <v>345</v>
      </c>
      <c r="D87" s="120" t="s">
        <v>346</v>
      </c>
      <c r="E87" s="121" t="s">
        <v>347</v>
      </c>
      <c r="F87" s="2"/>
      <c r="G87" s="2"/>
      <c r="H87" s="2"/>
      <c r="I87" s="2"/>
      <c r="J87" s="19"/>
      <c r="K87" s="19"/>
      <c r="L87" s="19"/>
      <c r="N87"/>
      <c r="O87" s="19"/>
      <c r="AG87" s="35"/>
      <c r="AJ87"/>
    </row>
    <row r="88" spans="1:36">
      <c r="A88" s="3"/>
      <c r="B88" s="114" t="s">
        <v>343</v>
      </c>
      <c r="C88" s="209">
        <v>0</v>
      </c>
      <c r="D88" s="473">
        <v>0</v>
      </c>
      <c r="E88" s="474">
        <f>C88-D88</f>
        <v>0</v>
      </c>
      <c r="F88" s="2"/>
      <c r="G88" s="2"/>
      <c r="H88" s="2"/>
      <c r="I88" s="2"/>
      <c r="J88" s="19"/>
      <c r="K88" s="19"/>
      <c r="L88" s="19"/>
      <c r="N88"/>
      <c r="O88" s="19"/>
      <c r="AG88" s="35"/>
      <c r="AJ88"/>
    </row>
    <row r="89" spans="1:36" ht="15.75" thickBot="1">
      <c r="A89" s="3"/>
      <c r="B89" s="115" t="s">
        <v>344</v>
      </c>
      <c r="C89" s="210">
        <v>2</v>
      </c>
      <c r="D89" s="475">
        <v>2</v>
      </c>
      <c r="E89" s="476">
        <f>C89-D89</f>
        <v>0</v>
      </c>
      <c r="F89" s="2"/>
      <c r="G89" s="2"/>
      <c r="H89" s="2"/>
      <c r="I89" s="2"/>
      <c r="J89" s="19"/>
      <c r="K89" s="19"/>
      <c r="L89" s="19"/>
      <c r="N89"/>
      <c r="O89" s="19"/>
      <c r="AG89" s="35"/>
      <c r="AJ89"/>
    </row>
    <row r="90" spans="1:36">
      <c r="A90" s="3"/>
      <c r="B90" s="2"/>
      <c r="C90" s="2"/>
      <c r="D90" s="2"/>
      <c r="E90" s="2"/>
      <c r="F90" s="2"/>
      <c r="G90" s="2"/>
      <c r="H90" s="2"/>
      <c r="I90" s="2"/>
      <c r="J90" s="2"/>
      <c r="K90" s="2"/>
      <c r="L90" s="2"/>
      <c r="M90" s="2"/>
      <c r="N90" s="19"/>
      <c r="O90" s="19"/>
      <c r="P90" s="19"/>
      <c r="S90" s="19"/>
    </row>
    <row r="91" spans="1:36" ht="18.75">
      <c r="A91" s="3"/>
      <c r="B91" s="108" t="s">
        <v>348</v>
      </c>
      <c r="C91" s="2"/>
      <c r="D91" s="2"/>
      <c r="E91" s="2"/>
      <c r="F91" s="2"/>
      <c r="G91" s="2"/>
      <c r="H91" s="2"/>
      <c r="I91" s="2"/>
      <c r="J91" s="2"/>
      <c r="K91" s="2"/>
      <c r="L91" s="2"/>
      <c r="M91" s="2"/>
      <c r="N91" s="19"/>
      <c r="O91" s="19"/>
      <c r="P91" s="19"/>
      <c r="S91" s="19"/>
    </row>
    <row r="92" spans="1:36" ht="15.75" thickBot="1">
      <c r="A92" s="3"/>
      <c r="B92" s="2"/>
      <c r="C92" s="2"/>
      <c r="D92" s="2"/>
      <c r="E92" s="2"/>
      <c r="F92" s="2"/>
      <c r="G92" s="2"/>
      <c r="H92" s="2"/>
      <c r="I92" s="15"/>
      <c r="J92" s="15"/>
      <c r="K92" s="15"/>
      <c r="L92" s="15"/>
      <c r="M92" s="15"/>
      <c r="N92" s="20"/>
      <c r="O92" s="20"/>
      <c r="P92" s="20"/>
      <c r="S92" s="19"/>
    </row>
    <row r="93" spans="1:36">
      <c r="A93" s="3"/>
      <c r="B93" s="180"/>
      <c r="C93" s="291" t="s">
        <v>62</v>
      </c>
      <c r="D93" s="291" t="s">
        <v>63</v>
      </c>
      <c r="E93" s="291" t="s">
        <v>64</v>
      </c>
      <c r="F93" s="291" t="s">
        <v>65</v>
      </c>
      <c r="G93" s="291" t="s">
        <v>72</v>
      </c>
      <c r="H93" s="291" t="s">
        <v>73</v>
      </c>
      <c r="I93" s="291" t="s">
        <v>74</v>
      </c>
      <c r="J93" s="291" t="s">
        <v>75</v>
      </c>
      <c r="K93" s="291" t="s">
        <v>76</v>
      </c>
      <c r="L93" s="291" t="s">
        <v>77</v>
      </c>
      <c r="M93" s="291" t="s">
        <v>78</v>
      </c>
      <c r="N93" s="292" t="s">
        <v>232</v>
      </c>
      <c r="O93" s="20"/>
      <c r="P93" s="20"/>
      <c r="S93" s="19"/>
    </row>
    <row r="94" spans="1:36" ht="15" customHeight="1">
      <c r="A94" s="3"/>
      <c r="B94" s="293" t="s">
        <v>349</v>
      </c>
      <c r="C94" s="406">
        <v>2475363.62</v>
      </c>
      <c r="D94" s="406">
        <v>1471460.94</v>
      </c>
      <c r="E94" s="281">
        <v>1015737.21</v>
      </c>
      <c r="F94" s="281"/>
      <c r="G94" s="281"/>
      <c r="H94" s="406"/>
      <c r="I94" s="406"/>
      <c r="J94" s="281"/>
      <c r="K94" s="281"/>
      <c r="L94" s="281"/>
      <c r="M94" s="281"/>
      <c r="N94" s="346"/>
      <c r="O94" s="20"/>
      <c r="P94" s="20"/>
      <c r="S94" s="19"/>
    </row>
    <row r="95" spans="1:36" ht="15" customHeight="1">
      <c r="A95" s="3"/>
      <c r="B95" s="293" t="s">
        <v>350</v>
      </c>
      <c r="C95" s="406">
        <v>1585909.66</v>
      </c>
      <c r="D95" s="406">
        <v>477235.64</v>
      </c>
      <c r="E95" s="281">
        <v>1165384.79</v>
      </c>
      <c r="F95" s="281"/>
      <c r="G95" s="281"/>
      <c r="H95" s="406"/>
      <c r="I95" s="406"/>
      <c r="J95" s="281"/>
      <c r="K95" s="281"/>
      <c r="L95" s="281"/>
      <c r="M95" s="281"/>
      <c r="N95" s="346"/>
      <c r="O95" s="20"/>
      <c r="P95" s="20"/>
      <c r="S95" s="19"/>
    </row>
    <row r="96" spans="1:36" ht="15" customHeight="1">
      <c r="A96" s="3"/>
      <c r="B96" s="293" t="s">
        <v>351</v>
      </c>
      <c r="C96" s="406">
        <v>1387405.1</v>
      </c>
      <c r="D96" s="406">
        <v>465365.61</v>
      </c>
      <c r="E96" s="281">
        <v>1011697.52</v>
      </c>
      <c r="F96" s="281"/>
      <c r="G96" s="281"/>
      <c r="H96" s="406"/>
      <c r="I96" s="406"/>
      <c r="J96" s="281"/>
      <c r="K96" s="281"/>
      <c r="L96" s="281"/>
      <c r="M96" s="281"/>
      <c r="N96" s="346"/>
      <c r="O96" s="20"/>
      <c r="P96" s="20"/>
      <c r="S96" s="19"/>
    </row>
    <row r="97" spans="1:19" ht="15" customHeight="1">
      <c r="A97" s="3"/>
      <c r="B97" s="248" t="s">
        <v>352</v>
      </c>
      <c r="C97" s="477">
        <v>2475363.62</v>
      </c>
      <c r="D97" s="407">
        <f>+C97+D94</f>
        <v>3946824.56</v>
      </c>
      <c r="E97" s="282">
        <f>+D97+E94</f>
        <v>4962561.7699999996</v>
      </c>
      <c r="F97" s="282">
        <f t="shared" ref="F97:N97" si="3">+E97+F94</f>
        <v>4962561.7699999996</v>
      </c>
      <c r="G97" s="282">
        <f t="shared" si="3"/>
        <v>4962561.7699999996</v>
      </c>
      <c r="H97" s="407">
        <f t="shared" si="3"/>
        <v>4962561.7699999996</v>
      </c>
      <c r="I97" s="407">
        <f t="shared" si="3"/>
        <v>4962561.7699999996</v>
      </c>
      <c r="J97" s="282">
        <f t="shared" si="3"/>
        <v>4962561.7699999996</v>
      </c>
      <c r="K97" s="282">
        <f t="shared" si="3"/>
        <v>4962561.7699999996</v>
      </c>
      <c r="L97" s="407">
        <f>+K97+L94</f>
        <v>4962561.7699999996</v>
      </c>
      <c r="M97" s="407">
        <f t="shared" si="3"/>
        <v>4962561.7699999996</v>
      </c>
      <c r="N97" s="454">
        <f t="shared" si="3"/>
        <v>4962561.7699999996</v>
      </c>
      <c r="O97" s="20"/>
      <c r="P97" s="20"/>
      <c r="S97" s="19"/>
    </row>
    <row r="98" spans="1:19" ht="15" customHeight="1">
      <c r="A98" s="3"/>
      <c r="B98" s="248" t="s">
        <v>353</v>
      </c>
      <c r="C98" s="477">
        <v>87919.039999999994</v>
      </c>
      <c r="D98" s="407">
        <f t="shared" ref="D98:N99" si="4">+C98+D95</f>
        <v>565154.68000000005</v>
      </c>
      <c r="E98" s="282">
        <f>+D98+E95</f>
        <v>1730539.4700000002</v>
      </c>
      <c r="F98" s="282">
        <f t="shared" si="4"/>
        <v>1730539.4700000002</v>
      </c>
      <c r="G98" s="282">
        <f t="shared" si="4"/>
        <v>1730539.4700000002</v>
      </c>
      <c r="H98" s="407">
        <f t="shared" si="4"/>
        <v>1730539.4700000002</v>
      </c>
      <c r="I98" s="407">
        <f>+H98+I95</f>
        <v>1730539.4700000002</v>
      </c>
      <c r="J98" s="282">
        <f t="shared" si="4"/>
        <v>1730539.4700000002</v>
      </c>
      <c r="K98" s="282">
        <f>+J98+K95</f>
        <v>1730539.4700000002</v>
      </c>
      <c r="L98" s="407">
        <f>+K98+L95</f>
        <v>1730539.4700000002</v>
      </c>
      <c r="M98" s="407">
        <f t="shared" si="4"/>
        <v>1730539.4700000002</v>
      </c>
      <c r="N98" s="454">
        <f t="shared" si="4"/>
        <v>1730539.4700000002</v>
      </c>
      <c r="O98" s="20"/>
      <c r="P98" s="20"/>
      <c r="S98" s="19"/>
    </row>
    <row r="99" spans="1:19" ht="15.75" thickBot="1">
      <c r="A99" s="3"/>
      <c r="B99" s="344" t="s">
        <v>354</v>
      </c>
      <c r="C99" s="478">
        <v>1387405.1</v>
      </c>
      <c r="D99" s="408">
        <f t="shared" si="4"/>
        <v>1852770.71</v>
      </c>
      <c r="E99" s="345">
        <f>+D99+E96</f>
        <v>2864468.23</v>
      </c>
      <c r="F99" s="345">
        <f t="shared" si="4"/>
        <v>2864468.23</v>
      </c>
      <c r="G99" s="345">
        <f t="shared" si="4"/>
        <v>2864468.23</v>
      </c>
      <c r="H99" s="408">
        <f t="shared" si="4"/>
        <v>2864468.23</v>
      </c>
      <c r="I99" s="408">
        <f t="shared" si="4"/>
        <v>2864468.23</v>
      </c>
      <c r="J99" s="345">
        <f t="shared" si="4"/>
        <v>2864468.23</v>
      </c>
      <c r="K99" s="345">
        <f t="shared" si="4"/>
        <v>2864468.23</v>
      </c>
      <c r="L99" s="408">
        <f t="shared" si="4"/>
        <v>2864468.23</v>
      </c>
      <c r="M99" s="408">
        <f>+L99+M96</f>
        <v>2864468.23</v>
      </c>
      <c r="N99" s="455">
        <f t="shared" si="4"/>
        <v>2864468.23</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486</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456"/>
      <c r="O102" s="20"/>
      <c r="P102" s="20"/>
      <c r="S102" s="19"/>
    </row>
    <row r="103" spans="1:19">
      <c r="A103" s="3"/>
      <c r="B103" s="3"/>
      <c r="C103" s="3"/>
      <c r="D103" s="3"/>
      <c r="E103" s="3"/>
      <c r="F103" s="3"/>
      <c r="G103" s="3"/>
      <c r="H103" s="3"/>
      <c r="I103" s="15"/>
      <c r="J103" s="15"/>
      <c r="K103" s="15"/>
      <c r="L103" s="15"/>
      <c r="M103" s="15"/>
      <c r="N103" s="456"/>
      <c r="O103" s="20"/>
      <c r="P103" s="20"/>
    </row>
    <row r="104" spans="1:19" ht="18.75">
      <c r="A104" s="3"/>
      <c r="B104" s="108" t="s">
        <v>355</v>
      </c>
      <c r="C104" s="3"/>
      <c r="D104" s="3"/>
      <c r="E104" s="3"/>
      <c r="F104" s="3"/>
      <c r="G104" s="3"/>
      <c r="H104" s="3"/>
      <c r="I104" s="15"/>
      <c r="J104" s="15"/>
      <c r="K104" s="15"/>
      <c r="L104" s="15"/>
      <c r="M104" s="15"/>
      <c r="N104" s="456"/>
      <c r="O104" s="20"/>
      <c r="P104" s="20"/>
    </row>
    <row r="105" spans="1:19" ht="15.75"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249" t="s">
        <v>356</v>
      </c>
      <c r="C106" s="250" t="s">
        <v>357</v>
      </c>
      <c r="D106" s="252" t="s">
        <v>358</v>
      </c>
      <c r="E106" s="252" t="s">
        <v>359</v>
      </c>
      <c r="F106" s="251" t="s">
        <v>360</v>
      </c>
      <c r="G106" s="251" t="s">
        <v>361</v>
      </c>
      <c r="H106" s="252" t="s">
        <v>362</v>
      </c>
      <c r="I106" s="252" t="s">
        <v>384</v>
      </c>
      <c r="J106" s="252" t="s">
        <v>363</v>
      </c>
      <c r="K106" s="253" t="s">
        <v>364</v>
      </c>
      <c r="L106" s="2"/>
      <c r="M106" s="20"/>
      <c r="N106" s="20"/>
      <c r="O106" s="20"/>
      <c r="P106" s="19"/>
      <c r="R106" s="20"/>
    </row>
    <row r="107" spans="1:19">
      <c r="A107" s="3"/>
      <c r="B107" s="739" t="s">
        <v>270</v>
      </c>
      <c r="C107" s="310" t="s">
        <v>270</v>
      </c>
      <c r="D107" s="311"/>
      <c r="E107" s="312" t="str">
        <f>IF(ISBLANK(D107),"",D107*30)</f>
        <v/>
      </c>
      <c r="F107" s="283"/>
      <c r="G107" s="284" t="str">
        <f>IF(AND(E107&gt;0,F107&gt;0),(F107*E107),"")</f>
        <v/>
      </c>
      <c r="H107" s="283"/>
      <c r="I107" s="326" t="str">
        <f>IF(AND(G107&gt;0,H107&gt;0),H107/G107,"")</f>
        <v/>
      </c>
      <c r="J107" s="313"/>
      <c r="K107" s="347" t="str">
        <f>IF(AND(I107&gt;0,J107&gt;0),I107-J107,"")</f>
        <v/>
      </c>
      <c r="L107" s="2"/>
      <c r="M107" s="20"/>
      <c r="N107" s="20"/>
      <c r="O107" s="20"/>
      <c r="P107" s="19"/>
      <c r="R107" s="20"/>
    </row>
    <row r="108" spans="1:19">
      <c r="A108" s="3"/>
      <c r="B108" s="740"/>
      <c r="C108" s="310" t="s">
        <v>270</v>
      </c>
      <c r="D108" s="311"/>
      <c r="E108" s="312" t="str">
        <f>IF(ISBLANK(D108),"",D108*30)</f>
        <v/>
      </c>
      <c r="F108" s="283"/>
      <c r="G108" s="284" t="str">
        <f>IF(AND(E108&gt;0,F108&gt;0),(F108*E108),"")</f>
        <v/>
      </c>
      <c r="H108" s="283"/>
      <c r="I108" s="326" t="str">
        <f>IF(AND(G108&gt;0,H108&gt;0),H108/G108,"")</f>
        <v/>
      </c>
      <c r="J108" s="313"/>
      <c r="K108" s="347" t="str">
        <f>IF(AND(I108&gt;0,J108&gt;0),I108-J108,"")</f>
        <v/>
      </c>
      <c r="L108" s="2"/>
      <c r="M108" s="20"/>
      <c r="N108" s="20"/>
      <c r="O108" s="20"/>
      <c r="P108" s="19"/>
    </row>
    <row r="109" spans="1:19">
      <c r="A109" s="3"/>
      <c r="B109" s="740"/>
      <c r="C109" s="310" t="s">
        <v>270</v>
      </c>
      <c r="D109" s="311"/>
      <c r="E109" s="312" t="str">
        <f>IF(ISBLANK(D109),"",D109*30)</f>
        <v/>
      </c>
      <c r="F109" s="283"/>
      <c r="G109" s="284" t="str">
        <f>IF(AND(E109&gt;0,F109&gt;0),(F109*E109),"")</f>
        <v/>
      </c>
      <c r="H109" s="283"/>
      <c r="I109" s="326" t="str">
        <f>IF(AND(G109&gt;0,H109&gt;0),H109/G109,"")</f>
        <v/>
      </c>
      <c r="J109" s="313"/>
      <c r="K109" s="347" t="str">
        <f>IF(AND(I109&gt;0,J109&gt;0),I109-J109,"")</f>
        <v/>
      </c>
      <c r="L109" s="2"/>
      <c r="M109" s="20"/>
      <c r="N109" s="20"/>
      <c r="O109" s="20"/>
      <c r="P109" s="19"/>
      <c r="R109" s="20"/>
    </row>
    <row r="110" spans="1:19" ht="15.75" thickBot="1">
      <c r="A110" s="3"/>
      <c r="B110" s="741"/>
      <c r="C110" s="314" t="s">
        <v>270</v>
      </c>
      <c r="D110" s="315"/>
      <c r="E110" s="341" t="str">
        <f>IF(ISBLANK(D110),"",D110*30)</f>
        <v/>
      </c>
      <c r="F110" s="285"/>
      <c r="G110" s="342" t="str">
        <f>IF(AND(E110&gt;0,F110&gt;0),(F110*E110),"")</f>
        <v/>
      </c>
      <c r="H110" s="285"/>
      <c r="I110" s="343" t="str">
        <f>IF(AND(G110&gt;0,H110&gt;0),H110/G110,"")</f>
        <v/>
      </c>
      <c r="J110" s="316"/>
      <c r="K110" s="348" t="str">
        <f>IF(AND(I110&gt;0,J110&gt;0),I110-J110,"")</f>
        <v/>
      </c>
      <c r="L110" s="2"/>
      <c r="M110" s="20"/>
      <c r="N110" s="20"/>
      <c r="O110" s="20"/>
      <c r="P110" s="19"/>
      <c r="R110" s="20"/>
    </row>
    <row r="111" spans="1:19">
      <c r="A111" s="3"/>
      <c r="B111" s="3"/>
      <c r="C111" s="3"/>
      <c r="D111" s="3"/>
      <c r="E111" s="3"/>
      <c r="F111" s="3"/>
      <c r="G111" s="2"/>
      <c r="H111" s="2"/>
      <c r="I111" s="2"/>
      <c r="J111" s="3"/>
      <c r="K111" s="3"/>
      <c r="L111" s="2"/>
      <c r="M111" s="2"/>
      <c r="N111" s="20"/>
      <c r="O111" s="20"/>
      <c r="P111" s="20"/>
      <c r="Q111" s="19"/>
      <c r="S111" s="20"/>
    </row>
    <row r="112" spans="1:19" ht="15.75" thickBot="1">
      <c r="A112" s="3"/>
      <c r="B112" s="3"/>
      <c r="C112" s="3"/>
      <c r="D112" s="3"/>
      <c r="E112" s="3"/>
      <c r="F112" s="3"/>
      <c r="G112" s="3"/>
      <c r="H112" s="3"/>
      <c r="I112" s="2"/>
      <c r="J112" s="107"/>
      <c r="K112" s="107"/>
      <c r="L112" s="3"/>
      <c r="M112" s="3"/>
    </row>
    <row r="113" spans="1:20" ht="19.5" thickBot="1">
      <c r="A113" s="3"/>
      <c r="B113" s="199" t="s">
        <v>365</v>
      </c>
      <c r="C113" s="125"/>
      <c r="D113" s="125"/>
      <c r="E113" s="126"/>
      <c r="F113" s="126"/>
      <c r="G113" s="126"/>
      <c r="H113" s="206"/>
      <c r="I113" s="200"/>
      <c r="J113" s="267"/>
      <c r="K113" s="268" t="s">
        <v>425</v>
      </c>
      <c r="L113" s="126"/>
      <c r="M113" s="269"/>
      <c r="N113" s="270"/>
      <c r="O113" s="270"/>
      <c r="P113" s="318"/>
      <c r="Q113" s="35"/>
    </row>
    <row r="114" spans="1:20" ht="15.75" thickBot="1">
      <c r="A114" s="3"/>
      <c r="B114" s="3"/>
      <c r="C114" s="3"/>
      <c r="D114" s="3"/>
      <c r="E114" s="3"/>
      <c r="F114" s="3"/>
      <c r="G114" s="3"/>
      <c r="H114" s="3"/>
      <c r="I114" s="3"/>
      <c r="J114" s="3"/>
      <c r="K114" s="3"/>
      <c r="L114" s="3"/>
      <c r="M114" s="3"/>
      <c r="N114"/>
      <c r="O114"/>
      <c r="P114" s="35"/>
      <c r="Q114" s="35"/>
    </row>
    <row r="115" spans="1:20" ht="42.75" customHeight="1">
      <c r="A115" s="3"/>
      <c r="B115" s="736" t="s">
        <v>370</v>
      </c>
      <c r="C115" s="737"/>
      <c r="D115" s="738"/>
      <c r="E115" s="256" t="s">
        <v>371</v>
      </c>
      <c r="F115" s="363" t="s">
        <v>372</v>
      </c>
      <c r="G115" s="203"/>
      <c r="H115" s="300" t="s">
        <v>62</v>
      </c>
      <c r="I115" s="300" t="s">
        <v>63</v>
      </c>
      <c r="J115" s="300" t="s">
        <v>281</v>
      </c>
      <c r="K115" s="300" t="s">
        <v>65</v>
      </c>
      <c r="L115" s="300" t="s">
        <v>72</v>
      </c>
      <c r="M115" s="300" t="s">
        <v>73</v>
      </c>
      <c r="N115" s="300" t="s">
        <v>74</v>
      </c>
      <c r="O115" s="300" t="s">
        <v>75</v>
      </c>
      <c r="P115" s="300" t="s">
        <v>76</v>
      </c>
      <c r="Q115" s="300" t="s">
        <v>77</v>
      </c>
      <c r="R115" s="300" t="s">
        <v>78</v>
      </c>
      <c r="S115" s="301" t="s">
        <v>232</v>
      </c>
      <c r="T115" s="63"/>
    </row>
    <row r="116" spans="1:20" ht="21.75" customHeight="1">
      <c r="A116" s="733" t="s">
        <v>271</v>
      </c>
      <c r="B116" s="671" t="s">
        <v>483</v>
      </c>
      <c r="C116" s="672"/>
      <c r="D116" s="673"/>
      <c r="E116" s="680" t="s">
        <v>421</v>
      </c>
      <c r="F116" s="682" t="s">
        <v>369</v>
      </c>
      <c r="G116" s="357" t="s">
        <v>366</v>
      </c>
      <c r="H116" s="424">
        <v>10</v>
      </c>
      <c r="I116" s="479">
        <v>10</v>
      </c>
      <c r="J116" s="422">
        <v>9.3000000000000007</v>
      </c>
      <c r="K116" s="511"/>
      <c r="L116" s="423"/>
      <c r="M116" s="424"/>
      <c r="N116" s="424"/>
      <c r="O116" s="424"/>
      <c r="P116" s="424"/>
      <c r="Q116" s="424"/>
      <c r="R116" s="424"/>
      <c r="S116" s="127"/>
      <c r="T116" s="63"/>
    </row>
    <row r="117" spans="1:20" ht="21" customHeight="1">
      <c r="A117" s="733"/>
      <c r="B117" s="674"/>
      <c r="C117" s="675"/>
      <c r="D117" s="676"/>
      <c r="E117" s="681"/>
      <c r="F117" s="683"/>
      <c r="G117" s="357" t="s">
        <v>367</v>
      </c>
      <c r="H117" s="521">
        <v>9.9600000000000009</v>
      </c>
      <c r="I117" s="424">
        <v>10.130000000000001</v>
      </c>
      <c r="J117" s="422">
        <v>9.3000000000000007</v>
      </c>
      <c r="K117" s="422"/>
      <c r="L117" s="423"/>
      <c r="M117" s="424"/>
      <c r="N117" s="424"/>
      <c r="O117" s="424"/>
      <c r="P117" s="424"/>
      <c r="Q117" s="424"/>
      <c r="R117" s="424"/>
      <c r="S117" s="127"/>
      <c r="T117" s="63"/>
    </row>
    <row r="118" spans="1:20" ht="30" customHeight="1">
      <c r="A118" s="733"/>
      <c r="B118" s="691" t="s">
        <v>479</v>
      </c>
      <c r="C118" s="672"/>
      <c r="D118" s="673"/>
      <c r="E118" s="686" t="s">
        <v>438</v>
      </c>
      <c r="F118" s="684" t="s">
        <v>369</v>
      </c>
      <c r="G118" s="419" t="s">
        <v>366</v>
      </c>
      <c r="H118" s="428">
        <v>22</v>
      </c>
      <c r="I118" s="480">
        <v>22</v>
      </c>
      <c r="J118" s="426">
        <v>21.5</v>
      </c>
      <c r="K118" s="427"/>
      <c r="L118" s="427"/>
      <c r="M118" s="427"/>
      <c r="N118" s="427"/>
      <c r="O118" s="427"/>
      <c r="P118" s="427"/>
      <c r="Q118" s="428"/>
      <c r="R118" s="428"/>
      <c r="S118" s="254"/>
      <c r="T118" s="63"/>
    </row>
    <row r="119" spans="1:20" ht="31.5" customHeight="1">
      <c r="A119" s="733"/>
      <c r="B119" s="674"/>
      <c r="C119" s="675"/>
      <c r="D119" s="676"/>
      <c r="E119" s="687"/>
      <c r="F119" s="685"/>
      <c r="G119" s="419" t="s">
        <v>367</v>
      </c>
      <c r="H119" s="428">
        <v>27.2</v>
      </c>
      <c r="I119" s="427">
        <v>25.3</v>
      </c>
      <c r="J119" s="425">
        <v>24.9</v>
      </c>
      <c r="K119" s="427"/>
      <c r="L119" s="427"/>
      <c r="M119" s="427"/>
      <c r="N119" s="427"/>
      <c r="O119" s="427"/>
      <c r="P119" s="427"/>
      <c r="Q119" s="428"/>
      <c r="R119" s="428"/>
      <c r="S119" s="254"/>
      <c r="T119" s="63"/>
    </row>
    <row r="120" spans="1:20" ht="32.25" customHeight="1">
      <c r="A120" s="733"/>
      <c r="B120" s="671" t="s">
        <v>480</v>
      </c>
      <c r="C120" s="672"/>
      <c r="D120" s="673"/>
      <c r="E120" s="680" t="s">
        <v>429</v>
      </c>
      <c r="F120" s="682" t="s">
        <v>369</v>
      </c>
      <c r="G120" s="357" t="s">
        <v>366</v>
      </c>
      <c r="H120" s="424">
        <v>55</v>
      </c>
      <c r="I120" s="479">
        <v>55</v>
      </c>
      <c r="J120" s="422">
        <v>60</v>
      </c>
      <c r="K120" s="431"/>
      <c r="L120" s="431"/>
      <c r="M120" s="429"/>
      <c r="N120" s="429"/>
      <c r="O120" s="429"/>
      <c r="P120" s="429"/>
      <c r="Q120" s="429"/>
      <c r="R120" s="429"/>
      <c r="S120" s="127"/>
      <c r="T120" s="63"/>
    </row>
    <row r="121" spans="1:20" ht="30.75" customHeight="1">
      <c r="A121" s="733"/>
      <c r="B121" s="674"/>
      <c r="C121" s="675"/>
      <c r="D121" s="676"/>
      <c r="E121" s="681"/>
      <c r="F121" s="683"/>
      <c r="G121" s="357" t="s">
        <v>367</v>
      </c>
      <c r="H121" s="521">
        <v>59</v>
      </c>
      <c r="I121" s="424">
        <v>59</v>
      </c>
      <c r="J121" s="422">
        <v>57.1</v>
      </c>
      <c r="K121" s="432"/>
      <c r="L121" s="433"/>
      <c r="M121" s="430"/>
      <c r="N121" s="430"/>
      <c r="O121" s="430"/>
      <c r="P121" s="429"/>
      <c r="Q121" s="429"/>
      <c r="R121" s="429"/>
      <c r="S121" s="127"/>
      <c r="T121" s="63"/>
    </row>
    <row r="122" spans="1:20" ht="30.75" customHeight="1">
      <c r="A122" s="3"/>
      <c r="B122" s="691" t="s">
        <v>484</v>
      </c>
      <c r="C122" s="672"/>
      <c r="D122" s="673"/>
      <c r="E122" s="686" t="s">
        <v>428</v>
      </c>
      <c r="F122" s="684" t="s">
        <v>369</v>
      </c>
      <c r="G122" s="419" t="s">
        <v>366</v>
      </c>
      <c r="H122" s="428">
        <v>107.2</v>
      </c>
      <c r="I122" s="480">
        <v>107.2</v>
      </c>
      <c r="J122" s="426">
        <v>105.6</v>
      </c>
      <c r="K122" s="441"/>
      <c r="L122" s="441"/>
      <c r="M122" s="442"/>
      <c r="N122" s="442"/>
      <c r="O122" s="442"/>
      <c r="P122" s="442"/>
      <c r="Q122" s="442"/>
      <c r="R122" s="442"/>
      <c r="S122" s="254"/>
      <c r="T122" s="63"/>
    </row>
    <row r="123" spans="1:20" ht="30.75" customHeight="1">
      <c r="A123" s="3"/>
      <c r="B123" s="674"/>
      <c r="C123" s="675"/>
      <c r="D123" s="676"/>
      <c r="E123" s="687"/>
      <c r="F123" s="685"/>
      <c r="G123" s="419" t="s">
        <v>367</v>
      </c>
      <c r="H123" s="428">
        <v>103.2</v>
      </c>
      <c r="I123" s="427">
        <v>89.5</v>
      </c>
      <c r="J123" s="425">
        <v>88.7</v>
      </c>
      <c r="K123" s="441"/>
      <c r="L123" s="441"/>
      <c r="M123" s="442"/>
      <c r="N123" s="442"/>
      <c r="O123" s="442"/>
      <c r="P123" s="442"/>
      <c r="Q123" s="442"/>
      <c r="R123" s="442"/>
      <c r="S123" s="254"/>
      <c r="T123" s="63"/>
    </row>
    <row r="124" spans="1:20" ht="24" customHeight="1">
      <c r="A124" s="3"/>
      <c r="B124" s="671" t="s">
        <v>440</v>
      </c>
      <c r="C124" s="672"/>
      <c r="D124" s="673"/>
      <c r="E124" s="663" t="s">
        <v>441</v>
      </c>
      <c r="F124" s="654" t="s">
        <v>369</v>
      </c>
      <c r="G124" s="336" t="s">
        <v>52</v>
      </c>
      <c r="H124" s="337">
        <v>456</v>
      </c>
      <c r="I124" s="337">
        <v>456</v>
      </c>
      <c r="J124" s="354">
        <v>912</v>
      </c>
      <c r="K124" s="447"/>
      <c r="L124" s="513"/>
      <c r="M124" s="447"/>
      <c r="N124" s="447"/>
      <c r="O124" s="447"/>
      <c r="P124" s="447"/>
      <c r="Q124" s="413"/>
      <c r="R124" s="413"/>
      <c r="S124" s="443"/>
      <c r="T124" s="63"/>
    </row>
    <row r="125" spans="1:20" ht="24.75" customHeight="1">
      <c r="A125" s="3"/>
      <c r="B125" s="674"/>
      <c r="C125" s="675"/>
      <c r="D125" s="676"/>
      <c r="E125" s="663"/>
      <c r="F125" s="654"/>
      <c r="G125" s="336" t="s">
        <v>53</v>
      </c>
      <c r="H125" s="337">
        <v>429</v>
      </c>
      <c r="I125" s="337">
        <v>320</v>
      </c>
      <c r="J125" s="354">
        <v>754</v>
      </c>
      <c r="K125" s="447"/>
      <c r="L125" s="447"/>
      <c r="M125" s="447"/>
      <c r="N125" s="447"/>
      <c r="O125" s="447"/>
      <c r="P125" s="447"/>
      <c r="Q125" s="413"/>
      <c r="R125" s="413"/>
      <c r="S125" s="443"/>
      <c r="T125" s="63"/>
    </row>
    <row r="126" spans="1:20" ht="24" customHeight="1">
      <c r="A126" s="3"/>
      <c r="B126" s="691" t="s">
        <v>442</v>
      </c>
      <c r="C126" s="672"/>
      <c r="D126" s="673"/>
      <c r="E126" s="669" t="s">
        <v>443</v>
      </c>
      <c r="F126" s="666" t="s">
        <v>369</v>
      </c>
      <c r="G126" s="335" t="s">
        <v>52</v>
      </c>
      <c r="H126" s="255">
        <v>410</v>
      </c>
      <c r="I126" s="255">
        <v>390</v>
      </c>
      <c r="J126" s="352">
        <v>780</v>
      </c>
      <c r="K126" s="441"/>
      <c r="L126" s="441"/>
      <c r="M126" s="442"/>
      <c r="N126" s="442"/>
      <c r="O126" s="442"/>
      <c r="P126" s="442"/>
      <c r="Q126" s="442"/>
      <c r="R126" s="442"/>
      <c r="S126" s="254"/>
      <c r="T126" s="63"/>
    </row>
    <row r="127" spans="1:20" ht="24.75" customHeight="1">
      <c r="A127" s="3"/>
      <c r="B127" s="674"/>
      <c r="C127" s="675"/>
      <c r="D127" s="676"/>
      <c r="E127" s="670"/>
      <c r="F127" s="667"/>
      <c r="G127" s="335" t="s">
        <v>53</v>
      </c>
      <c r="H127" s="255">
        <v>481</v>
      </c>
      <c r="I127" s="255">
        <v>528</v>
      </c>
      <c r="J127" s="353">
        <v>1036</v>
      </c>
      <c r="K127" s="441"/>
      <c r="L127" s="441"/>
      <c r="M127" s="442"/>
      <c r="N127" s="442"/>
      <c r="O127" s="442"/>
      <c r="P127" s="442"/>
      <c r="Q127" s="442"/>
      <c r="R127" s="442"/>
      <c r="S127" s="254"/>
      <c r="T127" s="63"/>
    </row>
    <row r="128" spans="1:20" ht="24.75" customHeight="1">
      <c r="A128" s="3"/>
      <c r="B128" s="671" t="s">
        <v>445</v>
      </c>
      <c r="C128" s="672"/>
      <c r="D128" s="673"/>
      <c r="E128" s="663" t="s">
        <v>444</v>
      </c>
      <c r="F128" s="654" t="s">
        <v>369</v>
      </c>
      <c r="G128" s="336" t="s">
        <v>52</v>
      </c>
      <c r="H128" s="517">
        <v>6.6</v>
      </c>
      <c r="I128" s="517">
        <v>6.3</v>
      </c>
      <c r="J128" s="531">
        <v>6.1</v>
      </c>
      <c r="K128" s="435"/>
      <c r="L128" s="435"/>
      <c r="M128" s="436"/>
      <c r="N128" s="436"/>
      <c r="O128" s="436"/>
      <c r="P128" s="436"/>
      <c r="Q128" s="436"/>
      <c r="R128" s="436"/>
      <c r="S128" s="338"/>
      <c r="T128" s="63"/>
    </row>
    <row r="129" spans="1:21" ht="24" customHeight="1">
      <c r="A129" s="3"/>
      <c r="B129" s="674"/>
      <c r="C129" s="675"/>
      <c r="D129" s="676"/>
      <c r="E129" s="663"/>
      <c r="F129" s="654"/>
      <c r="G129" s="336" t="s">
        <v>53</v>
      </c>
      <c r="H129" s="517">
        <v>8.6999999999999993</v>
      </c>
      <c r="I129" s="517">
        <v>11.4</v>
      </c>
      <c r="J129" s="531">
        <v>10</v>
      </c>
      <c r="K129" s="435"/>
      <c r="L129" s="435"/>
      <c r="M129" s="436"/>
      <c r="N129" s="436"/>
      <c r="O129" s="436"/>
      <c r="P129" s="436"/>
      <c r="Q129" s="436"/>
      <c r="R129" s="436"/>
      <c r="S129" s="338"/>
      <c r="T129" s="63"/>
    </row>
    <row r="130" spans="1:21" ht="39" hidden="1" customHeight="1">
      <c r="A130" s="3"/>
      <c r="B130" s="691"/>
      <c r="C130" s="712"/>
      <c r="D130" s="713"/>
      <c r="E130" s="661"/>
      <c r="F130" s="659"/>
      <c r="G130" s="358"/>
      <c r="H130" s="437"/>
      <c r="I130" s="481"/>
      <c r="J130" s="434"/>
      <c r="K130" s="437"/>
      <c r="L130" s="437"/>
      <c r="M130" s="437"/>
      <c r="N130" s="437"/>
      <c r="O130" s="437"/>
      <c r="P130" s="437"/>
      <c r="Q130" s="437"/>
      <c r="R130" s="437"/>
      <c r="S130" s="339"/>
      <c r="T130" s="63"/>
    </row>
    <row r="131" spans="1:21" ht="33.75" hidden="1" customHeight="1">
      <c r="A131" s="3"/>
      <c r="B131" s="714"/>
      <c r="C131" s="715"/>
      <c r="D131" s="716"/>
      <c r="E131" s="662"/>
      <c r="F131" s="660"/>
      <c r="G131" s="358"/>
      <c r="H131" s="437"/>
      <c r="I131" s="437"/>
      <c r="J131" s="434"/>
      <c r="K131" s="437"/>
      <c r="L131" s="437"/>
      <c r="M131" s="437"/>
      <c r="N131" s="437"/>
      <c r="O131" s="437"/>
      <c r="P131" s="437"/>
      <c r="Q131" s="437"/>
      <c r="R131" s="437"/>
      <c r="S131" s="339"/>
      <c r="T131" s="63"/>
    </row>
    <row r="132" spans="1:21" ht="24.75" hidden="1" customHeight="1">
      <c r="A132" s="3"/>
      <c r="B132" s="671"/>
      <c r="C132" s="672"/>
      <c r="D132" s="673"/>
      <c r="E132" s="663"/>
      <c r="F132" s="654"/>
      <c r="G132" s="336"/>
      <c r="H132" s="337"/>
      <c r="I132" s="337"/>
      <c r="J132" s="354"/>
      <c r="K132" s="337"/>
      <c r="L132" s="337"/>
      <c r="M132" s="337"/>
      <c r="N132" s="337"/>
      <c r="O132" s="337"/>
      <c r="P132" s="337"/>
      <c r="Q132" s="337"/>
      <c r="R132" s="337"/>
      <c r="S132" s="338"/>
      <c r="T132" s="63"/>
    </row>
    <row r="133" spans="1:21" ht="24" hidden="1" customHeight="1">
      <c r="A133" s="3"/>
      <c r="B133" s="674"/>
      <c r="C133" s="675"/>
      <c r="D133" s="676"/>
      <c r="E133" s="663"/>
      <c r="F133" s="654"/>
      <c r="G133" s="336"/>
      <c r="H133" s="337"/>
      <c r="I133" s="337"/>
      <c r="J133" s="354"/>
      <c r="K133" s="337"/>
      <c r="L133" s="337"/>
      <c r="M133" s="337"/>
      <c r="N133" s="337"/>
      <c r="O133" s="337"/>
      <c r="P133" s="337"/>
      <c r="Q133" s="337"/>
      <c r="R133" s="337"/>
      <c r="S133" s="338"/>
      <c r="T133" s="63"/>
    </row>
    <row r="134" spans="1:21" ht="21" hidden="1" customHeight="1">
      <c r="A134" s="3"/>
      <c r="B134" s="691"/>
      <c r="C134" s="672"/>
      <c r="D134" s="673"/>
      <c r="E134" s="669"/>
      <c r="F134" s="666"/>
      <c r="G134" s="335"/>
      <c r="H134" s="255"/>
      <c r="I134" s="255"/>
      <c r="J134" s="352"/>
      <c r="K134" s="255"/>
      <c r="L134" s="255"/>
      <c r="M134" s="255"/>
      <c r="N134" s="255"/>
      <c r="O134" s="255"/>
      <c r="P134" s="255"/>
      <c r="Q134" s="255"/>
      <c r="R134" s="255"/>
      <c r="S134" s="339"/>
      <c r="T134" s="63"/>
    </row>
    <row r="135" spans="1:21" ht="21.75" hidden="1" customHeight="1">
      <c r="A135" s="3"/>
      <c r="B135" s="674"/>
      <c r="C135" s="675"/>
      <c r="D135" s="676"/>
      <c r="E135" s="670"/>
      <c r="F135" s="667"/>
      <c r="G135" s="335"/>
      <c r="H135" s="255"/>
      <c r="I135" s="255"/>
      <c r="J135" s="353"/>
      <c r="K135" s="255"/>
      <c r="L135" s="255"/>
      <c r="M135" s="255"/>
      <c r="N135" s="255"/>
      <c r="O135" s="255"/>
      <c r="P135" s="255"/>
      <c r="Q135" s="255"/>
      <c r="R135" s="255"/>
      <c r="S135" s="339"/>
      <c r="T135" s="63"/>
    </row>
    <row r="136" spans="1:21" ht="26.25" hidden="1" customHeight="1">
      <c r="A136" s="3"/>
      <c r="B136" s="671"/>
      <c r="C136" s="672"/>
      <c r="D136" s="673"/>
      <c r="E136" s="663"/>
      <c r="F136" s="654"/>
      <c r="G136" s="336"/>
      <c r="H136" s="517"/>
      <c r="I136" s="517"/>
      <c r="J136" s="531"/>
      <c r="K136" s="337"/>
      <c r="L136" s="337"/>
      <c r="M136" s="337"/>
      <c r="N136" s="337"/>
      <c r="O136" s="337"/>
      <c r="P136" s="337"/>
      <c r="Q136" s="337"/>
      <c r="R136" s="337"/>
      <c r="S136" s="338"/>
      <c r="T136" s="63"/>
    </row>
    <row r="137" spans="1:21" ht="24" hidden="1" customHeight="1">
      <c r="A137" s="3"/>
      <c r="B137" s="674"/>
      <c r="C137" s="675"/>
      <c r="D137" s="676"/>
      <c r="E137" s="663"/>
      <c r="F137" s="654"/>
      <c r="G137" s="336"/>
      <c r="H137" s="517"/>
      <c r="I137" s="517"/>
      <c r="J137" s="531"/>
      <c r="K137" s="337"/>
      <c r="L137" s="337"/>
      <c r="M137" s="337"/>
      <c r="N137" s="337"/>
      <c r="O137" s="337"/>
      <c r="P137" s="337"/>
      <c r="Q137" s="337"/>
      <c r="R137" s="337"/>
      <c r="S137" s="338"/>
      <c r="T137" s="63"/>
    </row>
    <row r="138" spans="1:21">
      <c r="A138" s="3"/>
      <c r="B138" s="3"/>
      <c r="C138" s="3"/>
      <c r="D138" s="3"/>
      <c r="E138" s="3"/>
      <c r="F138" s="3"/>
      <c r="G138" s="2"/>
      <c r="H138" s="3"/>
      <c r="I138" s="3"/>
      <c r="J138" s="3"/>
      <c r="K138" s="3"/>
      <c r="L138" s="3"/>
      <c r="M138" s="3"/>
      <c r="N138" s="3"/>
      <c r="O138" s="3"/>
      <c r="R138" s="35"/>
      <c r="S138" s="35"/>
    </row>
    <row r="139" spans="1:21" ht="16.5" thickBot="1">
      <c r="A139" s="3"/>
      <c r="B139" s="257"/>
      <c r="C139" s="3"/>
      <c r="D139" s="3"/>
      <c r="E139" s="3"/>
      <c r="F139" s="3"/>
      <c r="G139" s="2"/>
      <c r="H139" s="3"/>
      <c r="I139" s="3"/>
      <c r="J139" s="3"/>
      <c r="K139" s="3"/>
      <c r="L139" s="3"/>
      <c r="M139" s="3"/>
      <c r="N139" s="3"/>
      <c r="O139" s="3"/>
      <c r="R139" s="35"/>
      <c r="S139" s="35"/>
    </row>
    <row r="140" spans="1:21" ht="41.25" customHeight="1">
      <c r="A140" s="3"/>
      <c r="B140" s="3" t="s">
        <v>420</v>
      </c>
      <c r="C140" s="3"/>
      <c r="D140" s="3"/>
      <c r="E140" s="256" t="s">
        <v>371</v>
      </c>
      <c r="F140" s="363" t="s">
        <v>372</v>
      </c>
      <c r="G140" s="203"/>
      <c r="H140" s="300" t="str">
        <f t="shared" ref="H140:S140" si="5">C30</f>
        <v>P1</v>
      </c>
      <c r="I140" s="300" t="str">
        <f t="shared" si="5"/>
        <v>P2</v>
      </c>
      <c r="J140" s="300" t="str">
        <f t="shared" si="5"/>
        <v>P3</v>
      </c>
      <c r="K140" s="300" t="str">
        <f t="shared" si="5"/>
        <v>P4</v>
      </c>
      <c r="L140" s="300" t="str">
        <f t="shared" si="5"/>
        <v>P5</v>
      </c>
      <c r="M140" s="300" t="str">
        <f t="shared" si="5"/>
        <v>P6</v>
      </c>
      <c r="N140" s="300" t="str">
        <f t="shared" si="5"/>
        <v>P7</v>
      </c>
      <c r="O140" s="300" t="str">
        <f t="shared" si="5"/>
        <v>P8</v>
      </c>
      <c r="P140" s="300" t="str">
        <f t="shared" si="5"/>
        <v>P9</v>
      </c>
      <c r="Q140" s="300" t="str">
        <f t="shared" si="5"/>
        <v>P10</v>
      </c>
      <c r="R140" s="300" t="str">
        <f t="shared" si="5"/>
        <v>P11</v>
      </c>
      <c r="S140" s="301" t="str">
        <f t="shared" si="5"/>
        <v>P12</v>
      </c>
      <c r="T140" s="35"/>
      <c r="U140" s="35"/>
    </row>
    <row r="141" spans="1:21" ht="25.5" customHeight="1">
      <c r="A141" s="3"/>
      <c r="B141" s="699" t="str">
        <f>IF(ISBLANK(B116),"",(B116))</f>
        <v>Rata mortalităţii  - Numărul de decese cauzate de TB (toate formele) pe an, la 100 000 persoane</v>
      </c>
      <c r="C141" s="717"/>
      <c r="D141" s="718"/>
      <c r="E141" s="668" t="str">
        <f>IF(ISBLANK(E116),"",(E116))</f>
        <v>Impact 1</v>
      </c>
      <c r="F141" s="665" t="str">
        <f>IF(ISBLANK(F116),"",(F116))</f>
        <v>Nu</v>
      </c>
      <c r="G141" s="357" t="s">
        <v>366</v>
      </c>
      <c r="H141" s="438">
        <f t="shared" ref="H141:H146" si="6">H116</f>
        <v>10</v>
      </c>
      <c r="I141" s="526">
        <v>10</v>
      </c>
      <c r="J141" s="438">
        <v>9.3000000000000007</v>
      </c>
      <c r="K141" s="438"/>
      <c r="L141" s="438"/>
      <c r="M141" s="438">
        <f t="shared" ref="M141:S146" si="7">M116</f>
        <v>0</v>
      </c>
      <c r="N141" s="438">
        <f t="shared" si="7"/>
        <v>0</v>
      </c>
      <c r="O141" s="438">
        <f t="shared" si="7"/>
        <v>0</v>
      </c>
      <c r="P141" s="438">
        <f t="shared" si="7"/>
        <v>0</v>
      </c>
      <c r="Q141" s="438">
        <f t="shared" si="7"/>
        <v>0</v>
      </c>
      <c r="R141" s="438">
        <f t="shared" si="7"/>
        <v>0</v>
      </c>
      <c r="S141" s="349">
        <f t="shared" si="7"/>
        <v>0</v>
      </c>
      <c r="T141" s="35"/>
      <c r="U141" s="35"/>
    </row>
    <row r="142" spans="1:21" ht="25.5" customHeight="1">
      <c r="A142" s="3"/>
      <c r="B142" s="719"/>
      <c r="C142" s="720"/>
      <c r="D142" s="721"/>
      <c r="E142" s="668"/>
      <c r="F142" s="665"/>
      <c r="G142" s="357" t="s">
        <v>367</v>
      </c>
      <c r="H142" s="522">
        <f t="shared" si="6"/>
        <v>9.9600000000000009</v>
      </c>
      <c r="I142" s="527">
        <v>10.130000000000001</v>
      </c>
      <c r="J142" s="438">
        <v>9.3000000000000007</v>
      </c>
      <c r="K142" s="438"/>
      <c r="L142" s="438"/>
      <c r="M142" s="438">
        <f t="shared" si="7"/>
        <v>0</v>
      </c>
      <c r="N142" s="438">
        <f t="shared" si="7"/>
        <v>0</v>
      </c>
      <c r="O142" s="438">
        <f t="shared" si="7"/>
        <v>0</v>
      </c>
      <c r="P142" s="438">
        <f t="shared" si="7"/>
        <v>0</v>
      </c>
      <c r="Q142" s="438">
        <f t="shared" si="7"/>
        <v>0</v>
      </c>
      <c r="R142" s="438">
        <f t="shared" si="7"/>
        <v>0</v>
      </c>
      <c r="S142" s="349">
        <f t="shared" si="7"/>
        <v>0</v>
      </c>
      <c r="T142" s="35"/>
      <c r="U142" s="35"/>
    </row>
    <row r="143" spans="1:21" ht="26.25" customHeight="1">
      <c r="A143" s="3"/>
      <c r="B143" s="706" t="str">
        <f>IF(ISBLANK(B118),"",(B118))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143" s="707"/>
      <c r="D143" s="708"/>
      <c r="E143" s="705" t="str">
        <f>IF(ISBLANK(E118),"",(E118))</f>
        <v>Impact 2</v>
      </c>
      <c r="F143" s="664" t="str">
        <f>IF(ISBLANK(F118),"",(F118))</f>
        <v>Nu</v>
      </c>
      <c r="G143" s="358" t="s">
        <v>366</v>
      </c>
      <c r="H143" s="439">
        <f t="shared" si="6"/>
        <v>22</v>
      </c>
      <c r="I143" s="439">
        <v>22</v>
      </c>
      <c r="J143" s="439">
        <v>21.5</v>
      </c>
      <c r="K143" s="439"/>
      <c r="L143" s="439"/>
      <c r="M143" s="439">
        <f t="shared" si="7"/>
        <v>0</v>
      </c>
      <c r="N143" s="439">
        <f t="shared" si="7"/>
        <v>0</v>
      </c>
      <c r="O143" s="439">
        <f t="shared" si="7"/>
        <v>0</v>
      </c>
      <c r="P143" s="439">
        <f t="shared" si="7"/>
        <v>0</v>
      </c>
      <c r="Q143" s="439">
        <f t="shared" si="7"/>
        <v>0</v>
      </c>
      <c r="R143" s="439">
        <f t="shared" si="7"/>
        <v>0</v>
      </c>
      <c r="S143" s="350">
        <f t="shared" si="7"/>
        <v>0</v>
      </c>
      <c r="T143" s="35"/>
      <c r="U143" s="35"/>
    </row>
    <row r="144" spans="1:21" ht="28.5" customHeight="1">
      <c r="A144" s="3"/>
      <c r="B144" s="709"/>
      <c r="C144" s="710"/>
      <c r="D144" s="711"/>
      <c r="E144" s="705"/>
      <c r="F144" s="664"/>
      <c r="G144" s="358" t="s">
        <v>367</v>
      </c>
      <c r="H144" s="439">
        <f t="shared" si="6"/>
        <v>27.2</v>
      </c>
      <c r="I144" s="439">
        <v>25.3</v>
      </c>
      <c r="J144" s="439">
        <v>24.9</v>
      </c>
      <c r="K144" s="439"/>
      <c r="L144" s="439"/>
      <c r="M144" s="439">
        <f t="shared" si="7"/>
        <v>0</v>
      </c>
      <c r="N144" s="439">
        <f t="shared" si="7"/>
        <v>0</v>
      </c>
      <c r="O144" s="439">
        <f t="shared" si="7"/>
        <v>0</v>
      </c>
      <c r="P144" s="439">
        <f t="shared" si="7"/>
        <v>0</v>
      </c>
      <c r="Q144" s="439">
        <f t="shared" si="7"/>
        <v>0</v>
      </c>
      <c r="R144" s="439">
        <f t="shared" si="7"/>
        <v>0</v>
      </c>
      <c r="S144" s="350">
        <f t="shared" si="7"/>
        <v>0</v>
      </c>
      <c r="T144" s="35"/>
      <c r="U144" s="35"/>
    </row>
    <row r="145" spans="1:21" ht="31.5" customHeight="1">
      <c r="A145" s="3"/>
      <c r="B145" s="699" t="str">
        <f>IF(ISBLANK(B120),"",(B120))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145" s="700"/>
      <c r="D145" s="701"/>
      <c r="E145" s="657" t="str">
        <f>IF(ISBLANK(E120),"",(E120))</f>
        <v>Rezultat 1</v>
      </c>
      <c r="F145" s="655" t="str">
        <f>IF(ISBLANK(F120),"",(F120))</f>
        <v>Nu</v>
      </c>
      <c r="G145" s="357" t="s">
        <v>366</v>
      </c>
      <c r="H145" s="438">
        <f t="shared" si="6"/>
        <v>55</v>
      </c>
      <c r="I145" s="526">
        <v>59</v>
      </c>
      <c r="J145" s="438">
        <v>60</v>
      </c>
      <c r="K145" s="438"/>
      <c r="L145" s="438"/>
      <c r="M145" s="438">
        <f t="shared" si="7"/>
        <v>0</v>
      </c>
      <c r="N145" s="438">
        <f t="shared" si="7"/>
        <v>0</v>
      </c>
      <c r="O145" s="438">
        <f t="shared" si="7"/>
        <v>0</v>
      </c>
      <c r="P145" s="438">
        <f t="shared" si="7"/>
        <v>0</v>
      </c>
      <c r="Q145" s="438">
        <f t="shared" si="7"/>
        <v>0</v>
      </c>
      <c r="R145" s="438">
        <f t="shared" si="7"/>
        <v>0</v>
      </c>
      <c r="S145" s="349">
        <f t="shared" si="7"/>
        <v>0</v>
      </c>
      <c r="T145" s="35"/>
      <c r="U145" s="35"/>
    </row>
    <row r="146" spans="1:21" ht="30.75" customHeight="1" thickBot="1">
      <c r="A146" s="3"/>
      <c r="B146" s="702"/>
      <c r="C146" s="703"/>
      <c r="D146" s="704"/>
      <c r="E146" s="658"/>
      <c r="F146" s="656"/>
      <c r="G146" s="364" t="s">
        <v>367</v>
      </c>
      <c r="H146" s="440">
        <f t="shared" si="6"/>
        <v>59</v>
      </c>
      <c r="I146" s="528">
        <v>65.5</v>
      </c>
      <c r="J146" s="440">
        <v>57.1</v>
      </c>
      <c r="K146" s="440"/>
      <c r="L146" s="440"/>
      <c r="M146" s="440">
        <f t="shared" si="7"/>
        <v>0</v>
      </c>
      <c r="N146" s="440">
        <f t="shared" si="7"/>
        <v>0</v>
      </c>
      <c r="O146" s="440">
        <f t="shared" si="7"/>
        <v>0</v>
      </c>
      <c r="P146" s="440">
        <f t="shared" si="7"/>
        <v>0</v>
      </c>
      <c r="Q146" s="440">
        <f t="shared" si="7"/>
        <v>0</v>
      </c>
      <c r="R146" s="440">
        <f t="shared" si="7"/>
        <v>0</v>
      </c>
      <c r="S146" s="351">
        <f t="shared" si="7"/>
        <v>0</v>
      </c>
      <c r="T146" s="35"/>
      <c r="U146" s="35"/>
    </row>
    <row r="147" spans="1:21">
      <c r="A147" s="3"/>
      <c r="B147" s="3"/>
      <c r="C147" s="3"/>
      <c r="D147" s="3"/>
      <c r="E147" s="3"/>
      <c r="F147" s="3"/>
      <c r="G147" s="3"/>
      <c r="H147" s="3"/>
      <c r="I147" s="3"/>
      <c r="J147" s="3"/>
      <c r="K147" s="3"/>
      <c r="L147" s="3"/>
      <c r="M147" s="3"/>
      <c r="N147"/>
      <c r="O147"/>
      <c r="P147" s="35"/>
      <c r="Q147" s="35"/>
      <c r="S147" s="340"/>
    </row>
    <row r="148" spans="1:21">
      <c r="N148"/>
      <c r="O148"/>
      <c r="P148" s="35"/>
      <c r="Q148" s="35"/>
    </row>
    <row r="149" spans="1:21">
      <c r="N149"/>
      <c r="O149"/>
      <c r="P149" s="35"/>
      <c r="Q149" s="35"/>
    </row>
    <row r="150" spans="1:21">
      <c r="N150"/>
      <c r="O150"/>
      <c r="P150" s="35"/>
      <c r="Q150" s="35"/>
    </row>
  </sheetData>
  <dataConsolidate/>
  <mergeCells count="76">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120:D121"/>
    <mergeCell ref="B122:D123"/>
    <mergeCell ref="A116:A121"/>
    <mergeCell ref="B71:C71"/>
    <mergeCell ref="B115:D115"/>
    <mergeCell ref="B107:B110"/>
    <mergeCell ref="B26:C26"/>
    <mergeCell ref="D24:E24"/>
    <mergeCell ref="B29:N29"/>
    <mergeCell ref="B59:D59"/>
    <mergeCell ref="G24:H24"/>
    <mergeCell ref="I24:J24"/>
    <mergeCell ref="B18:C18"/>
    <mergeCell ref="D18:F18"/>
    <mergeCell ref="B21:J21"/>
    <mergeCell ref="E10:F10"/>
    <mergeCell ref="B145:D146"/>
    <mergeCell ref="E143:E144"/>
    <mergeCell ref="B143:D144"/>
    <mergeCell ref="B124:D125"/>
    <mergeCell ref="B126:D127"/>
    <mergeCell ref="B130:D131"/>
    <mergeCell ref="E124:E125"/>
    <mergeCell ref="E126:E127"/>
    <mergeCell ref="B132:D133"/>
    <mergeCell ref="B141:D142"/>
    <mergeCell ref="E132:E133"/>
    <mergeCell ref="B134:D135"/>
    <mergeCell ref="B128:D129"/>
    <mergeCell ref="B136:D137"/>
    <mergeCell ref="O31:O34"/>
    <mergeCell ref="E116:E117"/>
    <mergeCell ref="F116:F117"/>
    <mergeCell ref="F118:F119"/>
    <mergeCell ref="E118:E119"/>
    <mergeCell ref="F46:I46"/>
    <mergeCell ref="F126:F127"/>
    <mergeCell ref="B116:D117"/>
    <mergeCell ref="F120:F121"/>
    <mergeCell ref="B118:D119"/>
    <mergeCell ref="B72:C72"/>
    <mergeCell ref="E122:E123"/>
    <mergeCell ref="F122:F123"/>
    <mergeCell ref="E120:E121"/>
    <mergeCell ref="B70:C70"/>
    <mergeCell ref="F124:F125"/>
    <mergeCell ref="F145:F146"/>
    <mergeCell ref="E145:E146"/>
    <mergeCell ref="F130:F131"/>
    <mergeCell ref="E130:E131"/>
    <mergeCell ref="F128:F129"/>
    <mergeCell ref="E128:E129"/>
    <mergeCell ref="F143:F144"/>
    <mergeCell ref="F141:F142"/>
    <mergeCell ref="F132:F133"/>
    <mergeCell ref="E136:E137"/>
    <mergeCell ref="F136:F137"/>
    <mergeCell ref="F134:F135"/>
    <mergeCell ref="E141:E142"/>
    <mergeCell ref="E134:E135"/>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3:N93">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0:S140 H115:S115">
    <cfRule type="cellIs" dxfId="38" priority="20" stopIfTrue="1" operator="equal">
      <formula>$C$16</formula>
    </cfRule>
  </conditionalFormatting>
  <conditionalFormatting sqref="F46:I46">
    <cfRule type="expression" dxfId="37" priority="21" stopIfTrue="1">
      <formula>LEFT($F$46,2)="OK"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7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7:C110">
      <formula1>Medicaments</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oddFooter>&amp;L&amp;F&amp;C&amp;A&amp;RV1.0          &amp;D</oddFooter>
  </headerFooter>
  <rowBreaks count="2" manualBreakCount="2">
    <brk id="47" max="16383" man="1"/>
    <brk id="103" max="14" man="1"/>
  </rowBreaks>
  <ignoredErrors>
    <ignoredError sqref="H140:S140 E1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pageSetUpPr fitToPage="1"/>
  </sheetPr>
  <dimension ref="A1:X18"/>
  <sheetViews>
    <sheetView showGridLines="0" zoomScale="110" zoomScaleNormal="110" zoomScaleSheetLayoutView="100" workbookViewId="0">
      <selection activeCell="I9" sqref="I9:J9"/>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6"/>
      <c r="H1" s="2"/>
      <c r="I1" s="2"/>
      <c r="J1" s="2"/>
    </row>
    <row r="2" spans="1:24" ht="25.5" customHeight="1"/>
    <row r="3" spans="1:24" ht="36">
      <c r="B3" s="762" t="str">
        <f>+"Tabel Programatic de Evaluare: "&amp;" "&amp;+IF('Introducerea datelor'!C4="Please Select","",'Introducerea datelor'!C4&amp;" - ")&amp;+IF('Introducerea datelor'!G6="Please Select","",'Introducerea datelor'!G6)</f>
        <v>Tabel Programatic de Evaluare:  Moldova - TB</v>
      </c>
      <c r="C3" s="762"/>
      <c r="D3" s="762"/>
      <c r="E3" s="762"/>
      <c r="F3" s="762"/>
      <c r="G3" s="762"/>
      <c r="H3" s="762"/>
      <c r="I3" s="762"/>
      <c r="J3" s="76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2" t="s">
        <v>283</v>
      </c>
      <c r="B6" s="763" t="str">
        <f>+IF('Introducerea datelor'!C4="Please Select","",'Introducerea datelor'!C4)</f>
        <v>Moldova</v>
      </c>
      <c r="C6" s="763"/>
      <c r="D6" s="766" t="s">
        <v>287</v>
      </c>
      <c r="E6" s="766"/>
      <c r="F6" s="767" t="str">
        <f>+'Introducerea datelor'!G4</f>
        <v>Consolidarea controlului Tuberculozei în Republica Moldova</v>
      </c>
      <c r="G6" s="767"/>
      <c r="H6" s="767"/>
      <c r="I6" s="767"/>
      <c r="J6" s="767"/>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294" t="s">
        <v>288</v>
      </c>
      <c r="B9" s="272" t="str">
        <f>+IF('Introducerea datelor'!G6="Please Select","",'Introducerea datelor'!G6)</f>
        <v>TB</v>
      </c>
      <c r="C9" s="185" t="s">
        <v>248</v>
      </c>
      <c r="D9" s="273" t="str">
        <f>+'Introducerea datelor'!C6</f>
        <v>MDA-T-PCIMU (#678)</v>
      </c>
      <c r="E9" s="765" t="s">
        <v>374</v>
      </c>
      <c r="F9" s="765"/>
      <c r="G9" s="380">
        <f>+IF(ISBLANK('Introducerea datelor'!C10),"",'Introducerea datelor'!C10)</f>
        <v>42186</v>
      </c>
      <c r="H9" s="294" t="s">
        <v>289</v>
      </c>
      <c r="I9" s="764">
        <f>+IF(ISBLANK('Introducerea datelor'!I6),"",'Introducerea datelor'!I6)</f>
        <v>7957826</v>
      </c>
      <c r="J9" s="764"/>
      <c r="K9" s="49"/>
      <c r="L9" s="49"/>
      <c r="M9" s="49"/>
      <c r="N9" s="49"/>
      <c r="O9" s="51"/>
      <c r="P9" s="50"/>
      <c r="Q9" s="51"/>
      <c r="R9" s="52"/>
      <c r="S9" s="17"/>
      <c r="T9" s="11"/>
      <c r="U9" s="11"/>
      <c r="V9" s="10"/>
      <c r="W9" s="10"/>
      <c r="X9" s="10"/>
    </row>
    <row r="10" spans="1:24" ht="25.5" customHeight="1">
      <c r="A10" s="294" t="s">
        <v>290</v>
      </c>
      <c r="B10" s="274" t="str">
        <f>+IF('Introducerea datelor'!G8="Please Select","",'Introducerea datelor'!G8)</f>
        <v/>
      </c>
      <c r="C10" s="185" t="s">
        <v>291</v>
      </c>
      <c r="D10" s="275" t="str">
        <f>+IF('Introducerea datelor'!I8="Please Select","",'Introducerea datelor'!I8)</f>
        <v>Period 1</v>
      </c>
      <c r="E10" s="757" t="s">
        <v>375</v>
      </c>
      <c r="F10" s="757"/>
      <c r="G10" s="756" t="str">
        <f>+'Introducerea datelor'!C8</f>
        <v>IP UCIMP DS</v>
      </c>
      <c r="H10" s="756"/>
      <c r="I10" s="756"/>
      <c r="J10" s="756"/>
      <c r="K10" s="53"/>
      <c r="L10" s="53"/>
      <c r="M10" s="49"/>
      <c r="N10" s="53"/>
      <c r="O10" s="51"/>
      <c r="P10" s="50"/>
      <c r="Q10" s="11"/>
      <c r="R10" s="52"/>
      <c r="S10" s="17"/>
      <c r="T10" s="11"/>
      <c r="U10" s="11"/>
    </row>
    <row r="11" spans="1:24" ht="25.5" customHeight="1">
      <c r="A11" s="294" t="s">
        <v>294</v>
      </c>
      <c r="B11" s="276" t="str">
        <f>+'Introducerea datelor'!C16</f>
        <v>P3</v>
      </c>
      <c r="C11" s="260" t="s">
        <v>295</v>
      </c>
      <c r="D11" s="381">
        <f>+IF(ISBLANK('Introducerea datelor'!E16),"",'Introducerea datelor'!E16)</f>
        <v>42552</v>
      </c>
      <c r="E11" s="765" t="s">
        <v>296</v>
      </c>
      <c r="F11" s="765"/>
      <c r="G11" s="381">
        <f>+IF(ISBLANK('Introducerea datelor'!G16),"",'Introducerea datelor'!G16)</f>
        <v>42735</v>
      </c>
      <c r="H11" s="294" t="s">
        <v>286</v>
      </c>
      <c r="I11" s="758" t="str">
        <f>+IF('Introducerea datelor'!C12="Please Select","",'Introducerea datelor'!C12)</f>
        <v>A2</v>
      </c>
      <c r="J11" s="758"/>
      <c r="K11" s="215"/>
      <c r="L11" s="53"/>
      <c r="M11" s="49"/>
      <c r="N11" s="53"/>
      <c r="O11" s="53"/>
      <c r="P11" s="50"/>
      <c r="Q11" s="11"/>
      <c r="R11" s="52"/>
      <c r="S11" s="17"/>
      <c r="T11" s="12"/>
      <c r="U11" s="11"/>
    </row>
    <row r="12" spans="1:24" ht="25.5" customHeight="1">
      <c r="A12" s="294" t="s">
        <v>292</v>
      </c>
      <c r="B12" s="756" t="str">
        <f>+IF('Introducerea datelor'!G10="Please Select","",'Introducerea datelor'!G10)</f>
        <v>PwC (PricewaterhouseCoopers)</v>
      </c>
      <c r="C12" s="756"/>
      <c r="D12" s="756"/>
      <c r="E12" s="757" t="s">
        <v>233</v>
      </c>
      <c r="F12" s="757"/>
      <c r="G12" s="756" t="str">
        <f>+'Introducerea datelor'!G12</f>
        <v>Tsovinar Sakanyan</v>
      </c>
      <c r="H12" s="756"/>
      <c r="I12" s="756"/>
      <c r="J12" s="756"/>
      <c r="K12" s="53"/>
      <c r="L12" s="53"/>
      <c r="M12" s="49"/>
      <c r="N12" s="53"/>
      <c r="O12" s="17"/>
      <c r="P12" s="50"/>
      <c r="Q12" s="11"/>
      <c r="R12" s="52"/>
      <c r="S12" s="17"/>
      <c r="T12" s="11"/>
      <c r="U12" s="54"/>
      <c r="V12" s="11"/>
      <c r="W12" s="12"/>
      <c r="X12" s="11"/>
    </row>
    <row r="13" spans="1:24" ht="30.75" customHeight="1">
      <c r="A13" s="294" t="s">
        <v>376</v>
      </c>
      <c r="B13" s="756" t="str">
        <f>+'Introducerea datelor'!D18</f>
        <v>IP UCIMP DS</v>
      </c>
      <c r="C13" s="756"/>
      <c r="D13" s="756"/>
      <c r="E13" s="759" t="s">
        <v>377</v>
      </c>
      <c r="F13" s="759"/>
      <c r="G13" s="760">
        <f>+IF(ISBLANK('Introducerea datelor'!J16),"",'Introducerea datelor'!J16)</f>
        <v>42860</v>
      </c>
      <c r="H13" s="761"/>
      <c r="I13" s="761"/>
      <c r="J13" s="761"/>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3"/>
      <c r="D16" s="16"/>
      <c r="E16" s="29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256"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pageSetUpPr fitToPage="1"/>
  </sheetPr>
  <dimension ref="A1:P35"/>
  <sheetViews>
    <sheetView showGridLines="0" topLeftCell="B17" zoomScale="130" zoomScaleNormal="130" zoomScaleSheetLayoutView="100" workbookViewId="0">
      <selection activeCell="M26" sqref="M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1"/>
      <c r="E1" s="192"/>
    </row>
    <row r="2" spans="1:16" ht="27.75" customHeight="1">
      <c r="B2" s="768" t="str">
        <f>+"Tabel Programatic de Evaluare:  "&amp;"  "&amp;IF(+'Introducerea datelor'!C4="Please Select","",'Introducerea datelor'!C4&amp;" - ")&amp;IF('Introducerea datelor'!G6="Please Select","",'Introducerea datelor'!G6)</f>
        <v>Tabel Programatic de Evaluare:    Moldova - TB</v>
      </c>
      <c r="C2" s="768"/>
      <c r="D2" s="768"/>
      <c r="E2" s="768"/>
      <c r="F2" s="768"/>
      <c r="G2" s="768"/>
      <c r="H2" s="768"/>
      <c r="I2" s="768"/>
      <c r="J2" s="768"/>
      <c r="K2" s="768"/>
      <c r="L2" s="768"/>
      <c r="M2" s="25"/>
      <c r="N2" s="25"/>
      <c r="O2" s="25"/>
      <c r="P2" s="25"/>
    </row>
    <row r="3" spans="1:16">
      <c r="B3" s="23" t="str">
        <f>+IF('Introducerea datelor'!G8="Please Select","",'Introducerea datelor'!G8)</f>
        <v/>
      </c>
      <c r="C3" s="773" t="str">
        <f>+IF('Introducerea datelor'!I8="Please Select","",'Introducerea datelor'!I8)</f>
        <v>Period 1</v>
      </c>
      <c r="D3" s="773"/>
      <c r="E3" s="771"/>
      <c r="F3" s="771"/>
      <c r="G3" s="771"/>
      <c r="H3" s="771"/>
      <c r="I3" s="771"/>
      <c r="J3" s="772" t="str">
        <f>+'Introducerea datelor'!B16</f>
        <v>Perioada de Raportare:</v>
      </c>
      <c r="K3" s="772"/>
      <c r="L3" s="160" t="str">
        <f>+'Introducerea datelor'!C16</f>
        <v>P3</v>
      </c>
    </row>
    <row r="4" spans="1:16">
      <c r="B4" s="23" t="str">
        <f>+'Introducerea datelor'!B12</f>
        <v>Ultimul Rating:</v>
      </c>
      <c r="C4" s="769" t="str">
        <f>+IF('Introducerea datelor'!C12="Please Select","",'Introducerea datelor'!C12)</f>
        <v>A2</v>
      </c>
      <c r="D4" s="769"/>
      <c r="E4" s="771" t="str">
        <f>+'Introducerea datelor'!C8</f>
        <v>IP UCIMP DS</v>
      </c>
      <c r="F4" s="771"/>
      <c r="G4" s="771"/>
      <c r="H4" s="771"/>
      <c r="I4" s="771"/>
      <c r="J4" s="772" t="str">
        <f>+'Introducerea datelor'!D16</f>
        <v>De la:</v>
      </c>
      <c r="K4" s="774"/>
      <c r="L4" s="411">
        <f>+IF(ISBLANK('Introducerea datelor'!E16),"",'Introducerea datelor'!E16)</f>
        <v>42552</v>
      </c>
    </row>
    <row r="5" spans="1:16" ht="18.75" customHeight="1">
      <c r="B5" s="23"/>
      <c r="C5" s="23"/>
      <c r="D5" s="771" t="str">
        <f>+'Introducerea datelor'!G4</f>
        <v>Consolidarea controlului Tuberculozei în Republica Moldova</v>
      </c>
      <c r="E5" s="771"/>
      <c r="F5" s="771"/>
      <c r="G5" s="771"/>
      <c r="H5" s="771"/>
      <c r="I5" s="771"/>
      <c r="J5" s="771"/>
      <c r="K5" s="23" t="str">
        <f>+'Introducerea datelor'!F16</f>
        <v>Pînă la:</v>
      </c>
      <c r="L5" s="411">
        <f>+IF(ISBLANK('Introducerea datelor'!G16),"",'Introducerea datelor'!G16)</f>
        <v>42735</v>
      </c>
    </row>
    <row r="6" spans="1:16" ht="18.75">
      <c r="B6" s="22"/>
      <c r="C6" s="23"/>
      <c r="D6" s="24"/>
      <c r="E6" s="770" t="s">
        <v>382</v>
      </c>
      <c r="F6" s="770"/>
      <c r="G6" s="770"/>
      <c r="H6" s="770"/>
      <c r="I6" s="770"/>
    </row>
    <row r="7" spans="1:16" ht="26.25" customHeight="1">
      <c r="B7" s="775" t="str">
        <f>+'Introducerea datelor'!B68&amp;"                "&amp;+J3&amp;" "&amp;+L3</f>
        <v>M1: Statutul Condițiilor Precedente și a Acțiunilor Prestabilite în Timp                 Perioada de Raportare: P3</v>
      </c>
      <c r="C7" s="776"/>
      <c r="D7" s="776"/>
      <c r="E7" s="776"/>
      <c r="F7" s="776"/>
      <c r="H7" s="775" t="str">
        <f>+'Introducerea datelor'!B75&amp;"                                                                             "&amp;+J3&amp;"  "&amp;+L3</f>
        <v>M2: Statutul pozițiilor cheie a RP                                                                              Perioada de Raportare:  P3</v>
      </c>
      <c r="I7" s="776"/>
      <c r="J7" s="776"/>
      <c r="K7" s="776"/>
      <c r="L7" s="776"/>
    </row>
    <row r="8" spans="1:16" ht="72" customHeight="1">
      <c r="B8" s="279" t="s">
        <v>381</v>
      </c>
      <c r="C8" s="777" t="s">
        <v>487</v>
      </c>
      <c r="D8" s="780"/>
      <c r="E8" s="780"/>
      <c r="F8" s="781"/>
      <c r="G8" s="482"/>
      <c r="H8" s="279" t="s">
        <v>381</v>
      </c>
      <c r="I8" s="777" t="s">
        <v>481</v>
      </c>
      <c r="J8" s="778"/>
      <c r="K8" s="778"/>
      <c r="L8" s="779"/>
    </row>
    <row r="9" spans="1:16" ht="22.5" customHeight="1">
      <c r="B9" s="19"/>
      <c r="C9" s="19"/>
      <c r="D9" s="19"/>
      <c r="E9" s="19"/>
      <c r="F9" s="19"/>
      <c r="G9" s="19"/>
      <c r="H9" s="19"/>
    </row>
    <row r="10" spans="1:16" ht="21" customHeight="1">
      <c r="A10" s="46"/>
      <c r="B10" s="19"/>
      <c r="C10" s="19"/>
      <c r="D10" s="782"/>
      <c r="E10" s="567"/>
      <c r="F10" s="567"/>
      <c r="G10" s="168"/>
      <c r="H10" s="19"/>
      <c r="N10" s="48"/>
      <c r="O10" s="48"/>
      <c r="P10" s="47"/>
    </row>
    <row r="11" spans="1:16">
      <c r="B11" s="19"/>
      <c r="C11" s="27"/>
      <c r="D11" s="782"/>
      <c r="E11" s="27"/>
      <c r="F11" s="27"/>
      <c r="G11" s="27"/>
      <c r="H11" s="27"/>
      <c r="N11" s="19"/>
      <c r="O11" s="19"/>
    </row>
    <row r="12" spans="1:16">
      <c r="B12" s="27"/>
      <c r="C12" s="78"/>
      <c r="D12" s="79"/>
      <c r="E12" s="79"/>
      <c r="F12" s="79"/>
      <c r="G12" s="79"/>
      <c r="H12" s="80"/>
      <c r="N12" s="514"/>
    </row>
    <row r="13" spans="1:16">
      <c r="B13" s="27"/>
      <c r="C13" s="78"/>
      <c r="D13" s="79"/>
      <c r="E13" s="79"/>
      <c r="F13" s="79"/>
      <c r="G13" s="79"/>
      <c r="H13" s="80"/>
    </row>
    <row r="14" spans="1:16" ht="27" customHeight="1"/>
    <row r="15" spans="1:16" ht="35.25" customHeight="1">
      <c r="B15" s="775" t="str">
        <f>+'Introducerea datelor'!B80&amp;"                                                                                                 "&amp;+J3&amp;" "&amp;+L3</f>
        <v>M3: Aranjamente contractuale (SR)                                                                                                  Perioada de Raportare: P3</v>
      </c>
      <c r="C15" s="776"/>
      <c r="D15" s="776"/>
      <c r="E15" s="776"/>
      <c r="F15" s="776"/>
      <c r="G15" s="776"/>
      <c r="H15" s="775" t="str">
        <f>+'Introducerea datelor'!B85&amp;"                        "&amp;+J3&amp;" "&amp;+L3</f>
        <v>M4: Numărul rapoartelor complete recepționate la timp                        Perioada de Raportare: P3</v>
      </c>
      <c r="I15" s="776"/>
      <c r="J15" s="776"/>
      <c r="K15" s="776"/>
      <c r="L15" s="776"/>
    </row>
    <row r="16" spans="1:16" ht="79.5" customHeight="1">
      <c r="B16" s="279" t="s">
        <v>381</v>
      </c>
      <c r="C16" s="777" t="s">
        <v>482</v>
      </c>
      <c r="D16" s="778"/>
      <c r="E16" s="778"/>
      <c r="F16" s="779"/>
      <c r="G16" s="482"/>
      <c r="H16" s="279" t="s">
        <v>381</v>
      </c>
      <c r="I16" s="777" t="s">
        <v>488</v>
      </c>
      <c r="J16" s="780"/>
      <c r="K16" s="780"/>
      <c r="L16" s="781"/>
    </row>
    <row r="17" spans="2:13">
      <c r="B17" s="28"/>
      <c r="H17" s="29"/>
    </row>
    <row r="18" spans="2:13">
      <c r="M18" s="82"/>
    </row>
    <row r="26" spans="2:13" ht="40.5" customHeight="1">
      <c r="B26" s="783" t="str">
        <f>+'Introducerea datelor'!B91</f>
        <v xml:space="preserve">M5: Bugetul și Procurarea produselor medicale, echipamentului medical, medicamentelor și produselor farmaceutice </v>
      </c>
      <c r="C26" s="784"/>
      <c r="D26" s="784"/>
      <c r="E26" s="784"/>
      <c r="F26" s="784"/>
      <c r="H26" s="775" t="str">
        <f>+'Introducerea datelor'!B104&amp;"                                                                "&amp;+J3&amp;"  "&amp;+L3</f>
        <v>M6: Diferență între stocul curent și stocul de siguranță                                                                Perioada de Raportare:  P3</v>
      </c>
      <c r="I26" s="776"/>
      <c r="J26" s="776"/>
      <c r="K26" s="776"/>
      <c r="L26" s="776"/>
    </row>
    <row r="27" spans="2:13" ht="51" customHeight="1">
      <c r="B27" s="279" t="s">
        <v>381</v>
      </c>
      <c r="C27" s="777" t="s">
        <v>500</v>
      </c>
      <c r="D27" s="778"/>
      <c r="E27" s="778"/>
      <c r="F27" s="779"/>
      <c r="G27" s="482"/>
      <c r="H27" s="279" t="s">
        <v>1</v>
      </c>
      <c r="I27" s="777" t="s">
        <v>489</v>
      </c>
      <c r="J27" s="780"/>
      <c r="K27" s="780"/>
      <c r="L27" s="781"/>
    </row>
    <row r="28" spans="2:13" ht="15.75" thickBot="1"/>
    <row r="29" spans="2:13" ht="59.25" customHeight="1">
      <c r="F29" s="264"/>
      <c r="G29" s="264"/>
      <c r="H29" s="367" t="s">
        <v>356</v>
      </c>
      <c r="I29" s="366" t="s">
        <v>383</v>
      </c>
      <c r="J29" s="278" t="s">
        <v>385</v>
      </c>
      <c r="K29" s="179" t="s">
        <v>386</v>
      </c>
      <c r="L29" s="261" t="s">
        <v>387</v>
      </c>
    </row>
    <row r="30" spans="2:13" ht="15" customHeight="1">
      <c r="F30" s="264"/>
      <c r="G30" s="264"/>
      <c r="H30" s="786" t="str">
        <f>+'Introducerea datelor'!B107</f>
        <v>Please Select</v>
      </c>
      <c r="I30" s="262" t="str">
        <f>+'Introducerea datelor'!C107</f>
        <v>Please Select</v>
      </c>
      <c r="J30" s="331" t="str">
        <f>+'Introducerea datelor'!I107</f>
        <v/>
      </c>
      <c r="K30" s="332">
        <f>+'Introducerea datelor'!J107</f>
        <v>0</v>
      </c>
      <c r="L30" s="327" t="str">
        <f>+'Introducerea datelor'!K107</f>
        <v/>
      </c>
    </row>
    <row r="31" spans="2:13">
      <c r="F31" s="264"/>
      <c r="G31" s="264"/>
      <c r="H31" s="787"/>
      <c r="I31" s="262" t="str">
        <f>+'Introducerea datelor'!C108</f>
        <v>Please Select</v>
      </c>
      <c r="J31" s="331" t="str">
        <f>+'Introducerea datelor'!I108</f>
        <v/>
      </c>
      <c r="K31" s="332">
        <f>+'Introducerea datelor'!J108</f>
        <v>0</v>
      </c>
      <c r="L31" s="328" t="str">
        <f>+'Introducerea datelor'!K108</f>
        <v/>
      </c>
    </row>
    <row r="32" spans="2:13">
      <c r="F32" s="264"/>
      <c r="G32" s="264"/>
      <c r="H32" s="787"/>
      <c r="I32" s="262" t="str">
        <f>+'Introducerea datelor'!C109</f>
        <v>Please Select</v>
      </c>
      <c r="J32" s="331" t="str">
        <f>+'Introducerea datelor'!I109</f>
        <v/>
      </c>
      <c r="K32" s="332">
        <f>+'Introducerea datelor'!J109</f>
        <v>0</v>
      </c>
      <c r="L32" s="327" t="str">
        <f>+'Introducerea datelor'!K109</f>
        <v/>
      </c>
    </row>
    <row r="33" spans="2:12" ht="15.75" thickBot="1">
      <c r="F33" s="264"/>
      <c r="G33" s="264"/>
      <c r="H33" s="788"/>
      <c r="I33" s="263" t="str">
        <f>+'Introducerea datelor'!C110</f>
        <v>Please Select</v>
      </c>
      <c r="J33" s="333" t="str">
        <f>+'Introducerea datelor'!I110</f>
        <v/>
      </c>
      <c r="K33" s="334">
        <f>+'Introducerea datelor'!J110</f>
        <v>0</v>
      </c>
      <c r="L33" s="327" t="str">
        <f>+'Introducerea datelor'!K110</f>
        <v/>
      </c>
    </row>
    <row r="34" spans="2:12" ht="22.5" customHeight="1">
      <c r="B34" s="785" t="str">
        <f>+'Introducerea datelor'!B101</f>
        <v>* Include numai AFR categoriile 4,5 și 6  (Produse medicale și Echipamente medicale &amp; Medicamente și Produse farmaceutice)</v>
      </c>
      <c r="C34" s="785"/>
      <c r="D34" s="785"/>
      <c r="E34" s="785"/>
      <c r="F34" s="19"/>
      <c r="G34" s="19"/>
      <c r="H34" s="176"/>
      <c r="I34" s="177"/>
      <c r="J34" s="178"/>
      <c r="K34" s="168"/>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pageSetUpPr fitToPage="1"/>
  </sheetPr>
  <dimension ref="A1:O34"/>
  <sheetViews>
    <sheetView showGridLines="0" view="pageBreakPreview" topLeftCell="A16" zoomScale="115" zoomScaleNormal="100" zoomScaleSheetLayoutView="115"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89" t="str">
        <f>+"Tabel Programatic de Evaluare:  "&amp;"  "&amp;IF(+'Introducerea datelor'!C4="Please Select","",'Introducerea datelor'!C4&amp;" - ")&amp;IF('Introducerea datelor'!G6="Please Select","",'Introducerea datelor'!G6)</f>
        <v>Tabel Programatic de Evaluare:    Moldova - TB</v>
      </c>
      <c r="C2" s="789"/>
      <c r="D2" s="789"/>
      <c r="E2" s="789"/>
      <c r="F2" s="789"/>
      <c r="G2" s="789"/>
      <c r="H2" s="789"/>
      <c r="I2" s="789"/>
      <c r="J2" s="789"/>
      <c r="K2" s="789"/>
      <c r="L2" s="1"/>
      <c r="M2" s="1"/>
      <c r="N2" s="1"/>
      <c r="O2" s="1"/>
    </row>
    <row r="3" spans="2:15">
      <c r="B3" s="128" t="str">
        <f>+IF('Introducerea datelor'!G8="Please Select","",'Introducerea datelor'!G8)</f>
        <v/>
      </c>
      <c r="C3" s="794" t="str">
        <f>+IF('Introducerea datelor'!I8="Please Select","",'Introducerea datelor'!I8)</f>
        <v>Period 1</v>
      </c>
      <c r="D3" s="794"/>
      <c r="E3" s="793"/>
      <c r="F3" s="793"/>
      <c r="G3" s="793"/>
      <c r="H3" s="793"/>
      <c r="I3" s="791" t="str">
        <f>+'Introducerea datelor'!B16</f>
        <v>Perioada de Raportare:</v>
      </c>
      <c r="J3" s="791"/>
      <c r="K3" s="160" t="str">
        <f>+'Introducerea datelor'!C16</f>
        <v>P3</v>
      </c>
      <c r="L3" s="82"/>
    </row>
    <row r="4" spans="2:15">
      <c r="B4" s="128" t="str">
        <f>+'Introducerea datelor'!B12</f>
        <v>Ultimul Rating:</v>
      </c>
      <c r="C4" s="769" t="str">
        <f>+IF('Introducerea datelor'!C12="Please Select","",'Introducerea datelor'!C12)</f>
        <v>A2</v>
      </c>
      <c r="D4" s="769"/>
      <c r="E4" s="793" t="str">
        <f>+'Introducerea datelor'!C8</f>
        <v>IP UCIMP DS</v>
      </c>
      <c r="F4" s="793"/>
      <c r="G4" s="793"/>
      <c r="H4" s="793"/>
      <c r="I4" s="791" t="str">
        <f>+'Introducerea datelor'!D16</f>
        <v>De la:</v>
      </c>
      <c r="J4" s="792"/>
      <c r="K4" s="411">
        <f>+IF(ISBLANK('Introducerea datelor'!E16),"",'Introducerea datelor'!E16)</f>
        <v>42552</v>
      </c>
    </row>
    <row r="5" spans="2:15" ht="18.75" customHeight="1">
      <c r="B5" s="128"/>
      <c r="C5" s="128"/>
      <c r="D5" s="790" t="str">
        <f>+'Introducerea datelor'!G4</f>
        <v>Consolidarea controlului Tuberculozei în Republica Moldova</v>
      </c>
      <c r="E5" s="790"/>
      <c r="F5" s="790"/>
      <c r="G5" s="790"/>
      <c r="H5" s="790"/>
      <c r="I5" s="790"/>
      <c r="J5" s="128" t="str">
        <f>+'Introducerea datelor'!F16</f>
        <v>Pînă la:</v>
      </c>
      <c r="K5" s="411">
        <f>+IF(ISBLANK('Introducerea datelor'!G16),"",'Introducerea datelor'!G16)</f>
        <v>42735</v>
      </c>
    </row>
    <row r="6" spans="2:15" ht="18.75">
      <c r="B6" s="132"/>
      <c r="C6" s="128"/>
      <c r="D6" s="129"/>
      <c r="E6" s="800" t="s">
        <v>380</v>
      </c>
      <c r="F6" s="800"/>
      <c r="G6" s="800"/>
      <c r="H6" s="800"/>
      <c r="I6" s="3"/>
      <c r="J6" s="3"/>
      <c r="K6" s="3"/>
    </row>
    <row r="7" spans="2:15" ht="10.5" customHeight="1">
      <c r="B7" s="133"/>
      <c r="C7" s="134"/>
      <c r="D7" s="135"/>
      <c r="E7" s="136"/>
      <c r="F7" s="136"/>
      <c r="G7" s="137"/>
      <c r="H7" s="137"/>
      <c r="I7" s="131"/>
      <c r="J7" s="131"/>
      <c r="K7" s="130"/>
      <c r="O7" t="s">
        <v>379</v>
      </c>
    </row>
    <row r="8" spans="2:15" ht="26.25" customHeight="1">
      <c r="B8" s="803" t="str">
        <f>+'Introducerea datelor'!B27&amp; " - in ("&amp;'Introducerea datelor'!D26&amp;")  "&amp;+I3&amp;" "&amp;+K3</f>
        <v>F1: Bugetul și debursările de către Fondul Global - in (€)  Perioada de Raportare: P3</v>
      </c>
      <c r="C8" s="776"/>
      <c r="D8" s="776"/>
      <c r="E8" s="776"/>
      <c r="F8" s="776"/>
      <c r="H8" s="165" t="str">
        <f>+'Introducerea datelor'!B48&amp; " - in ("&amp;'Introducerea datelor'!D26&amp;")         "&amp;+I3&amp;" "&amp;+K3</f>
        <v>F3: Debursări și cheltuieli - in (€)         Perioada de Raportare: P3</v>
      </c>
      <c r="I8" s="3"/>
      <c r="J8" s="3"/>
      <c r="K8" s="3"/>
    </row>
    <row r="9" spans="2:15" ht="287.25" customHeight="1">
      <c r="B9" s="279" t="s">
        <v>381</v>
      </c>
      <c r="C9" s="804" t="s">
        <v>501</v>
      </c>
      <c r="D9" s="810"/>
      <c r="E9" s="810"/>
      <c r="F9" s="811"/>
      <c r="G9" s="545"/>
      <c r="H9" s="546" t="s">
        <v>381</v>
      </c>
      <c r="I9" s="804" t="s">
        <v>490</v>
      </c>
      <c r="J9" s="810"/>
      <c r="K9" s="81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510"/>
    </row>
    <row r="22" spans="1:13" ht="24" customHeight="1">
      <c r="B22" s="799" t="str">
        <f>+'Introducerea datelor'!B36&amp; " - in ("&amp;'Introducerea datelor'!D26&amp;")  "&amp;+I3&amp;" "&amp;+K3</f>
        <v>F2: Bugetul și cheltuielile actuale după Obiectivele Grantului - in (€)  Perioada de Raportare: P3</v>
      </c>
      <c r="C22" s="550"/>
      <c r="D22" s="550"/>
      <c r="E22" s="550"/>
      <c r="F22" s="550"/>
      <c r="G22" s="361"/>
      <c r="H22" s="799" t="str">
        <f>+'Introducerea datelor'!B57&amp;"      "&amp;+I3&amp;" "&amp;+K3</f>
        <v>F4: Ultima perioadă de raportare și debursare a RP       Perioada de Raportare: P3</v>
      </c>
      <c r="I22" s="776"/>
      <c r="J22" s="776"/>
      <c r="K22" s="776"/>
    </row>
    <row r="23" spans="1:13" ht="253.5" customHeight="1">
      <c r="B23" s="279" t="s">
        <v>381</v>
      </c>
      <c r="C23" s="812" t="s">
        <v>492</v>
      </c>
      <c r="D23" s="813"/>
      <c r="E23" s="813"/>
      <c r="F23" s="814"/>
      <c r="G23" s="547"/>
      <c r="H23" s="546" t="s">
        <v>381</v>
      </c>
      <c r="I23" s="804" t="s">
        <v>491</v>
      </c>
      <c r="J23" s="805"/>
      <c r="K23" s="806"/>
    </row>
    <row r="24" spans="1:13" ht="15.75" thickBot="1">
      <c r="B24" s="174"/>
      <c r="C24" s="174"/>
      <c r="D24" s="174"/>
      <c r="E24" s="174"/>
      <c r="F24" s="174"/>
      <c r="G24" s="174"/>
      <c r="H24" s="175"/>
      <c r="I24" s="175"/>
      <c r="J24" s="174"/>
      <c r="K24" s="174"/>
    </row>
    <row r="25" spans="1:13" ht="29.25" customHeight="1" thickBot="1">
      <c r="B25" s="3"/>
      <c r="C25" s="3"/>
      <c r="D25" s="3"/>
      <c r="E25" s="3"/>
      <c r="F25" s="3"/>
      <c r="G25" s="258"/>
      <c r="H25" s="807" t="s">
        <v>423</v>
      </c>
      <c r="I25" s="808"/>
      <c r="J25" s="808"/>
      <c r="K25" s="809"/>
    </row>
    <row r="26" spans="1:13" ht="24.75">
      <c r="B26" s="3"/>
      <c r="C26" s="3"/>
      <c r="D26" s="3"/>
      <c r="E26" s="3"/>
      <c r="F26" s="3"/>
      <c r="G26" s="228"/>
      <c r="H26" s="795"/>
      <c r="I26" s="796"/>
      <c r="J26" s="241" t="s">
        <v>319</v>
      </c>
      <c r="K26" s="242" t="s">
        <v>320</v>
      </c>
    </row>
    <row r="27" spans="1:13" ht="23.25" customHeight="1">
      <c r="B27" s="3"/>
      <c r="C27" s="3"/>
      <c r="D27" s="3"/>
      <c r="E27" s="3"/>
      <c r="F27" s="3"/>
      <c r="G27" s="259"/>
      <c r="H27" s="801" t="str">
        <f>'Introducerea datelor'!B61</f>
        <v>Zile necesare pentru remiterea PU/DR final către ALF</v>
      </c>
      <c r="I27" s="802"/>
      <c r="J27" s="378">
        <f>+'Introducerea datelor'!C61</f>
        <v>80</v>
      </c>
      <c r="K27" s="532">
        <f>+'Introducerea datelor'!D61</f>
        <v>80</v>
      </c>
    </row>
    <row r="28" spans="1:13" ht="25.5" customHeight="1">
      <c r="B28" s="3"/>
      <c r="C28" s="3"/>
      <c r="D28" s="3"/>
      <c r="E28" s="3"/>
      <c r="F28" s="3"/>
      <c r="G28" s="259"/>
      <c r="H28" s="801" t="str">
        <f>'Introducerea datelor'!B62</f>
        <v>Zile necesare pentru debursare către RP</v>
      </c>
      <c r="I28" s="802"/>
      <c r="J28" s="378">
        <f>+'Introducerea datelor'!C62</f>
        <v>0</v>
      </c>
      <c r="K28" s="409">
        <f>+'Introducerea datelor'!D62</f>
        <v>0</v>
      </c>
    </row>
    <row r="29" spans="1:13" ht="24.75" customHeight="1" thickBot="1">
      <c r="B29" s="3"/>
      <c r="C29" s="3"/>
      <c r="D29" s="3"/>
      <c r="E29" s="3"/>
      <c r="F29" s="3"/>
      <c r="G29" s="259"/>
      <c r="H29" s="797" t="str">
        <f>'Introducerea datelor'!B63</f>
        <v>Zile necesare pentru debursare către SR</v>
      </c>
      <c r="I29" s="798"/>
      <c r="J29" s="379">
        <f>+'Introducerea datelor'!C63</f>
        <v>10</v>
      </c>
      <c r="K29" s="533">
        <f>+'Introducerea datelor'!D63</f>
        <v>10</v>
      </c>
    </row>
    <row r="30" spans="1:13">
      <c r="B30" s="3"/>
      <c r="C30" s="3"/>
      <c r="D30" s="3"/>
      <c r="E30" s="3"/>
      <c r="F30" s="3"/>
      <c r="G30" s="3"/>
      <c r="H30" s="3"/>
      <c r="I30" s="3"/>
      <c r="J30" s="3"/>
      <c r="K30" s="3"/>
    </row>
    <row r="31" spans="1:13">
      <c r="B31" s="3"/>
      <c r="C31" s="15"/>
      <c r="D31" s="194"/>
      <c r="E31" s="3"/>
      <c r="F31" s="3"/>
      <c r="G31" s="3"/>
      <c r="H31" s="3"/>
      <c r="I31" s="3"/>
      <c r="J31" s="3"/>
      <c r="K31" s="3"/>
    </row>
    <row r="32" spans="1:13">
      <c r="B32" s="3"/>
      <c r="C32" s="15"/>
      <c r="D32" s="194"/>
      <c r="E32" s="3"/>
      <c r="F32" s="3"/>
      <c r="G32" s="3"/>
      <c r="H32" s="3"/>
      <c r="I32" s="3"/>
      <c r="J32" s="3"/>
      <c r="K32" s="3"/>
    </row>
    <row r="34" spans="5:5">
      <c r="E34" s="19"/>
    </row>
  </sheetData>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256" scale="69"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pageSetUpPr fitToPage="1"/>
  </sheetPr>
  <dimension ref="A1:AI43"/>
  <sheetViews>
    <sheetView showGridLines="0" topLeftCell="A27" zoomScaleNormal="100" zoomScaleSheetLayoutView="100" workbookViewId="0">
      <selection activeCell="G26" sqref="G26:K26"/>
    </sheetView>
  </sheetViews>
  <sheetFormatPr defaultColWidth="11" defaultRowHeight="15"/>
  <cols>
    <col min="1" max="1" width="9" style="374" customWidth="1"/>
    <col min="2" max="2" width="11.28515625" customWidth="1"/>
    <col min="3" max="3" width="14.140625" customWidth="1"/>
    <col min="4" max="4" width="14.85546875" customWidth="1"/>
    <col min="5" max="5" width="9.5703125" style="375" customWidth="1"/>
    <col min="6" max="6" width="11.28515625" style="375" customWidth="1"/>
    <col min="7" max="9" width="6" customWidth="1"/>
    <col min="10" max="10" width="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373"/>
      <c r="B1" s="3"/>
      <c r="C1" s="3"/>
      <c r="D1" s="3"/>
      <c r="E1" s="376"/>
      <c r="F1" s="376"/>
      <c r="G1" s="3"/>
      <c r="H1" s="3"/>
      <c r="I1" s="3"/>
      <c r="J1" s="3"/>
      <c r="K1" s="3"/>
      <c r="L1" s="3"/>
      <c r="M1" s="3"/>
      <c r="N1" s="3"/>
      <c r="O1" s="3"/>
      <c r="P1" s="3"/>
    </row>
    <row r="2" spans="1:35" ht="21.75" customHeight="1">
      <c r="A2" s="373"/>
      <c r="B2" s="815" t="str">
        <f>+"Tabel Programatic de Evaluare:  "&amp;"  "&amp;IF(+'Introducerea datelor'!C4="Please Select","",'Introducerea datelor'!C4&amp;" - ")&amp;IF('Introducerea datelor'!G6="Please Select","",'Introducerea datelor'!G6)</f>
        <v>Tabel Programatic de Evaluare:    Moldova - TB</v>
      </c>
      <c r="C2" s="815"/>
      <c r="D2" s="815"/>
      <c r="E2" s="815"/>
      <c r="F2" s="815"/>
      <c r="G2" s="815"/>
      <c r="H2" s="815"/>
      <c r="I2" s="815"/>
      <c r="J2" s="815"/>
      <c r="K2" s="815"/>
      <c r="L2" s="815"/>
      <c r="M2" s="815"/>
      <c r="N2" s="815"/>
      <c r="O2" s="815"/>
      <c r="P2" s="815"/>
      <c r="Q2" s="815"/>
    </row>
    <row r="3" spans="1:35" ht="18.75" customHeight="1">
      <c r="A3" s="373"/>
      <c r="B3" s="128" t="str">
        <f>+IF('Introducerea datelor'!G8="Please Select","",'Introducerea datelor'!G8)</f>
        <v/>
      </c>
      <c r="C3" s="794" t="str">
        <f>+IF('Introducerea datelor'!I8="Please Select","",'Introducerea datelor'!I8)</f>
        <v>Period 1</v>
      </c>
      <c r="D3" s="794"/>
      <c r="E3" s="793"/>
      <c r="F3" s="793"/>
      <c r="G3" s="793"/>
      <c r="H3" s="793"/>
      <c r="I3" s="817"/>
      <c r="J3" s="817"/>
      <c r="K3" s="817"/>
      <c r="L3" s="3"/>
      <c r="M3" s="3"/>
      <c r="N3" s="849" t="str">
        <f>+'Introducerea datelor'!B16</f>
        <v>Perioada de Raportare:</v>
      </c>
      <c r="O3" s="776"/>
      <c r="P3" s="776"/>
      <c r="Q3" s="161" t="str">
        <f>+'Introducerea datelor'!C16</f>
        <v>P3</v>
      </c>
    </row>
    <row r="4" spans="1:35" ht="12" customHeight="1">
      <c r="A4" s="373"/>
      <c r="B4" s="128" t="str">
        <f>+'Introducerea datelor'!B12</f>
        <v>Ultimul Rating:</v>
      </c>
      <c r="C4" s="818" t="str">
        <f>+IF('Introducerea datelor'!C12="Please Select","",'Introducerea datelor'!C12)</f>
        <v>A2</v>
      </c>
      <c r="D4" s="818"/>
      <c r="E4" s="793" t="str">
        <f>+'Introducerea datelor'!C8</f>
        <v>IP UCIMP DS</v>
      </c>
      <c r="F4" s="793"/>
      <c r="G4" s="793"/>
      <c r="H4" s="793"/>
      <c r="I4" s="793"/>
      <c r="J4" s="793"/>
      <c r="K4" s="793"/>
      <c r="L4" s="793"/>
      <c r="M4" s="3"/>
      <c r="O4" s="266"/>
      <c r="P4" s="128" t="str">
        <f>+'Introducerea datelor'!D16</f>
        <v>De la:</v>
      </c>
      <c r="Q4" s="412">
        <f>+IF(ISBLANK('Introducerea datelor'!E16),"",'Introducerea datelor'!E16)</f>
        <v>42552</v>
      </c>
      <c r="Y4" s="70"/>
      <c r="Z4" s="70"/>
      <c r="AA4" s="70"/>
      <c r="AB4" s="70"/>
      <c r="AC4" s="70"/>
    </row>
    <row r="5" spans="1:35" ht="15.75" customHeight="1">
      <c r="A5" s="373"/>
      <c r="B5" s="128"/>
      <c r="C5" s="128"/>
      <c r="D5" s="793" t="str">
        <f>+'Introducerea datelor'!G4</f>
        <v>Consolidarea controlului Tuberculozei în Republica Moldova</v>
      </c>
      <c r="E5" s="793"/>
      <c r="F5" s="793"/>
      <c r="G5" s="793"/>
      <c r="H5" s="793"/>
      <c r="I5" s="793"/>
      <c r="J5" s="793"/>
      <c r="K5" s="793"/>
      <c r="L5" s="793"/>
      <c r="M5" s="793"/>
      <c r="N5" s="793"/>
      <c r="P5" s="128" t="str">
        <f>+'Introducerea datelor'!F16</f>
        <v>Pînă la:</v>
      </c>
      <c r="Q5" s="412">
        <f>+IF(ISBLANK('Introducerea datelor'!G16),"",'Introducerea datelor'!G16)</f>
        <v>42735</v>
      </c>
      <c r="S5" s="186"/>
      <c r="T5" s="186"/>
      <c r="U5" s="186"/>
      <c r="V5" s="186"/>
      <c r="W5" s="186"/>
      <c r="X5" s="186"/>
      <c r="Y5" s="70"/>
      <c r="Z5" s="70"/>
      <c r="AA5" s="70" t="s">
        <v>23</v>
      </c>
      <c r="AB5" s="70"/>
      <c r="AC5" s="70" t="s">
        <v>214</v>
      </c>
      <c r="AD5" s="186"/>
      <c r="AE5" s="186"/>
      <c r="AF5" s="186"/>
      <c r="AG5" s="186"/>
      <c r="AH5" s="186"/>
      <c r="AI5" s="186"/>
    </row>
    <row r="6" spans="1:35" ht="15.75" customHeight="1">
      <c r="A6" s="373"/>
      <c r="B6" s="128"/>
      <c r="C6" s="128"/>
      <c r="D6" s="184"/>
      <c r="E6" s="184"/>
      <c r="F6" s="816" t="s">
        <v>393</v>
      </c>
      <c r="G6" s="816"/>
      <c r="H6" s="816"/>
      <c r="I6" s="816"/>
      <c r="J6" s="816"/>
      <c r="K6" s="816"/>
      <c r="L6" s="184"/>
      <c r="M6" s="3"/>
      <c r="N6" s="3"/>
      <c r="O6" s="163"/>
      <c r="P6" s="208"/>
      <c r="S6" s="186"/>
      <c r="T6" s="186"/>
      <c r="U6" s="186"/>
      <c r="V6" s="186"/>
      <c r="W6" s="186"/>
      <c r="X6" s="186"/>
      <c r="Y6" s="70"/>
      <c r="Z6" s="70"/>
      <c r="AA6" s="70"/>
      <c r="AB6" s="70"/>
      <c r="AC6" s="70"/>
      <c r="AD6" s="186"/>
      <c r="AE6" s="186"/>
      <c r="AF6" s="186"/>
      <c r="AG6" s="186"/>
      <c r="AH6" s="186"/>
      <c r="AI6" s="186"/>
    </row>
    <row r="7" spans="1:35" ht="3" customHeight="1">
      <c r="A7" s="373"/>
      <c r="B7" s="128"/>
      <c r="C7" s="128"/>
      <c r="D7" s="184"/>
      <c r="E7" s="184"/>
      <c r="F7" s="184"/>
      <c r="G7" s="184"/>
      <c r="H7" s="184"/>
      <c r="I7" s="184"/>
      <c r="J7" s="184"/>
      <c r="K7" s="184"/>
      <c r="L7" s="184"/>
      <c r="M7" s="3"/>
      <c r="N7" s="3"/>
      <c r="O7" s="163"/>
      <c r="P7" s="162"/>
      <c r="Q7" s="162"/>
      <c r="S7" s="186"/>
      <c r="T7" s="186"/>
      <c r="U7" s="186"/>
      <c r="V7" s="186"/>
      <c r="W7" s="186"/>
      <c r="X7" s="186"/>
      <c r="Y7" s="70"/>
      <c r="Z7" s="70"/>
      <c r="AA7" s="70"/>
      <c r="AB7" s="70"/>
      <c r="AC7" s="70"/>
      <c r="AD7" s="186"/>
      <c r="AE7" s="186"/>
      <c r="AF7" s="186"/>
      <c r="AG7" s="186"/>
      <c r="AH7" s="186"/>
      <c r="AI7" s="186"/>
    </row>
    <row r="8" spans="1:35" ht="106.5" customHeight="1">
      <c r="A8" s="373"/>
      <c r="C8" s="851" t="str">
        <f>+'Introducerea datelor'!B116</f>
        <v>Rata mortalităţii  - Numărul de decese cauzate de TB (toate formele) pe an, la 100 000 persoane</v>
      </c>
      <c r="D8" s="851"/>
      <c r="E8" s="851"/>
      <c r="F8" s="524"/>
      <c r="G8" s="851"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H8" s="851"/>
      <c r="I8" s="851"/>
      <c r="J8" s="851"/>
      <c r="K8" s="851"/>
      <c r="L8" s="525"/>
      <c r="M8" s="850"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N8" s="850"/>
      <c r="O8" s="850"/>
      <c r="P8" s="850"/>
      <c r="Q8" s="850"/>
      <c r="S8" s="186"/>
      <c r="T8" s="186"/>
      <c r="U8" s="186"/>
      <c r="V8" s="186"/>
      <c r="W8" s="186"/>
      <c r="X8" s="186"/>
      <c r="Y8" s="70"/>
      <c r="Z8" s="70"/>
      <c r="AA8" s="70"/>
      <c r="AB8" s="70"/>
      <c r="AC8" s="70"/>
      <c r="AD8" s="186"/>
      <c r="AE8" s="186"/>
      <c r="AF8" s="186"/>
      <c r="AG8" s="186"/>
      <c r="AH8" s="186"/>
      <c r="AI8" s="186"/>
    </row>
    <row r="9" spans="1:35" ht="62.25" customHeight="1">
      <c r="A9" s="373"/>
      <c r="B9" s="529" t="s">
        <v>388</v>
      </c>
      <c r="C9" s="846" t="s">
        <v>493</v>
      </c>
      <c r="D9" s="852"/>
      <c r="E9" s="853"/>
      <c r="F9" s="530" t="s">
        <v>389</v>
      </c>
      <c r="G9" s="854" t="s">
        <v>494</v>
      </c>
      <c r="H9" s="852"/>
      <c r="I9" s="852"/>
      <c r="J9" s="852"/>
      <c r="K9" s="853"/>
      <c r="L9" s="530" t="s">
        <v>390</v>
      </c>
      <c r="M9" s="846" t="s">
        <v>495</v>
      </c>
      <c r="N9" s="847"/>
      <c r="O9" s="847"/>
      <c r="P9" s="847"/>
      <c r="Q9" s="848"/>
      <c r="S9" s="457"/>
      <c r="T9" s="186"/>
      <c r="U9" s="186"/>
      <c r="V9" s="186"/>
      <c r="W9" s="186"/>
      <c r="X9" s="186"/>
      <c r="Y9" s="186"/>
      <c r="Z9" s="186"/>
      <c r="AA9" s="186"/>
      <c r="AB9" s="186"/>
      <c r="AC9" s="186"/>
      <c r="AD9" s="186"/>
      <c r="AE9" s="186"/>
      <c r="AF9" s="186"/>
      <c r="AG9" s="186"/>
      <c r="AH9" s="186"/>
      <c r="AI9" s="186"/>
    </row>
    <row r="10" spans="1:35" ht="18.75" customHeight="1">
      <c r="A10" s="373"/>
      <c r="B10" s="128"/>
      <c r="C10" s="128"/>
      <c r="D10" s="184"/>
      <c r="E10" s="184"/>
      <c r="F10" s="184"/>
      <c r="G10" s="184"/>
      <c r="H10" s="184"/>
      <c r="I10" s="184"/>
      <c r="J10" s="184"/>
      <c r="K10" s="184"/>
      <c r="L10" s="184"/>
      <c r="M10" s="3"/>
      <c r="N10" s="3"/>
      <c r="O10" s="163"/>
      <c r="P10" s="162"/>
      <c r="S10" s="186"/>
      <c r="T10" s="186"/>
      <c r="U10" s="186"/>
      <c r="V10" s="186"/>
      <c r="W10" s="186"/>
      <c r="X10" s="186"/>
      <c r="Y10" s="186"/>
      <c r="Z10" s="186"/>
      <c r="AA10" s="186"/>
      <c r="AB10" s="186"/>
      <c r="AC10" s="186"/>
      <c r="AD10" s="186"/>
      <c r="AE10" s="186"/>
      <c r="AF10" s="186"/>
      <c r="AG10" s="186"/>
      <c r="AH10" s="186"/>
      <c r="AI10" s="186"/>
    </row>
    <row r="11" spans="1:35" ht="18.75" customHeight="1">
      <c r="A11" s="373"/>
      <c r="B11" s="128"/>
      <c r="C11" s="128"/>
      <c r="D11" s="184"/>
      <c r="E11" s="184"/>
      <c r="F11" s="184"/>
      <c r="G11" s="184"/>
      <c r="H11" s="184"/>
      <c r="I11" s="184"/>
      <c r="J11" s="184"/>
      <c r="K11" s="184"/>
      <c r="L11" s="184"/>
      <c r="M11" s="3"/>
      <c r="N11" s="3"/>
      <c r="O11" s="163"/>
      <c r="P11" s="162"/>
      <c r="S11" s="186"/>
      <c r="T11" s="186"/>
      <c r="U11" s="186"/>
      <c r="V11" s="186"/>
      <c r="W11" s="186"/>
      <c r="X11" s="186"/>
      <c r="Y11" s="186"/>
      <c r="Z11" s="186"/>
      <c r="AA11" s="186"/>
      <c r="AB11" s="186"/>
      <c r="AC11" s="186"/>
      <c r="AD11" s="186"/>
      <c r="AE11" s="186"/>
      <c r="AF11" s="186"/>
      <c r="AG11" s="186"/>
      <c r="AH11" s="186"/>
      <c r="AI11" s="186"/>
    </row>
    <row r="12" spans="1:35" ht="18.75" customHeight="1">
      <c r="A12" s="373"/>
      <c r="B12" s="128"/>
      <c r="C12" s="128"/>
      <c r="D12" s="184"/>
      <c r="E12" s="184"/>
      <c r="F12" s="184"/>
      <c r="G12" s="184"/>
      <c r="H12" s="184"/>
      <c r="I12" s="184"/>
      <c r="J12" s="184"/>
      <c r="K12" s="184"/>
      <c r="L12" s="184"/>
      <c r="M12" s="3"/>
      <c r="N12" s="3"/>
      <c r="O12" s="163"/>
      <c r="P12" s="162"/>
      <c r="S12" s="186"/>
      <c r="T12" s="186"/>
      <c r="U12" s="186"/>
      <c r="V12" s="186"/>
      <c r="W12" s="186"/>
      <c r="X12" s="186"/>
      <c r="Y12" s="186"/>
      <c r="Z12" s="186"/>
      <c r="AA12" s="186"/>
      <c r="AB12" s="186"/>
      <c r="AC12" s="186"/>
      <c r="AD12" s="186"/>
      <c r="AE12" s="186"/>
      <c r="AF12" s="186"/>
      <c r="AG12" s="186"/>
      <c r="AH12" s="186"/>
      <c r="AI12" s="186"/>
    </row>
    <row r="13" spans="1:35" ht="18.75" customHeight="1">
      <c r="A13" s="373"/>
      <c r="B13" s="128"/>
      <c r="C13" s="128"/>
      <c r="D13" s="184"/>
      <c r="E13" s="184"/>
      <c r="F13" s="184"/>
      <c r="G13" s="184"/>
      <c r="H13" s="184"/>
      <c r="I13" s="184"/>
      <c r="J13" s="184"/>
      <c r="K13" s="184"/>
      <c r="L13" s="184"/>
      <c r="M13" s="3"/>
      <c r="N13" s="3"/>
      <c r="O13" s="163"/>
      <c r="P13" s="162"/>
      <c r="S13" s="186"/>
      <c r="T13" s="186"/>
      <c r="U13" s="186"/>
      <c r="V13" s="186"/>
      <c r="W13" s="186"/>
      <c r="X13" s="186"/>
      <c r="Y13" s="186"/>
      <c r="Z13" s="186"/>
      <c r="AA13" s="186"/>
      <c r="AB13" s="186"/>
      <c r="AC13" s="186"/>
      <c r="AD13" s="186"/>
      <c r="AE13" s="186"/>
      <c r="AF13" s="186"/>
      <c r="AG13" s="186"/>
      <c r="AH13" s="186"/>
      <c r="AI13" s="186"/>
    </row>
    <row r="14" spans="1:35" ht="18.75" customHeight="1">
      <c r="A14" s="373"/>
      <c r="B14" s="128"/>
      <c r="C14" s="128"/>
      <c r="D14" s="184"/>
      <c r="E14" s="184"/>
      <c r="F14" s="184"/>
      <c r="G14" s="184"/>
      <c r="H14" s="184"/>
      <c r="I14" s="184"/>
      <c r="J14" s="184"/>
      <c r="K14" s="184"/>
      <c r="L14" s="184"/>
      <c r="M14" s="3"/>
      <c r="N14" s="3"/>
      <c r="O14" s="163"/>
      <c r="P14" s="162"/>
      <c r="S14" s="186"/>
      <c r="T14" s="186"/>
      <c r="U14" s="186"/>
      <c r="V14" s="186"/>
      <c r="W14" s="186"/>
      <c r="X14" s="186"/>
      <c r="Y14" s="186"/>
      <c r="Z14" s="186"/>
      <c r="AA14" s="186"/>
      <c r="AB14" s="186"/>
      <c r="AC14" s="186"/>
      <c r="AD14" s="186"/>
      <c r="AE14" s="186"/>
      <c r="AF14" s="186"/>
      <c r="AG14" s="186"/>
      <c r="AH14" s="186"/>
      <c r="AI14" s="186"/>
    </row>
    <row r="15" spans="1:35" ht="18.75" customHeight="1">
      <c r="A15" s="373"/>
      <c r="B15" s="128"/>
      <c r="C15" s="128"/>
      <c r="D15" s="184"/>
      <c r="E15" s="184"/>
      <c r="F15" s="184"/>
      <c r="G15" s="184"/>
      <c r="H15" s="184"/>
      <c r="I15" s="184"/>
      <c r="J15" s="184"/>
      <c r="K15" s="184"/>
      <c r="L15" s="184"/>
      <c r="M15" s="3"/>
      <c r="N15" s="3"/>
      <c r="O15" s="163"/>
      <c r="P15" s="162"/>
      <c r="S15" s="186"/>
      <c r="T15" s="186"/>
      <c r="U15" s="186"/>
      <c r="V15" s="186"/>
      <c r="W15" s="186"/>
      <c r="X15" s="186"/>
      <c r="Y15" s="186"/>
      <c r="Z15" s="186"/>
      <c r="AA15" s="186"/>
      <c r="AB15" s="186"/>
      <c r="AC15" s="186"/>
      <c r="AD15" s="186"/>
      <c r="AE15" s="186"/>
      <c r="AF15" s="186"/>
      <c r="AG15" s="186"/>
      <c r="AH15" s="186"/>
      <c r="AI15" s="186"/>
    </row>
    <row r="16" spans="1:35" ht="18.75" customHeight="1">
      <c r="A16" s="373"/>
      <c r="B16" s="128"/>
      <c r="C16" s="128"/>
      <c r="D16" s="184"/>
      <c r="E16" s="184"/>
      <c r="F16" s="184"/>
      <c r="G16" s="184"/>
      <c r="H16" s="184"/>
      <c r="I16" s="184"/>
      <c r="J16" s="184"/>
      <c r="K16" s="184"/>
      <c r="L16" s="184"/>
      <c r="M16" s="3"/>
      <c r="N16" s="3"/>
      <c r="O16" s="163"/>
      <c r="P16" s="162"/>
      <c r="S16" s="186"/>
      <c r="T16" s="186"/>
      <c r="U16" s="186"/>
      <c r="V16" s="186"/>
      <c r="W16" s="186"/>
      <c r="X16" s="186"/>
      <c r="Y16" s="186"/>
      <c r="Z16" s="186"/>
      <c r="AA16" s="186"/>
      <c r="AB16" s="186"/>
      <c r="AC16" s="186"/>
      <c r="AD16" s="186"/>
      <c r="AE16" s="186"/>
      <c r="AF16" s="186"/>
      <c r="AG16" s="186"/>
      <c r="AH16" s="186"/>
      <c r="AI16" s="186"/>
    </row>
    <row r="17" spans="1:35" ht="17.25" customHeight="1">
      <c r="A17" s="373"/>
      <c r="B17" s="128"/>
      <c r="C17" s="128"/>
      <c r="D17" s="184"/>
      <c r="E17" s="184"/>
      <c r="F17" s="184"/>
      <c r="G17" s="184"/>
      <c r="H17" s="184"/>
      <c r="I17" s="184"/>
      <c r="J17" s="184"/>
      <c r="K17" s="184"/>
      <c r="L17" s="184"/>
      <c r="M17" s="3"/>
      <c r="N17" s="3"/>
      <c r="O17" s="163"/>
      <c r="P17" s="162"/>
      <c r="S17" s="186"/>
      <c r="T17" s="186"/>
      <c r="U17" s="186"/>
      <c r="V17" s="186"/>
      <c r="W17" s="186"/>
      <c r="X17" s="186"/>
      <c r="Y17" s="186"/>
      <c r="Z17" s="186"/>
      <c r="AA17" s="186"/>
      <c r="AB17" s="186"/>
      <c r="AC17" s="186"/>
      <c r="AD17" s="186"/>
      <c r="AE17" s="186"/>
      <c r="AF17" s="186"/>
      <c r="AG17" s="186"/>
      <c r="AH17" s="186"/>
      <c r="AI17" s="186"/>
    </row>
    <row r="18" spans="1:35" ht="6" customHeight="1">
      <c r="A18" s="373"/>
      <c r="B18" s="132"/>
      <c r="C18" s="128"/>
      <c r="D18" s="129"/>
      <c r="E18" s="855"/>
      <c r="F18" s="855"/>
      <c r="G18" s="855"/>
      <c r="H18" s="855"/>
      <c r="I18" s="855"/>
      <c r="J18" s="855"/>
      <c r="K18" s="855"/>
      <c r="L18" s="3"/>
      <c r="M18" s="3"/>
      <c r="N18" s="3"/>
      <c r="O18" s="3"/>
      <c r="P18" s="3"/>
      <c r="S18" s="186"/>
      <c r="T18" s="186"/>
      <c r="U18" s="186"/>
      <c r="V18" s="186"/>
      <c r="W18" s="186"/>
      <c r="X18" s="186"/>
      <c r="Y18" s="186"/>
      <c r="Z18" s="186"/>
      <c r="AA18" s="186"/>
      <c r="AB18" s="186"/>
      <c r="AC18" s="186"/>
      <c r="AD18" s="186"/>
      <c r="AE18" s="186"/>
      <c r="AF18" s="186"/>
      <c r="AG18" s="186"/>
      <c r="AH18" s="186"/>
      <c r="AI18" s="186"/>
    </row>
    <row r="19" spans="1:35" ht="24" customHeight="1">
      <c r="A19" s="373"/>
      <c r="B19" s="856" t="s">
        <v>391</v>
      </c>
      <c r="C19" s="856"/>
      <c r="D19" s="856"/>
      <c r="E19" s="138" t="s">
        <v>366</v>
      </c>
      <c r="F19" s="138" t="s">
        <v>367</v>
      </c>
      <c r="G19" s="826" t="s">
        <v>249</v>
      </c>
      <c r="H19" s="827"/>
      <c r="I19" s="828" t="s">
        <v>250</v>
      </c>
      <c r="J19" s="829"/>
      <c r="K19" s="265" t="s">
        <v>251</v>
      </c>
      <c r="L19" s="819" t="s">
        <v>392</v>
      </c>
      <c r="M19" s="820"/>
      <c r="N19" s="820"/>
      <c r="O19" s="820"/>
      <c r="P19" s="820"/>
      <c r="Q19" s="821"/>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112.5" customHeight="1">
      <c r="A20" s="520" t="s">
        <v>421</v>
      </c>
      <c r="B20" s="831" t="str">
        <f>+'Introducerea datelor'!B116</f>
        <v>Rata mortalităţii  - Numărul de decese cauzate de TB (toate formele) pe an, la 100 000 persoane</v>
      </c>
      <c r="C20" s="831"/>
      <c r="D20" s="831"/>
      <c r="E20" s="420">
        <f ca="1">OFFSET('Introducerea datelor'!$G$115,1,RIGHT('Introducerea datelor'!$C$16,LEN('Introducerea datelor'!$C$16)-1),1,1)</f>
        <v>9.3000000000000007</v>
      </c>
      <c r="F20" s="523">
        <f ca="1">OFFSET('Introducerea datelor'!$G$115,2,RIGHT('Introducerea datelor'!$C$16,LEN('Introducerea datelor'!$C$16)-1),1,1)</f>
        <v>9.3000000000000007</v>
      </c>
      <c r="G20" s="823">
        <f ca="1">+IF(ISERROR(F20/E20),0,E20/F20)</f>
        <v>1</v>
      </c>
      <c r="H20" s="824"/>
      <c r="I20" s="824"/>
      <c r="J20" s="824"/>
      <c r="K20" s="825"/>
      <c r="L20" s="841" t="str">
        <f>C9</f>
        <v xml:space="preserve">Date preliminare pentru anul 2016: 373 persoane au decedat de tuberculoză în anul 2016 (9,3 decese la 100 000 persoane). 
Notă: Se constată o micșorare cu 8,6% a ratei de mortalitate față de datele anului 2015 (408 cazuri de deces cauzate de tuberculoză), cu 26,5% a ratei de mortalitate față de datele anului 2014 (508 cazuri de deces cauzate de tuberculoză) și cu 18,2% față de datele anului 2013 (456 cazuri de deces cauzate de tuberculoză). </v>
      </c>
      <c r="M20" s="842"/>
      <c r="N20" s="842"/>
      <c r="O20" s="842"/>
      <c r="P20" s="842"/>
      <c r="Q20" s="843"/>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11" customHeight="1">
      <c r="A21" s="520" t="s">
        <v>457</v>
      </c>
      <c r="B21" s="831"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21" s="831"/>
      <c r="D21" s="831"/>
      <c r="E21" s="420">
        <f ca="1">OFFSET('Introducerea datelor'!$G$115,3,RIGHT('Introducerea datelor'!$C$16,LEN('Introducerea datelor'!$C$16)-1),1,1)</f>
        <v>21.5</v>
      </c>
      <c r="F21" s="420">
        <f ca="1">OFFSET('Introducerea datelor'!$G$115,4,RIGHT('Introducerea datelor'!$C$16,LEN('Introducerea datelor'!$C$16)-1),1,1)</f>
        <v>24.9</v>
      </c>
      <c r="G21" s="823">
        <f ca="1">+IF(ISERROR(E21/F21),0,E21/F21)</f>
        <v>0.86345381526104426</v>
      </c>
      <c r="H21" s="824"/>
      <c r="I21" s="824"/>
      <c r="J21" s="824"/>
      <c r="K21" s="825"/>
      <c r="L21" s="841" t="str">
        <f>G9</f>
        <v xml:space="preserve">Date preliminare pentru anul 2016: 321 cazuri noi de tuberculoză cu cultura pozitivă, testate la sensibilitate pentru preparatele de linia I, din 1 289 investigate în 2016, au fost diagnosticate cu MDR.
Notă: Se constată menținerea unei rate înalte a TB MDR printre cazurile noi, situație caracteristică ultimilor ani.                                                                                                                                                                                                                                                                  </v>
      </c>
      <c r="M21" s="842"/>
      <c r="N21" s="842"/>
      <c r="O21" s="842"/>
      <c r="P21" s="842"/>
      <c r="Q21" s="843"/>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236.25" customHeight="1">
      <c r="A22" s="410" t="s">
        <v>429</v>
      </c>
      <c r="B22" s="831"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22" s="831"/>
      <c r="D22" s="831"/>
      <c r="E22" s="420">
        <f ca="1">OFFSET('Introducerea datelor'!$G$115,5,RIGHT('Introducerea datelor'!$C$16,LEN('Introducerea datelor'!$C$16)-1),1,1)</f>
        <v>60</v>
      </c>
      <c r="F22" s="420">
        <f ca="1">OFFSET('Introducerea datelor'!$G$115,6,RIGHT('Introducerea datelor'!$C$16,LEN('Introducerea datelor'!$C$16)-1),1,1)</f>
        <v>57.1</v>
      </c>
      <c r="G22" s="823">
        <f ca="1">+IF(ISERROR(E22/F22),0,F22/E22)</f>
        <v>0.95166666666666666</v>
      </c>
      <c r="H22" s="824"/>
      <c r="I22" s="824"/>
      <c r="J22" s="824"/>
      <c r="K22" s="825"/>
      <c r="L22" s="841" t="str">
        <f>M9</f>
        <v xml:space="preserve">Date finale pentru cohorta MDR-TB 2013: 538 cazuri confirmate de TB MDR, din 943 incluse în tratmentul DOTS Plus în 2013, au fost tratate cu succes (vindecate și cu tratamente încheiate).                                                                                  
Notă: 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v>
      </c>
      <c r="M22" s="842"/>
      <c r="N22" s="842"/>
      <c r="O22" s="842"/>
      <c r="P22" s="842"/>
      <c r="Q22" s="843"/>
      <c r="S22" s="68"/>
      <c r="T22" s="66" t="e">
        <f t="shared" ref="T22:W30" si="0">IF($K20&gt;T$19,IF($K20&lt;=T$20,$K20,NA()),NA())</f>
        <v>#N/A</v>
      </c>
      <c r="U22" s="66" t="e">
        <f t="shared" si="0"/>
        <v>#N/A</v>
      </c>
      <c r="V22" s="66" t="e">
        <f t="shared" si="0"/>
        <v>#N/A</v>
      </c>
      <c r="W22" s="66" t="e">
        <f t="shared" si="0"/>
        <v>#N/A</v>
      </c>
      <c r="X22" s="66" t="e">
        <f>IF($K20&gt;X$19,IF($K20&lt;=X$20,1,NA()),NA())</f>
        <v>#N/A</v>
      </c>
      <c r="Y22" s="70"/>
      <c r="Z22" s="159"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38.75" customHeight="1">
      <c r="A23" s="410" t="s">
        <v>428</v>
      </c>
      <c r="B23" s="831" t="str">
        <f>+'Introducerea datelor'!B122</f>
        <v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v>
      </c>
      <c r="C23" s="831"/>
      <c r="D23" s="831"/>
      <c r="E23" s="420">
        <f ca="1">OFFSET('Introducerea datelor'!$G$115,7,RIGHT('Introducerea datelor'!$C$16,LEN('Introducerea datelor'!$C$16)-1),1,1)</f>
        <v>105.6</v>
      </c>
      <c r="F23" s="420">
        <f ca="1">OFFSET('Introducerea datelor'!$G$115,8,RIGHT('Introducerea datelor'!$C$16,LEN('Introducerea datelor'!$C$16)-1),1,1)</f>
        <v>88.7</v>
      </c>
      <c r="G23" s="823">
        <f ca="1">+IF(ISERROR(F23/E23),0,F23/E23)</f>
        <v>0.83996212121212133</v>
      </c>
      <c r="H23" s="824"/>
      <c r="I23" s="824"/>
      <c r="J23" s="824"/>
      <c r="K23" s="825"/>
      <c r="L23" s="845" t="s">
        <v>496</v>
      </c>
      <c r="M23" s="842"/>
      <c r="N23" s="842"/>
      <c r="O23" s="842"/>
      <c r="P23" s="842"/>
      <c r="Q23" s="843"/>
      <c r="S23" s="68"/>
      <c r="T23" s="66" t="e">
        <f t="shared" si="0"/>
        <v>#N/A</v>
      </c>
      <c r="U23" s="66" t="e">
        <f t="shared" si="0"/>
        <v>#N/A</v>
      </c>
      <c r="V23" s="66" t="e">
        <f t="shared" si="0"/>
        <v>#N/A</v>
      </c>
      <c r="W23" s="66" t="e">
        <f t="shared" si="0"/>
        <v>#N/A</v>
      </c>
      <c r="X23" s="66" t="e">
        <f>IF($K21&gt;X$19,IF($K21&lt;=X$20,1,1),NA())</f>
        <v>#N/A</v>
      </c>
      <c r="Y23" s="70"/>
      <c r="Z23" s="159"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101.25" customHeight="1">
      <c r="A24" s="410" t="s">
        <v>439</v>
      </c>
      <c r="B24" s="831" t="str">
        <f>+'Introducerea datelor'!B124</f>
        <v>Numărul de cazuri de TB DR (RR-TB și/sau MDR-TB), confirmate bacteriologic, notificate</v>
      </c>
      <c r="C24" s="831"/>
      <c r="D24" s="831"/>
      <c r="E24" s="519">
        <f ca="1">OFFSET('Introducerea datelor'!$G$115,9,RIGHT('Introducerea datelor'!$C$16,LEN('Introducerea datelor'!$C$16)-1),1,1)</f>
        <v>912</v>
      </c>
      <c r="F24" s="518">
        <f ca="1">OFFSET('Introducerea datelor'!$G$115,10,RIGHT('Introducerea datelor'!$C$16,LEN('Introducerea datelor'!$C$16)-1),1,1)</f>
        <v>754</v>
      </c>
      <c r="G24" s="823">
        <f ca="1">+IF(ISERROR(F24/E24),0,F24/E24)</f>
        <v>0.82675438596491224</v>
      </c>
      <c r="H24" s="824"/>
      <c r="I24" s="824"/>
      <c r="J24" s="824"/>
      <c r="K24" s="825"/>
      <c r="L24" s="822" t="s">
        <v>497</v>
      </c>
      <c r="M24" s="822"/>
      <c r="N24" s="822"/>
      <c r="O24" s="822"/>
      <c r="P24" s="822"/>
      <c r="Q24" s="822"/>
      <c r="S24" s="68"/>
      <c r="T24" s="66" t="e">
        <f t="shared" si="0"/>
        <v>#N/A</v>
      </c>
      <c r="U24" s="66" t="e">
        <f t="shared" si="0"/>
        <v>#N/A</v>
      </c>
      <c r="V24" s="66" t="e">
        <f t="shared" si="0"/>
        <v>#N/A</v>
      </c>
      <c r="W24" s="66" t="e">
        <f t="shared" si="0"/>
        <v>#N/A</v>
      </c>
      <c r="X24" s="66" t="e">
        <f t="shared" ref="X24:X30" si="2">IF($K22&gt;X$19,IF($K22&lt;=X$20,1,NA()),NA())</f>
        <v>#N/A</v>
      </c>
      <c r="Y24" s="70"/>
      <c r="Z24" s="159"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121.5" customHeight="1">
      <c r="A25" s="410" t="s">
        <v>463</v>
      </c>
      <c r="B25" s="838" t="str">
        <f>+'Introducerea datelor'!B126</f>
        <v xml:space="preserve">Numărul cazurilor cu tuberculoză drog-rezistentă (RR-TB și/sau MDR-TB), confirmate bacteriologic, care au demarat tratamentul DOTS-Plus în perioada raportată                 </v>
      </c>
      <c r="C25" s="839"/>
      <c r="D25" s="840"/>
      <c r="E25" s="420">
        <f ca="1">OFFSET('Introducerea datelor'!$G$115,11,RIGHT('Introducerea datelor'!$C$16,LEN('Introducerea datelor'!$C$16)-1),1,1)</f>
        <v>780</v>
      </c>
      <c r="F25" s="420">
        <f ca="1">OFFSET('Introducerea datelor'!$G$115,12,RIGHT('Introducerea datelor'!$C$16,LEN('Introducerea datelor'!$C$16)-1),1,1)</f>
        <v>1036</v>
      </c>
      <c r="G25" s="823">
        <f ca="1">+IF(ISERROR(F25/E25),0,F25/E25)</f>
        <v>1.3282051282051281</v>
      </c>
      <c r="H25" s="824"/>
      <c r="I25" s="824"/>
      <c r="J25" s="824"/>
      <c r="K25" s="825"/>
      <c r="L25" s="822" t="s">
        <v>498</v>
      </c>
      <c r="M25" s="822"/>
      <c r="N25" s="822"/>
      <c r="O25" s="822"/>
      <c r="P25" s="822"/>
      <c r="Q25" s="822"/>
      <c r="S25" s="68"/>
      <c r="T25" s="66"/>
      <c r="U25" s="66"/>
      <c r="V25" s="66"/>
      <c r="W25" s="66"/>
      <c r="X25" s="66"/>
      <c r="Y25" s="70"/>
      <c r="Z25" s="70"/>
      <c r="AA25" s="70"/>
      <c r="AB25" s="70"/>
      <c r="AC25" s="70"/>
      <c r="AD25" s="70"/>
      <c r="AE25" s="70"/>
      <c r="AF25" s="70"/>
      <c r="AG25" s="70"/>
      <c r="AH25" s="70"/>
      <c r="AI25" s="70"/>
    </row>
    <row r="26" spans="1:35" ht="203.25" customHeight="1">
      <c r="A26" s="410" t="s">
        <v>443</v>
      </c>
      <c r="B26" s="831" t="str">
        <f>+'Introducerea datelor'!B128</f>
        <v xml:space="preserve">Rezultatul interimar de abandon al tratamentului cazurilor MDR-TB: numărul și procentul pacienţilor cu tuberculoză drog-rezistentă (RR-TB și/sau MDR-TB) care au întrerupt tratamentul DOTS-Plus către luna a 6 de la demararea acestuia   </v>
      </c>
      <c r="C26" s="831"/>
      <c r="D26" s="831"/>
      <c r="E26" s="420">
        <f ca="1">OFFSET('Introducerea datelor'!$G$115,13,RIGHT('Introducerea datelor'!$C$16,LEN('Introducerea datelor'!$C$16)-1),1,1)</f>
        <v>6.1</v>
      </c>
      <c r="F26" s="421">
        <f ca="1">OFFSET('Introducerea datelor'!$G$115,14,RIGHT('Introducerea datelor'!$C$16,LEN('Introducerea datelor'!$C$16)-1),1,1)</f>
        <v>10</v>
      </c>
      <c r="G26" s="823">
        <f ca="1">+IF(ISERROR(F26/E26),0,E26/F26)</f>
        <v>0.61</v>
      </c>
      <c r="H26" s="824"/>
      <c r="I26" s="824"/>
      <c r="J26" s="824"/>
      <c r="K26" s="825"/>
      <c r="L26" s="822" t="s">
        <v>499</v>
      </c>
      <c r="M26" s="822"/>
      <c r="N26" s="822"/>
      <c r="O26" s="822"/>
      <c r="P26" s="822"/>
      <c r="Q26" s="822"/>
      <c r="S26" s="68"/>
      <c r="T26" s="66" t="e">
        <f>IF($K24&gt;T$19,IF($K24&lt;=T$20,$K24,NA()),NA())</f>
        <v>#N/A</v>
      </c>
      <c r="U26" s="66" t="e">
        <f>IF($K24&gt;U$19,IF($K24&lt;=U$20,$K24,NA()),NA())</f>
        <v>#N/A</v>
      </c>
      <c r="V26" s="66" t="e">
        <f>IF($K24&gt;V$19,IF($K24&lt;=V$20,$K24,NA()),NA())</f>
        <v>#N/A</v>
      </c>
      <c r="W26" s="66" t="e">
        <f>IF($K24&gt;W$19,IF($K24&lt;=W$20,$K24,NA()),NA())</f>
        <v>#N/A</v>
      </c>
      <c r="X26" s="66" t="e">
        <f>IF($K24&gt;X$19,IF($K24&lt;=X$20,1,NA()),NA())</f>
        <v>#N/A</v>
      </c>
      <c r="Y26" s="70"/>
      <c r="Z26" s="70"/>
      <c r="AA26" s="70"/>
      <c r="AB26" s="70"/>
      <c r="AC26" s="70"/>
      <c r="AD26" s="70"/>
      <c r="AE26" s="70"/>
      <c r="AF26" s="70"/>
      <c r="AG26" s="70"/>
      <c r="AH26" s="70"/>
      <c r="AI26" s="70"/>
    </row>
    <row r="27" spans="1:35" ht="22.5" customHeight="1">
      <c r="A27" s="373"/>
      <c r="B27" s="837"/>
      <c r="C27" s="837"/>
      <c r="D27" s="837"/>
      <c r="E27" s="837"/>
      <c r="F27" s="836"/>
      <c r="G27" s="836"/>
      <c r="H27" s="836"/>
      <c r="I27" s="836"/>
      <c r="J27" s="836"/>
      <c r="K27" s="836"/>
      <c r="L27" s="844"/>
      <c r="M27" s="844"/>
      <c r="N27" s="844"/>
      <c r="O27" s="844"/>
      <c r="P27" s="844"/>
      <c r="Q27" s="483"/>
      <c r="S27" s="68"/>
      <c r="T27" s="66" t="e">
        <f>IF(#REF!&gt;T$19,IF(#REF!&lt;=T$20,#REF!,NA()),NA())</f>
        <v>#REF!</v>
      </c>
      <c r="U27" s="66" t="e">
        <f>IF(#REF!&gt;U$19,IF(#REF!&lt;=U$20,#REF!,NA()),NA())</f>
        <v>#REF!</v>
      </c>
      <c r="V27" s="66" t="e">
        <f>IF(#REF!&gt;V$19,IF(#REF!&lt;=V$20,#REF!,NA()),NA())</f>
        <v>#REF!</v>
      </c>
      <c r="W27" s="66" t="e">
        <f>IF(#REF!&gt;W$19,IF(#REF!&lt;=W$20,#REF!,NA()),NA())</f>
        <v>#REF!</v>
      </c>
      <c r="X27" s="66" t="e">
        <f>IF(#REF!&gt;X$19,IF(#REF!&lt;=X$20,1,NA()),NA())</f>
        <v>#REF!</v>
      </c>
      <c r="Y27" s="70"/>
      <c r="Z27" s="70"/>
      <c r="AA27" s="70"/>
      <c r="AB27" s="70"/>
      <c r="AC27" s="70"/>
      <c r="AD27" s="70"/>
      <c r="AE27" s="70"/>
      <c r="AF27" s="70"/>
      <c r="AG27" s="70"/>
      <c r="AH27" s="70"/>
      <c r="AI27" s="70"/>
    </row>
    <row r="28" spans="1:35" ht="22.5" customHeight="1">
      <c r="A28" s="373"/>
      <c r="B28" s="832"/>
      <c r="C28" s="832"/>
      <c r="D28" s="832"/>
      <c r="E28" s="833"/>
      <c r="F28" s="834"/>
      <c r="G28" s="835"/>
      <c r="H28" s="835"/>
      <c r="I28" s="835"/>
      <c r="J28" s="835"/>
      <c r="K28" s="833"/>
      <c r="L28" s="834"/>
      <c r="M28" s="835"/>
      <c r="N28" s="835"/>
      <c r="O28" s="835"/>
      <c r="P28" s="835"/>
      <c r="S28" s="68"/>
      <c r="T28" s="66" t="e">
        <f>IF(#REF!&gt;T$19,IF(#REF!&lt;=T$20,#REF!,NA()),NA())</f>
        <v>#REF!</v>
      </c>
      <c r="U28" s="66" t="e">
        <f>IF(#REF!&gt;U$19,IF(#REF!&lt;=U$20,#REF!,NA()),NA())</f>
        <v>#REF!</v>
      </c>
      <c r="V28" s="66" t="e">
        <f>IF(#REF!&gt;V$19,IF(#REF!&lt;=V$20,#REF!,NA()),NA())</f>
        <v>#REF!</v>
      </c>
      <c r="W28" s="66" t="e">
        <f>IF(#REF!&gt;W$19,IF(#REF!&lt;=W$20,#REF!,NA()),NA())</f>
        <v>#REF!</v>
      </c>
      <c r="X28" s="66" t="e">
        <f>IF(#REF!&gt;X$19,IF(#REF!&lt;=X$20,1,NA()),NA())</f>
        <v>#REF!</v>
      </c>
      <c r="Y28" s="70"/>
      <c r="Z28" s="70"/>
      <c r="AA28" s="70"/>
      <c r="AB28" s="70"/>
      <c r="AC28" s="70"/>
      <c r="AD28" s="70"/>
      <c r="AE28" s="70"/>
      <c r="AF28" s="70"/>
      <c r="AG28" s="70"/>
      <c r="AH28" s="70"/>
      <c r="AI28" s="70"/>
    </row>
    <row r="29" spans="1:35">
      <c r="A29" s="373"/>
      <c r="B29" s="187"/>
      <c r="C29" s="187"/>
      <c r="D29" s="187"/>
      <c r="E29" s="377"/>
      <c r="F29" s="377"/>
      <c r="G29" s="187"/>
      <c r="H29" s="188"/>
      <c r="I29" s="187"/>
      <c r="J29" s="187"/>
      <c r="K29" s="187"/>
      <c r="L29" s="187"/>
      <c r="M29" s="187"/>
      <c r="N29" s="187"/>
      <c r="O29" s="187"/>
      <c r="P29" s="187"/>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c r="A30" s="373"/>
      <c r="B30" s="830"/>
      <c r="C30" s="830"/>
      <c r="D30" s="830"/>
      <c r="E30" s="830"/>
      <c r="F30" s="830"/>
      <c r="G30" s="830"/>
      <c r="H30" s="830"/>
      <c r="I30" s="830"/>
      <c r="J30" s="830"/>
      <c r="K30" s="830"/>
      <c r="L30" s="187"/>
      <c r="M30" s="187"/>
      <c r="N30" s="187"/>
      <c r="O30" s="187"/>
      <c r="P30" s="187"/>
      <c r="S30" s="68"/>
      <c r="T30" s="66" t="e">
        <f t="shared" si="0"/>
        <v>#N/A</v>
      </c>
      <c r="U30" s="66" t="e">
        <f t="shared" si="0"/>
        <v>#N/A</v>
      </c>
      <c r="V30" s="66" t="e">
        <f t="shared" si="0"/>
        <v>#N/A</v>
      </c>
      <c r="W30" s="66" t="e">
        <f t="shared" si="0"/>
        <v>#N/A</v>
      </c>
      <c r="X30" s="66" t="e">
        <f t="shared" si="2"/>
        <v>#N/A</v>
      </c>
      <c r="Y30" s="70"/>
      <c r="Z30" s="70"/>
      <c r="AA30" s="70"/>
      <c r="AB30" s="70"/>
      <c r="AC30" s="70"/>
      <c r="AD30" s="70"/>
      <c r="AE30" s="70"/>
      <c r="AF30" s="70"/>
      <c r="AG30" s="70"/>
      <c r="AH30" s="70"/>
      <c r="AI30" s="70"/>
    </row>
    <row r="31" spans="1:35">
      <c r="A31" s="373"/>
      <c r="B31" s="830"/>
      <c r="C31" s="830"/>
      <c r="D31" s="830"/>
      <c r="E31" s="830"/>
      <c r="F31" s="830"/>
      <c r="G31" s="830"/>
      <c r="H31" s="830"/>
      <c r="I31" s="830"/>
      <c r="J31" s="830"/>
      <c r="K31" s="830"/>
      <c r="L31" s="187"/>
      <c r="M31" s="187"/>
      <c r="N31" s="187"/>
      <c r="O31" s="187"/>
      <c r="P31" s="187"/>
      <c r="S31" s="70"/>
      <c r="T31" s="70"/>
      <c r="U31" s="70"/>
      <c r="V31" s="70"/>
      <c r="W31" s="70"/>
      <c r="X31" s="70"/>
      <c r="Y31" s="70"/>
      <c r="Z31" s="70"/>
      <c r="AA31" s="70"/>
      <c r="AB31" s="70"/>
      <c r="AC31" s="70"/>
      <c r="AD31" s="70"/>
      <c r="AE31" s="70"/>
      <c r="AF31" s="70"/>
      <c r="AG31" s="70"/>
      <c r="AH31" s="70"/>
      <c r="AI31" s="70"/>
    </row>
    <row r="32" spans="1:35">
      <c r="A32" s="373"/>
      <c r="B32" s="3"/>
      <c r="C32" s="3"/>
      <c r="D32" s="3"/>
      <c r="E32" s="376"/>
      <c r="F32" s="376"/>
      <c r="G32" s="3"/>
      <c r="H32" s="3"/>
      <c r="I32" s="98"/>
      <c r="J32" s="98"/>
      <c r="K32" s="98"/>
      <c r="L32" s="3"/>
      <c r="M32" s="3"/>
      <c r="N32" s="3"/>
      <c r="O32" s="3"/>
      <c r="P32" s="3"/>
      <c r="S32" s="70"/>
      <c r="T32" s="70"/>
      <c r="U32" s="70"/>
      <c r="V32" s="70"/>
      <c r="W32" s="70"/>
      <c r="X32" s="70"/>
      <c r="Y32" s="70"/>
      <c r="Z32" s="70"/>
      <c r="AA32" s="70"/>
      <c r="AB32" s="70"/>
      <c r="AC32" s="70"/>
      <c r="AD32" s="70"/>
      <c r="AE32" s="70"/>
      <c r="AF32" s="70"/>
      <c r="AG32" s="70"/>
      <c r="AH32" s="70"/>
      <c r="AI32" s="70"/>
    </row>
    <row r="33" spans="1:35">
      <c r="A33" s="373"/>
      <c r="B33" s="3"/>
      <c r="C33" s="3"/>
      <c r="D33" s="3"/>
      <c r="E33" s="376"/>
      <c r="F33" s="376"/>
      <c r="G33" s="3"/>
      <c r="H33" s="3"/>
      <c r="I33" s="139"/>
      <c r="J33" s="140"/>
      <c r="K33" s="140"/>
      <c r="L33" s="3"/>
      <c r="M33" s="3"/>
      <c r="N33" s="3"/>
      <c r="O33" s="3"/>
      <c r="P33" s="3"/>
      <c r="S33" s="70"/>
      <c r="T33" s="70"/>
      <c r="U33" s="70"/>
      <c r="V33" s="70"/>
      <c r="W33" s="70"/>
      <c r="X33" s="70"/>
      <c r="Y33" s="70"/>
      <c r="Z33" s="70"/>
      <c r="AA33" s="70"/>
      <c r="AB33" s="70"/>
      <c r="AC33" s="70"/>
      <c r="AD33" s="70"/>
      <c r="AE33" s="70"/>
      <c r="AF33" s="70"/>
      <c r="AG33" s="70"/>
      <c r="AH33" s="70"/>
      <c r="AI33" s="70"/>
    </row>
    <row r="34" spans="1:35">
      <c r="A34" s="373"/>
      <c r="B34" s="3"/>
      <c r="C34" s="3"/>
      <c r="D34" s="3"/>
      <c r="E34" s="376"/>
      <c r="F34" s="376"/>
      <c r="G34" s="3"/>
      <c r="H34" s="3"/>
      <c r="I34" s="141"/>
      <c r="J34" s="142"/>
      <c r="K34" s="100"/>
      <c r="L34" s="3"/>
      <c r="M34" s="3"/>
      <c r="N34" s="3"/>
      <c r="O34" s="3"/>
      <c r="P34" s="3"/>
      <c r="S34" s="70"/>
      <c r="T34" s="70"/>
      <c r="U34" s="70"/>
      <c r="V34" s="70"/>
      <c r="W34" s="70"/>
      <c r="X34" s="70"/>
      <c r="Y34" s="70"/>
      <c r="Z34" s="70"/>
      <c r="AA34" s="70"/>
      <c r="AB34" s="70"/>
      <c r="AC34" s="70"/>
      <c r="AD34" s="70"/>
      <c r="AE34" s="70"/>
      <c r="AF34" s="70"/>
      <c r="AG34" s="70"/>
      <c r="AH34" s="70"/>
      <c r="AI34" s="70"/>
    </row>
    <row r="35" spans="1:35">
      <c r="A35" s="373"/>
      <c r="B35" s="3"/>
      <c r="C35" s="3"/>
      <c r="D35" s="3"/>
      <c r="E35" s="376"/>
      <c r="F35" s="376"/>
      <c r="G35" s="3"/>
      <c r="H35" s="3"/>
      <c r="I35" s="143"/>
      <c r="J35" s="142"/>
      <c r="K35" s="100"/>
      <c r="L35" s="3"/>
      <c r="M35" s="3"/>
      <c r="N35" s="3"/>
      <c r="O35" s="3"/>
      <c r="P35" s="3"/>
      <c r="S35" s="70"/>
      <c r="T35" s="70"/>
      <c r="U35" s="70"/>
      <c r="V35" s="70"/>
      <c r="W35" s="70"/>
      <c r="X35" s="70"/>
      <c r="Y35" s="70"/>
      <c r="Z35" s="70"/>
      <c r="AA35" s="70"/>
      <c r="AB35" s="70"/>
      <c r="AC35" s="70"/>
      <c r="AD35" s="70"/>
      <c r="AE35" s="70"/>
      <c r="AF35" s="70"/>
      <c r="AG35" s="70"/>
      <c r="AH35" s="70"/>
      <c r="AI35" s="70"/>
    </row>
    <row r="36" spans="1:35">
      <c r="A36" s="373"/>
      <c r="B36" s="3"/>
      <c r="C36" s="3"/>
      <c r="D36" s="3"/>
      <c r="E36" s="376"/>
      <c r="F36" s="376"/>
      <c r="G36" s="3"/>
      <c r="H36" s="3"/>
      <c r="I36" s="141"/>
      <c r="J36" s="142"/>
      <c r="K36" s="100"/>
      <c r="L36" s="3"/>
      <c r="M36" s="3"/>
      <c r="N36" s="3"/>
      <c r="O36" s="3"/>
      <c r="P36" s="3"/>
      <c r="S36" s="70"/>
      <c r="T36" s="70"/>
      <c r="U36" s="70"/>
      <c r="V36" s="70"/>
      <c r="W36" s="70"/>
      <c r="X36" s="70"/>
      <c r="Y36" s="70"/>
      <c r="Z36" s="70"/>
      <c r="AA36" s="70"/>
      <c r="AB36" s="70"/>
      <c r="AC36" s="70"/>
      <c r="AD36" s="70"/>
      <c r="AE36" s="70"/>
      <c r="AF36" s="70"/>
      <c r="AG36" s="70"/>
      <c r="AH36" s="70"/>
      <c r="AI36" s="70"/>
    </row>
    <row r="37" spans="1:35">
      <c r="A37" s="373"/>
      <c r="B37" s="3"/>
      <c r="C37" s="3"/>
      <c r="D37" s="3"/>
      <c r="E37" s="376"/>
      <c r="F37" s="376"/>
      <c r="G37" s="3"/>
      <c r="H37" s="3"/>
      <c r="I37" s="3"/>
      <c r="J37" s="3"/>
      <c r="K37" s="3"/>
      <c r="L37" s="3"/>
      <c r="M37" s="3"/>
      <c r="N37" s="3"/>
      <c r="O37" s="3"/>
      <c r="P37" s="3"/>
      <c r="S37" s="70"/>
      <c r="T37" s="70"/>
      <c r="U37" s="70"/>
      <c r="V37" s="70"/>
      <c r="W37" s="70"/>
      <c r="X37" s="70"/>
      <c r="Y37" s="70"/>
      <c r="Z37" s="70"/>
      <c r="AA37" s="70"/>
      <c r="AB37" s="70"/>
      <c r="AC37" s="70"/>
      <c r="AD37" s="70"/>
      <c r="AE37" s="70"/>
      <c r="AF37" s="70"/>
      <c r="AG37" s="70"/>
      <c r="AH37" s="70"/>
      <c r="AI37" s="70"/>
    </row>
    <row r="38" spans="1:35">
      <c r="A38" s="373"/>
      <c r="B38" s="3"/>
      <c r="C38" s="3"/>
      <c r="D38" s="3"/>
      <c r="E38" s="376"/>
      <c r="F38" s="376"/>
      <c r="G38" s="3"/>
      <c r="H38" s="3"/>
      <c r="I38" s="3"/>
      <c r="J38" s="3"/>
      <c r="K38" s="3"/>
      <c r="L38" s="3"/>
      <c r="M38" s="3"/>
      <c r="N38" s="3"/>
      <c r="O38" s="3"/>
      <c r="P38" s="3"/>
      <c r="S38" s="70"/>
      <c r="T38" s="70"/>
      <c r="U38" s="70"/>
      <c r="V38" s="70"/>
      <c r="W38" s="70"/>
      <c r="X38" s="70"/>
      <c r="Y38" s="70"/>
      <c r="Z38" s="70"/>
      <c r="AA38" s="70"/>
      <c r="AB38" s="70"/>
      <c r="AC38" s="70"/>
      <c r="AD38" s="70"/>
      <c r="AE38" s="70"/>
      <c r="AF38" s="70"/>
      <c r="AG38" s="70"/>
      <c r="AH38" s="70"/>
      <c r="AI38" s="70"/>
    </row>
    <row r="39" spans="1:35">
      <c r="A39" s="373"/>
      <c r="B39" s="3"/>
      <c r="C39" s="3"/>
      <c r="D39" s="3"/>
      <c r="E39" s="376"/>
      <c r="F39" s="376"/>
      <c r="G39" s="3"/>
      <c r="H39" s="3"/>
      <c r="I39" s="3"/>
      <c r="J39" s="3"/>
      <c r="K39" s="3"/>
      <c r="L39" s="3"/>
      <c r="M39" s="3"/>
      <c r="N39" s="3"/>
      <c r="O39" s="3"/>
      <c r="P39" s="3"/>
      <c r="S39" s="63"/>
      <c r="T39" s="63"/>
      <c r="U39" s="63"/>
      <c r="V39" s="63"/>
      <c r="W39" s="63"/>
      <c r="X39" s="63"/>
      <c r="Y39" s="63"/>
      <c r="Z39" s="63"/>
      <c r="AA39" s="63"/>
      <c r="AB39" s="63"/>
    </row>
    <row r="40" spans="1:35">
      <c r="S40" s="63"/>
      <c r="T40" s="63"/>
      <c r="U40" s="63"/>
      <c r="V40" s="63"/>
      <c r="W40" s="63"/>
      <c r="X40" s="63"/>
      <c r="Y40" s="63"/>
      <c r="Z40" s="63"/>
      <c r="AA40" s="63"/>
      <c r="AB40" s="63"/>
    </row>
    <row r="41" spans="1:35">
      <c r="S41" s="63"/>
      <c r="T41" s="63"/>
      <c r="U41" s="63"/>
      <c r="V41" s="63"/>
      <c r="W41" s="63"/>
      <c r="X41" s="63"/>
      <c r="Y41" s="63"/>
      <c r="Z41" s="63"/>
      <c r="AA41" s="63"/>
      <c r="AB41" s="63"/>
    </row>
    <row r="42" spans="1:35">
      <c r="S42" s="63"/>
      <c r="T42" s="63"/>
      <c r="U42" s="63"/>
      <c r="V42" s="63"/>
      <c r="W42" s="63"/>
      <c r="X42" s="63"/>
      <c r="Y42" s="63"/>
      <c r="Z42" s="63"/>
      <c r="AA42" s="63"/>
      <c r="AB42" s="63"/>
    </row>
    <row r="43" spans="1:35">
      <c r="S43" s="63"/>
      <c r="T43" s="63"/>
      <c r="U43" s="63"/>
      <c r="V43" s="63"/>
      <c r="W43" s="63"/>
      <c r="X43" s="63"/>
      <c r="Y43" s="63"/>
      <c r="Z43" s="63"/>
      <c r="AA43" s="63"/>
      <c r="AB43" s="63"/>
    </row>
  </sheetData>
  <mergeCells count="49">
    <mergeCell ref="B22:D22"/>
    <mergeCell ref="G21:K21"/>
    <mergeCell ref="B21:D21"/>
    <mergeCell ref="M9:Q9"/>
    <mergeCell ref="C3:D3"/>
    <mergeCell ref="E4:L4"/>
    <mergeCell ref="N3:P3"/>
    <mergeCell ref="M8:Q8"/>
    <mergeCell ref="G8:K8"/>
    <mergeCell ref="C8:E8"/>
    <mergeCell ref="C9:E9"/>
    <mergeCell ref="G9:K9"/>
    <mergeCell ref="E18:K18"/>
    <mergeCell ref="B19:D19"/>
    <mergeCell ref="B20:D20"/>
    <mergeCell ref="G20:K20"/>
    <mergeCell ref="L28:P28"/>
    <mergeCell ref="L20:Q20"/>
    <mergeCell ref="L21:Q21"/>
    <mergeCell ref="L22:Q22"/>
    <mergeCell ref="L27:P27"/>
    <mergeCell ref="L23:Q23"/>
    <mergeCell ref="L24:Q24"/>
    <mergeCell ref="B30:D31"/>
    <mergeCell ref="E30:G31"/>
    <mergeCell ref="H30:K31"/>
    <mergeCell ref="B23:D23"/>
    <mergeCell ref="B24:D24"/>
    <mergeCell ref="B28:E28"/>
    <mergeCell ref="F28:K28"/>
    <mergeCell ref="G23:K23"/>
    <mergeCell ref="F27:K27"/>
    <mergeCell ref="G24:K24"/>
    <mergeCell ref="G26:K26"/>
    <mergeCell ref="B27:E27"/>
    <mergeCell ref="G25:K25"/>
    <mergeCell ref="B25:D25"/>
    <mergeCell ref="B26:D26"/>
    <mergeCell ref="L19:Q19"/>
    <mergeCell ref="L26:Q26"/>
    <mergeCell ref="G22:K22"/>
    <mergeCell ref="G19:H19"/>
    <mergeCell ref="I19:J19"/>
    <mergeCell ref="L25:Q25"/>
    <mergeCell ref="B2:Q2"/>
    <mergeCell ref="D5:N5"/>
    <mergeCell ref="F6:K6"/>
    <mergeCell ref="E3:K3"/>
    <mergeCell ref="C4:D4"/>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6">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256" scale="55" fitToHeight="0" orientation="portrait" r:id="rId1"/>
  <headerFooter alignWithMargins="0">
    <oddFooter>&amp;L&amp;F&amp;C&amp;A&amp;RV1.0          &amp;D</oddFooter>
  </headerFooter>
  <rowBreaks count="1" manualBreakCount="1">
    <brk id="26"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pageSetUpPr fitToPage="1"/>
  </sheetPr>
  <dimension ref="A1:T39"/>
  <sheetViews>
    <sheetView showGridLines="0" view="pageBreakPreview" topLeftCell="A19" zoomScale="75" zoomScaleNormal="90" zoomScaleSheetLayoutView="75" workbookViewId="0">
      <selection activeCell="G39" sqref="G39"/>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15" t="str">
        <f>+"Tabel Programatic de evaluare:  "&amp;"  "&amp;IF(+'Introducerea datelor'!C4="Please Select","",'Introducerea datelor'!C4&amp;" - ")&amp;IF('Introducerea datelor'!G6="Please Select","",'Introducerea datelor'!G6)</f>
        <v>Tabel Programatic de evaluare:    Moldova - TB</v>
      </c>
      <c r="C2" s="815"/>
      <c r="D2" s="815"/>
      <c r="E2" s="815"/>
      <c r="F2" s="815"/>
      <c r="G2" s="815"/>
      <c r="H2" s="815"/>
      <c r="I2" s="815"/>
      <c r="J2" s="815"/>
      <c r="K2" s="815"/>
      <c r="L2" s="815"/>
      <c r="M2" s="815"/>
      <c r="N2" s="815"/>
      <c r="O2" s="72"/>
    </row>
    <row r="3" spans="1:15" customFormat="1" ht="18.75">
      <c r="A3" s="3"/>
      <c r="B3" s="128" t="str">
        <f>+IF('Introducerea datelor'!G8="Please Select","",'Introducerea datelor'!G8)</f>
        <v/>
      </c>
      <c r="C3" s="794" t="str">
        <f>+IF('Introducerea datelor'!I8="Please Select","",'Introducerea datelor'!I8)</f>
        <v>Period 1</v>
      </c>
      <c r="D3" s="794"/>
      <c r="E3" s="362"/>
      <c r="F3" s="362"/>
      <c r="G3" s="362"/>
      <c r="H3" s="362"/>
      <c r="I3" s="362"/>
      <c r="J3" s="362"/>
      <c r="K3" s="362"/>
      <c r="L3" s="128" t="str">
        <f>+'Introducerea datelor'!B16</f>
        <v>Perioada de Raportare:</v>
      </c>
      <c r="M3" s="161" t="str">
        <f>+'Introducerea datelor'!C16</f>
        <v>P3</v>
      </c>
      <c r="N3" s="161"/>
      <c r="O3" s="30"/>
    </row>
    <row r="4" spans="1:15" customFormat="1" ht="15">
      <c r="A4" s="3"/>
      <c r="B4" s="128" t="str">
        <f>+'Introducerea datelor'!B12</f>
        <v>Ultimul Rating:</v>
      </c>
      <c r="C4" s="818" t="str">
        <f>+IF('Introducerea datelor'!C12="Please Select","",'Introducerea datelor'!C12)</f>
        <v>A2</v>
      </c>
      <c r="D4" s="818"/>
      <c r="E4" s="793" t="str">
        <f>+'Introducerea datelor'!C8</f>
        <v>IP UCIMP DS</v>
      </c>
      <c r="F4" s="793"/>
      <c r="G4" s="793"/>
      <c r="H4" s="793"/>
      <c r="I4" s="793"/>
      <c r="J4" s="793"/>
      <c r="K4" s="793"/>
      <c r="L4" s="128" t="str">
        <f>+'Introducerea datelor'!D16</f>
        <v>De la:</v>
      </c>
      <c r="M4" s="162">
        <f>+IF(ISBLANK('Introducerea datelor'!E16),"",'Introducerea datelor'!E16)</f>
        <v>42552</v>
      </c>
      <c r="N4" s="162"/>
      <c r="O4" s="30"/>
    </row>
    <row r="5" spans="1:15" customFormat="1" ht="18.75" customHeight="1">
      <c r="A5" s="3"/>
      <c r="B5" s="128"/>
      <c r="C5" s="128"/>
      <c r="D5" s="129"/>
      <c r="E5" s="793" t="str">
        <f>+'Introducerea datelor'!G4</f>
        <v>Consolidarea controlului Tuberculozei în Republica Moldova</v>
      </c>
      <c r="F5" s="793"/>
      <c r="G5" s="793"/>
      <c r="H5" s="793"/>
      <c r="I5" s="793"/>
      <c r="J5" s="793"/>
      <c r="K5" s="793"/>
      <c r="L5" s="128" t="str">
        <f>+'Introducerea datelor'!F16</f>
        <v>Pînă la:</v>
      </c>
      <c r="M5" s="162">
        <f>+IF(ISBLANK('Introducerea datelor'!G16),"",'Introducerea datelor'!G16)</f>
        <v>42735</v>
      </c>
      <c r="N5" s="162"/>
    </row>
    <row r="6" spans="1:15" customFormat="1" ht="22.5" customHeight="1">
      <c r="A6" s="3"/>
      <c r="B6" s="133"/>
      <c r="C6" s="134"/>
      <c r="D6" s="135"/>
      <c r="E6" s="883" t="s">
        <v>394</v>
      </c>
      <c r="F6" s="883"/>
      <c r="G6" s="883"/>
      <c r="H6" s="883"/>
      <c r="I6" s="883"/>
      <c r="J6" s="883"/>
      <c r="K6" s="883"/>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882" t="s">
        <v>400</v>
      </c>
      <c r="C8" s="882"/>
      <c r="D8" s="882"/>
      <c r="E8" s="882"/>
      <c r="F8" s="882"/>
      <c r="G8" s="882"/>
      <c r="H8" s="882"/>
      <c r="I8" s="882"/>
      <c r="J8" s="882"/>
      <c r="K8" s="882"/>
      <c r="L8" s="882"/>
      <c r="M8" s="882"/>
      <c r="N8" s="882"/>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859" t="s">
        <v>395</v>
      </c>
      <c r="C10" s="860"/>
      <c r="D10" s="861" t="s">
        <v>396</v>
      </c>
      <c r="E10" s="862"/>
      <c r="F10" s="862"/>
      <c r="G10" s="863"/>
      <c r="H10" s="152"/>
      <c r="I10" s="861" t="s">
        <v>394</v>
      </c>
      <c r="J10" s="862"/>
      <c r="K10" s="862"/>
      <c r="L10" s="862"/>
      <c r="M10" s="862"/>
      <c r="N10" s="863"/>
    </row>
    <row r="11" spans="1:15" s="33" customFormat="1" ht="40.5" customHeight="1">
      <c r="A11" s="151"/>
      <c r="B11" s="382" t="s">
        <v>58</v>
      </c>
      <c r="C11" s="383"/>
      <c r="D11" s="872" t="str">
        <f>IF(ISBLANK(Financiar!C9),"",(Financiar!C9))</f>
        <v>Fondul Global a debursat în avans 4 443 699 EUR din suma grantului către data de 31 decembrie 2016.</v>
      </c>
      <c r="E11" s="872"/>
      <c r="F11" s="872"/>
      <c r="G11" s="873"/>
      <c r="H11" s="484"/>
      <c r="I11" s="864"/>
      <c r="J11" s="865"/>
      <c r="K11" s="865"/>
      <c r="L11" s="865"/>
      <c r="M11" s="865"/>
      <c r="N11" s="866"/>
    </row>
    <row r="12" spans="1:15" s="33" customFormat="1" ht="252.75" customHeight="1">
      <c r="A12" s="151"/>
      <c r="B12" s="386" t="s">
        <v>59</v>
      </c>
      <c r="C12" s="387"/>
      <c r="D12" s="867" t="str">
        <f>IF(ISBLANK(Financiar!C23),"",(Financiar!C23))</f>
        <v xml:space="preserve">
În cadrul activităților din Obiectivul I a fost valorificată în semestrul II.2016  suma de 456 967,39 EUR față de 312 510,67 EUR bugetați (146,2%), iar cumulativ în perioada 01 iulie 2015 - 31 decembrie 2016 a fost valorificată suma de 940 106,00 EUR față de 1 543 242,68 EUR bugetați (60,9%). 
În cadrul activităților din Obiectivul II a fost valorificată în semestrul II.2016  suma de 728 625,96 EUR față de 909 030,60 EUR bugetați (80,2%), iar cumulativ în perioada 01 iulie 2015 - 31 decembrie 2016 a fost valorificată suma de 2 423 056,26 EUR față de 4 158 092,10 EUR bugetați (58,3%). 
În cadrul activităților din Obiectivul V a fost valorificată în semestrul II.2016  suma de 40 083,88 EUR față de 81 647,20 EUR bugetați (49,1%), iar cumulativ în perioada 01 iulie 2015 - 31 decembrie 2016 a fost valorificată suma de 132 286,04 EUR față de 252 096,14 EUR bugetați (52,5%). 
În cadrul activităților Managementului Proiectului a fost valorificată în semestrul II.2016  suma de 81 888,55 EUR față de83 436,79 EUR bugetați (98,1%), iar cumulativ în perioada 01 iulie 2015 - 31 decembrie 2016 a fost valorificată suma de 250 789,55 EUR față de 250 187,12 EUR bugetați (100,2%). 
Analiza detaliată a cheltuielilor, inclusiv sumele restante și economiile obținute către 31 decembrie 2016 sunt prezentate în nota informativă narativă la dashboard.
</v>
      </c>
      <c r="E12" s="867"/>
      <c r="F12" s="867"/>
      <c r="G12" s="868"/>
      <c r="H12" s="484"/>
      <c r="I12" s="864"/>
      <c r="J12" s="865"/>
      <c r="K12" s="865"/>
      <c r="L12" s="865"/>
      <c r="M12" s="865"/>
      <c r="N12" s="866"/>
    </row>
    <row r="13" spans="1:15" s="33" customFormat="1" ht="280.5" customHeight="1">
      <c r="A13" s="151"/>
      <c r="B13" s="386" t="s">
        <v>60</v>
      </c>
      <c r="C13" s="387"/>
      <c r="D13" s="867" t="str">
        <f>IF(ISBLANK(Financiar!I9),"",(Financiar!I9))</f>
        <v>În perioada semestrului II, 2016 au fost valorificați 
1 312 662,07 EUR față de 1 386 625,26 EUR bugetați pentru perioada raportată, ceea ce constituie 94,7%.
Variația pentru perioada stipulată constituie suma de 
73 963,19 compusă din: 
(-) 263 776,33 EUR - cheltuieli peste nivelul planificat, 
342 835,81 EUR – cheltuieli sub nivelul planificat și 
(-) 5 096,29 EUR utilizarea interesului bancar inițial ne bugetat. 
Cumulativ, de la demararea Grantului, în perioada        01 Iulie 2015 - 31 Decembrie 2016, au fost valorificați  
3 756 750,40 EUR față de 6 203 618,04 EUR planificați pentru această perioada, ceea ce constituie 60,6%. 
Variația pentru perioada cumulativă constituie suma de 2 446 867,64 EUR, compusă din:  
(-)  33 536,69 EUR – cheltuieli peste nivelul planificat, 
2 490 916,88 EUR – cheltuieli sub nivelul planificat, 
(-) 10 512,55 EUR – utilizarea interesului bancar inițial ne bugetat. 
Analiza detaliată a cheltuielilor, inclusiv sumele restante și economiile obținute către 31 decembrie 2016 sunt prezentate în nota informativă narativă la dashboard.</v>
      </c>
      <c r="E13" s="867"/>
      <c r="F13" s="867"/>
      <c r="G13" s="868"/>
      <c r="H13" s="484"/>
      <c r="I13" s="864"/>
      <c r="J13" s="865"/>
      <c r="K13" s="865"/>
      <c r="L13" s="865"/>
      <c r="M13" s="865"/>
      <c r="N13" s="866"/>
    </row>
    <row r="14" spans="1:15" s="33" customFormat="1" ht="52.5" customHeight="1" thickBot="1">
      <c r="A14" s="151"/>
      <c r="B14" s="384" t="s">
        <v>61</v>
      </c>
      <c r="C14" s="385"/>
      <c r="D14" s="874" t="str">
        <f>IF(ISBLANK(Financiar!I23),"",(Financiar!I23))</f>
        <v xml:space="preserve">Raportul de progres standard către Secretariatul Fondului Global pentru semestrul II.2016 a fost remis donatorului pentru examinare la 20 martie 2017. </v>
      </c>
      <c r="E14" s="874"/>
      <c r="F14" s="874"/>
      <c r="G14" s="875"/>
      <c r="H14" s="484"/>
      <c r="I14" s="884"/>
      <c r="J14" s="885"/>
      <c r="K14" s="885"/>
      <c r="L14" s="885"/>
      <c r="M14" s="885"/>
      <c r="N14" s="886"/>
    </row>
    <row r="15" spans="1:15" s="33" customFormat="1" ht="4.5" customHeight="1">
      <c r="A15" s="151"/>
      <c r="B15" s="156"/>
      <c r="C15" s="157"/>
      <c r="D15" s="485"/>
      <c r="E15" s="485"/>
      <c r="F15" s="485"/>
      <c r="G15" s="485"/>
      <c r="H15" s="484"/>
      <c r="I15" s="486"/>
      <c r="J15" s="486"/>
      <c r="K15" s="486"/>
      <c r="L15" s="486"/>
      <c r="M15" s="486"/>
      <c r="N15" s="486"/>
      <c r="O15" s="74"/>
    </row>
    <row r="16" spans="1:15" s="32" customFormat="1" ht="21" customHeight="1" thickBot="1">
      <c r="A16" s="147"/>
      <c r="B16" s="882" t="s">
        <v>399</v>
      </c>
      <c r="C16" s="882"/>
      <c r="D16" s="882"/>
      <c r="E16" s="882"/>
      <c r="F16" s="882"/>
      <c r="G16" s="882"/>
      <c r="H16" s="882"/>
      <c r="I16" s="882"/>
      <c r="J16" s="882"/>
      <c r="K16" s="882"/>
      <c r="L16" s="882"/>
      <c r="M16" s="882"/>
      <c r="N16" s="882"/>
    </row>
    <row r="17" spans="1:20" s="33" customFormat="1" ht="3.75" customHeight="1" thickBot="1">
      <c r="A17" s="151"/>
      <c r="B17" s="487"/>
      <c r="C17" s="154"/>
      <c r="D17" s="488"/>
      <c r="E17" s="489"/>
      <c r="F17" s="490"/>
      <c r="G17" s="490"/>
      <c r="H17" s="491"/>
      <c r="I17" s="155"/>
      <c r="J17" s="492"/>
      <c r="K17" s="493"/>
      <c r="L17" s="494"/>
      <c r="M17" s="153"/>
      <c r="N17" s="495"/>
    </row>
    <row r="18" spans="1:20" s="33" customFormat="1" ht="22.5" customHeight="1" thickBot="1">
      <c r="A18" s="151"/>
      <c r="B18" s="857" t="s">
        <v>57</v>
      </c>
      <c r="C18" s="858"/>
      <c r="D18" s="876" t="s">
        <v>396</v>
      </c>
      <c r="E18" s="877"/>
      <c r="F18" s="877"/>
      <c r="G18" s="878"/>
      <c r="H18" s="496"/>
      <c r="I18" s="869" t="s">
        <v>394</v>
      </c>
      <c r="J18" s="870"/>
      <c r="K18" s="870"/>
      <c r="L18" s="870"/>
      <c r="M18" s="871"/>
      <c r="N18" s="871"/>
    </row>
    <row r="19" spans="1:20" s="33" customFormat="1" ht="70.5" customHeight="1">
      <c r="A19" s="151"/>
      <c r="B19" s="388" t="s">
        <v>66</v>
      </c>
      <c r="C19" s="389"/>
      <c r="D19" s="890" t="str">
        <f>IF(ISBLANK(Management!C8),"",(Management!C8))</f>
        <v>Două din cele trei condiții precedente stipulate în Acordul de Grant au fost îndeplinite, axate pe procurarea medicamentelor antituberculoase de linia a doua pentru tratamentul pacienților cu TB DR.  Termenul limită pentru îndeplinirea celei de a treia condiție, de dezvoltare a planului de sustenabilitate, este de 31 decembrie 2016.</v>
      </c>
      <c r="E19" s="890"/>
      <c r="F19" s="890"/>
      <c r="G19" s="891"/>
      <c r="H19" s="497"/>
      <c r="I19" s="896"/>
      <c r="J19" s="897"/>
      <c r="K19" s="897"/>
      <c r="L19" s="897"/>
      <c r="M19" s="897"/>
      <c r="N19" s="898"/>
    </row>
    <row r="20" spans="1:20" ht="47.25" customHeight="1">
      <c r="A20" s="145"/>
      <c r="B20" s="392" t="s">
        <v>67</v>
      </c>
      <c r="C20" s="393"/>
      <c r="D20" s="867" t="str">
        <f>IF(ISBLANK(Management!I8),"",(Management!I8))</f>
        <v>Toate posturile în cadrul echipei ce gestionează Grantul TB al Noului Mecanism de Finanțare sunt ocupate.</v>
      </c>
      <c r="E20" s="867" t="e">
        <f>+'Introducerea datelor'!D72/'Introducerea datelor'!G72</f>
        <v>#DIV/0!</v>
      </c>
      <c r="F20" s="867" t="e">
        <f>+('Introducerea datelor'!E72+'Introducerea datelor'!F72)/'Introducerea datelor'!G72</f>
        <v>#DIV/0!</v>
      </c>
      <c r="G20" s="892"/>
      <c r="H20" s="497"/>
      <c r="I20" s="887"/>
      <c r="J20" s="888"/>
      <c r="K20" s="888"/>
      <c r="L20" s="888"/>
      <c r="M20" s="888"/>
      <c r="N20" s="889"/>
      <c r="O20" s="34"/>
    </row>
    <row r="21" spans="1:20" ht="90.75" customHeight="1">
      <c r="A21" s="145"/>
      <c r="B21" s="394" t="s">
        <v>68</v>
      </c>
      <c r="C21" s="393"/>
      <c r="D21" s="867" t="str">
        <f>IF(ISBLANK(Management!C16),"",(Management!C16))</f>
        <v>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67"/>
      <c r="F21" s="867"/>
      <c r="G21" s="892"/>
      <c r="H21" s="497"/>
      <c r="I21" s="887"/>
      <c r="J21" s="888"/>
      <c r="K21" s="888"/>
      <c r="L21" s="888"/>
      <c r="M21" s="888"/>
      <c r="N21" s="889"/>
      <c r="O21" s="34"/>
    </row>
    <row r="22" spans="1:20" ht="46.5" customHeight="1">
      <c r="A22" s="145"/>
      <c r="B22" s="394" t="s">
        <v>69</v>
      </c>
      <c r="C22" s="393"/>
      <c r="D22" s="867" t="str">
        <f>IF(ISBLANK(Management!I16),"",(Management!I16))</f>
        <v>În perioada raportată Sub-Recipientul a prezentat în conformitate cu Acordul două rapoarte trimestriale și raportul cumulativ anual pentru 2015.</v>
      </c>
      <c r="E22" s="867"/>
      <c r="F22" s="867"/>
      <c r="G22" s="892"/>
      <c r="H22" s="497"/>
      <c r="I22" s="887"/>
      <c r="J22" s="888"/>
      <c r="K22" s="888"/>
      <c r="L22" s="888"/>
      <c r="M22" s="888"/>
      <c r="N22" s="889"/>
      <c r="O22" s="34"/>
    </row>
    <row r="23" spans="1:20" ht="43.5" customHeight="1">
      <c r="A23" s="145"/>
      <c r="B23" s="394" t="s">
        <v>70</v>
      </c>
      <c r="C23" s="393"/>
      <c r="D23" s="867" t="str">
        <f>IF(ISBLANK(Management!C27),"",(Management!C27))</f>
        <v>RP avea la 31 decembrie 2016 angajamente semnate pentru livrarea consumabilelor și reagenților in suma de 295 000 EUR.</v>
      </c>
      <c r="E23" s="867"/>
      <c r="F23" s="867"/>
      <c r="G23" s="892"/>
      <c r="H23" s="497"/>
      <c r="I23" s="887"/>
      <c r="J23" s="888"/>
      <c r="K23" s="888"/>
      <c r="L23" s="888"/>
      <c r="M23" s="888"/>
      <c r="N23" s="889"/>
      <c r="O23" s="34"/>
    </row>
    <row r="24" spans="1:20" ht="60" customHeight="1" thickBot="1">
      <c r="A24" s="145"/>
      <c r="B24" s="390" t="s">
        <v>71</v>
      </c>
      <c r="C24" s="391"/>
      <c r="D24" s="880" t="str">
        <f>IF(ISBLANK(Management!I27),"",(Management!I27))</f>
        <v>Analiza stocului (la data de 31 decembrie 2016) a medicamentelor de linia a II și a III, a numărului de pacienți în tratament la aceeași dată, precum si a livrarilor planificate arata prezența unui stock buffer între 4 și 16 de luni ce previne riscul lipsei de preparate.</v>
      </c>
      <c r="E24" s="880"/>
      <c r="F24" s="880"/>
      <c r="G24" s="881"/>
      <c r="H24" s="497"/>
      <c r="I24" s="899"/>
      <c r="J24" s="900"/>
      <c r="K24" s="900"/>
      <c r="L24" s="900"/>
      <c r="M24" s="900"/>
      <c r="N24" s="901"/>
      <c r="O24" s="34"/>
      <c r="T24" s="458"/>
    </row>
    <row r="25" spans="1:20" ht="4.5" customHeight="1">
      <c r="A25" s="147"/>
      <c r="B25" s="498"/>
      <c r="C25" s="499"/>
      <c r="D25" s="500"/>
      <c r="E25" s="501"/>
      <c r="F25" s="502"/>
      <c r="G25" s="502"/>
      <c r="H25" s="496"/>
      <c r="I25" s="501"/>
      <c r="J25" s="503"/>
      <c r="K25" s="493"/>
      <c r="L25" s="494"/>
      <c r="M25" s="153"/>
      <c r="N25" s="495"/>
      <c r="O25" s="34"/>
    </row>
    <row r="26" spans="1:20" s="32" customFormat="1" ht="21" customHeight="1" thickBot="1">
      <c r="A26" s="147"/>
      <c r="B26" s="882" t="s">
        <v>398</v>
      </c>
      <c r="C26" s="882"/>
      <c r="D26" s="882"/>
      <c r="E26" s="882"/>
      <c r="F26" s="882"/>
      <c r="G26" s="882"/>
      <c r="H26" s="882"/>
      <c r="I26" s="882"/>
      <c r="J26" s="882"/>
      <c r="K26" s="882"/>
      <c r="L26" s="882"/>
      <c r="M26" s="882"/>
      <c r="N26" s="882"/>
      <c r="R26" s="459"/>
    </row>
    <row r="27" spans="1:20" ht="3.75" customHeight="1" thickBot="1">
      <c r="A27" s="147"/>
      <c r="B27" s="498"/>
      <c r="C27" s="499"/>
      <c r="D27" s="500"/>
      <c r="E27" s="501"/>
      <c r="F27" s="502"/>
      <c r="G27" s="502"/>
      <c r="H27" s="496"/>
      <c r="I27" s="501"/>
      <c r="J27" s="503"/>
      <c r="K27" s="493"/>
      <c r="L27" s="494"/>
      <c r="M27" s="153"/>
      <c r="N27" s="495"/>
      <c r="O27" s="34"/>
    </row>
    <row r="28" spans="1:20" ht="21.75" customHeight="1" thickBot="1">
      <c r="A28" s="145"/>
      <c r="B28" s="879" t="s">
        <v>397</v>
      </c>
      <c r="C28" s="858"/>
      <c r="D28" s="893" t="s">
        <v>396</v>
      </c>
      <c r="E28" s="894"/>
      <c r="F28" s="894"/>
      <c r="G28" s="895"/>
      <c r="H28" s="496"/>
      <c r="I28" s="893" t="s">
        <v>394</v>
      </c>
      <c r="J28" s="894"/>
      <c r="K28" s="894"/>
      <c r="L28" s="894"/>
      <c r="M28" s="894"/>
      <c r="N28" s="895"/>
      <c r="O28" s="34"/>
    </row>
    <row r="29" spans="1:20" ht="86.25" hidden="1" customHeight="1">
      <c r="A29" s="145"/>
      <c r="B29" s="504" t="s">
        <v>244</v>
      </c>
      <c r="C29" s="505"/>
      <c r="D29" s="912" t="str">
        <f>IF(ISBLANK(Programatic!C9),"",(Programatic!C9))</f>
        <v xml:space="preserve">Date preliminare pentru anul 2016: 373 persoane au decedat de tuberculoză în anul 2016 (9,3 decese la 100 000 persoane). 
Notă: Se constată o micșorare cu 8,6% a ratei de mortalitate față de datele anului 2015 (408 cazuri de deces cauzate de tuberculoză), cu 26,5% a ratei de mortalitate față de datele anului 2014 (508 cazuri de deces cauzate de tuberculoză) și cu 18,2% față de datele anului 2013 (456 cazuri de deces cauzate de tuberculoză). </v>
      </c>
      <c r="E29" s="913"/>
      <c r="F29" s="913"/>
      <c r="G29" s="914"/>
      <c r="H29" s="497"/>
      <c r="I29" s="906"/>
      <c r="J29" s="907"/>
      <c r="K29" s="907"/>
      <c r="L29" s="907"/>
      <c r="M29" s="907"/>
      <c r="N29" s="908"/>
      <c r="O29" s="34"/>
    </row>
    <row r="30" spans="1:20" ht="87" hidden="1" customHeight="1">
      <c r="A30" s="145"/>
      <c r="B30" s="506" t="s">
        <v>245</v>
      </c>
      <c r="C30" s="507"/>
      <c r="D30" s="905" t="str">
        <f>IF(ISBLANK(Programatic!G9),"",(Programatic!G9))</f>
        <v xml:space="preserve">Date preliminare pentru anul 2016: 321 cazuri noi de tuberculoză cu cultura pozitivă, testate la sensibilitate pentru preparatele de linia I, din 1 289 investigate în 2016, au fost diagnosticate cu MDR.
Notă: Se constată menținerea unei rate înalte a TB MDR printre cazurile noi, situație caracteristică ultimilor ani.                                                                                                                                                                                                                                                                  </v>
      </c>
      <c r="E30" s="903"/>
      <c r="F30" s="903"/>
      <c r="G30" s="904"/>
      <c r="H30" s="497"/>
      <c r="I30" s="909"/>
      <c r="J30" s="910"/>
      <c r="K30" s="910"/>
      <c r="L30" s="910"/>
      <c r="M30" s="910"/>
      <c r="N30" s="911"/>
      <c r="O30" s="34"/>
    </row>
    <row r="31" spans="1:20" ht="75" hidden="1" customHeight="1">
      <c r="A31" s="145"/>
      <c r="B31" s="506" t="s">
        <v>246</v>
      </c>
      <c r="C31" s="507"/>
      <c r="D31" s="905" t="str">
        <f>IF(ISBLANK(Programatic!M9),"",(Programatic!M9))</f>
        <v xml:space="preserve">Date finale pentru cohorta MDR-TB 2013: 538 cazuri confirmate de TB MDR, din 943 incluse în tratmentul DOTS Plus în 2013, au fost tratate cu succes (vindecate și cu tratamente încheiate).                                                                                  
Notă: 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v>
      </c>
      <c r="E31" s="903"/>
      <c r="F31" s="903"/>
      <c r="G31" s="904"/>
      <c r="H31" s="497"/>
      <c r="I31" s="909"/>
      <c r="J31" s="910"/>
      <c r="K31" s="910"/>
      <c r="L31" s="910"/>
      <c r="M31" s="910"/>
      <c r="N31" s="911"/>
      <c r="O31" s="34"/>
    </row>
    <row r="32" spans="1:20" ht="97.5" customHeight="1">
      <c r="A32" s="145"/>
      <c r="B32" s="508" t="s">
        <v>62</v>
      </c>
      <c r="C32" s="507"/>
      <c r="D32" s="902" t="str">
        <f>IF(ISBLANK(Programatic!L20),"",(Programatic!L20))</f>
        <v xml:space="preserve">Date preliminare pentru anul 2016: 373 persoane au decedat de tuberculoză în anul 2016 (9,3 decese la 100 000 persoane). 
Notă: Se constată o micșorare cu 8,6% a ratei de mortalitate față de datele anului 2015 (408 cazuri de deces cauzate de tuberculoză), cu 26,5% a ratei de mortalitate față de datele anului 2014 (508 cazuri de deces cauzate de tuberculoză) și cu 18,2% față de datele anului 2013 (456 cazuri de deces cauzate de tuberculoză). </v>
      </c>
      <c r="E32" s="903"/>
      <c r="F32" s="903"/>
      <c r="G32" s="904"/>
      <c r="H32" s="497"/>
      <c r="I32" s="909"/>
      <c r="J32" s="910"/>
      <c r="K32" s="910"/>
      <c r="L32" s="910"/>
      <c r="M32" s="910"/>
      <c r="N32" s="911"/>
      <c r="O32" s="34"/>
    </row>
    <row r="33" spans="1:15" ht="87" customHeight="1">
      <c r="A33" s="145"/>
      <c r="B33" s="508" t="s">
        <v>63</v>
      </c>
      <c r="C33" s="507"/>
      <c r="D33" s="902" t="str">
        <f>IF(ISBLANK(Programatic!L21),"",(Programatic!L21))</f>
        <v xml:space="preserve">Date preliminare pentru anul 2016: 321 cazuri noi de tuberculoză cu cultura pozitivă, testate la sensibilitate pentru preparatele de linia I, din 1 289 investigate în 2016, au fost diagnosticate cu MDR.
Notă: Se constată menținerea unei rate înalte a TB MDR printre cazurile noi, situație caracteristică ultimilor ani.                                                                                                                                                                                                                                                                  </v>
      </c>
      <c r="E33" s="903"/>
      <c r="F33" s="903"/>
      <c r="G33" s="904"/>
      <c r="H33" s="497"/>
      <c r="I33" s="909"/>
      <c r="J33" s="910"/>
      <c r="K33" s="910"/>
      <c r="L33" s="910"/>
      <c r="M33" s="910"/>
      <c r="N33" s="911"/>
      <c r="O33" s="34"/>
    </row>
    <row r="34" spans="1:15" ht="199.5" customHeight="1">
      <c r="A34" s="145"/>
      <c r="B34" s="508" t="s">
        <v>64</v>
      </c>
      <c r="C34" s="507"/>
      <c r="D34" s="902" t="str">
        <f>IF(ISBLANK(Programatic!L22),"",(Programatic!L22))</f>
        <v xml:space="preserve">Date finale pentru cohorta MDR-TB 2013: 538 cazuri confirmate de TB MDR, din 943 incluse în tratmentul DOTS Plus în 2013, au fost tratate cu succes (vindecate și cu tratamente încheiate).                                                                                  
Notă: 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v>
      </c>
      <c r="E34" s="903"/>
      <c r="F34" s="903"/>
      <c r="G34" s="904"/>
      <c r="H34" s="497"/>
      <c r="I34" s="909"/>
      <c r="J34" s="910"/>
      <c r="K34" s="910"/>
      <c r="L34" s="910"/>
      <c r="M34" s="910"/>
      <c r="N34" s="911"/>
      <c r="O34" s="34"/>
    </row>
    <row r="35" spans="1:15" ht="107.25" customHeight="1">
      <c r="A35" s="145"/>
      <c r="B35" s="508" t="s">
        <v>65</v>
      </c>
      <c r="C35" s="509"/>
      <c r="D35" s="902" t="str">
        <f>IF(ISBLANK(Programatic!L23),"",(Programatic!L23))</f>
        <v xml:space="preserve">Date preliminare pentru anul 2016: 3 573 cazuri de tuberculoză (toate formele, bacteriologic confirmate și diagnosticate clinic, cazuri noi și recidive) au fost notificate către autoritatea națională în anul 2016.                                                                                                 Notă: Se constată o descreștere continuă a ratei de notificare înregistrate, precum urmează: cu 0,9% comparativ cu datele anului 2015 (89,5 per 100 000), cu 4,1% comparativ cu datele anului 2014 (92,5 per 100 000), cu 9,1% comparativ cu datele anului 2013 (97,6 per 100 000) și cu 13,7% comparativ cu anul 2012 (102,7 per 100 000).              </v>
      </c>
      <c r="E35" s="903"/>
      <c r="F35" s="903"/>
      <c r="G35" s="904"/>
      <c r="H35" s="497"/>
      <c r="I35" s="909"/>
      <c r="J35" s="910"/>
      <c r="K35" s="910"/>
      <c r="L35" s="910"/>
      <c r="M35" s="910"/>
      <c r="N35" s="911"/>
      <c r="O35" s="34"/>
    </row>
    <row r="36" spans="1:15" ht="82.5" customHeight="1">
      <c r="A36" s="145"/>
      <c r="B36" s="508" t="s">
        <v>72</v>
      </c>
      <c r="C36" s="509"/>
      <c r="D36" s="902" t="str">
        <f>IF(ISBLANK(Programatic!L24),"",(Programatic!L24))</f>
        <v xml:space="preserve">Date finale pentru anul 2015: 754 pacienți cu tuberculoză drog-rezistentă (RR-TB și/sau MDR-TB), confirmate bacteriologic, au fost notificate, față de 912 cazuri estimate pentru perioada raportată.                                                        
Notă - Se constată o descreștere a numărului de cazuri de TB DR, confirmate bacteriologic, notificate, pe fondalul descreșterii numarului cazurilor TB (toate formele) notificate.                                                              </v>
      </c>
      <c r="E36" s="903"/>
      <c r="F36" s="903"/>
      <c r="G36" s="904"/>
      <c r="H36" s="497"/>
      <c r="I36" s="909"/>
      <c r="J36" s="910"/>
      <c r="K36" s="910"/>
      <c r="L36" s="910"/>
      <c r="M36" s="910"/>
      <c r="N36" s="911"/>
      <c r="O36" s="34"/>
    </row>
    <row r="37" spans="1:15" ht="102" customHeight="1">
      <c r="A37" s="145"/>
      <c r="B37" s="508" t="s">
        <v>73</v>
      </c>
      <c r="C37" s="509"/>
      <c r="D37" s="902" t="str">
        <f>IF(ISBLANK(Programatic!L25),"",(Programatic!L25))</f>
        <v xml:space="preserve">Date preliminare pentru anul 2016: 1 036 (și anume: 272 în Q1.2016, 256 în Q2.2016, 233 în Q3.2016 și 275 în Q4.2016) pacienți cu tuberculoză drog-rezistentă (RR-TB și/sau MDR-TB), confirmate bacteriologic, au demarat tratamentul DOTS-Plus, față de 780 pacienți preconizați pentru perioada raportată.                                                                          Notă: Ținta a fost depășită din cauza includerii în tratamentul DOTS Plus a unui număr adițional de pacienți MDR TB în locul cazurilor de eșec, mortalitate sau pierdute din supraveghere înregistrate.                      </v>
      </c>
      <c r="E37" s="903"/>
      <c r="F37" s="903"/>
      <c r="G37" s="904"/>
      <c r="H37" s="497"/>
      <c r="I37" s="909"/>
      <c r="J37" s="910"/>
      <c r="K37" s="910"/>
      <c r="L37" s="910"/>
      <c r="M37" s="910"/>
      <c r="N37" s="911"/>
      <c r="O37" s="34"/>
    </row>
    <row r="38" spans="1:15" ht="156.75" customHeight="1">
      <c r="A38" s="145"/>
      <c r="B38" s="508" t="s">
        <v>74</v>
      </c>
      <c r="C38" s="509"/>
      <c r="D38" s="902" t="str">
        <f>IF(ISBLANK(Programatic!L26),"",(Programatic!L26))</f>
        <v xml:space="preserve">Date finale pentru cohorta 2015: 102 pacienți din 1 020 incluși în tratamentul DOTS Plus în anul 2015, au abandonat tratamentul după 6 luni de tratament DOTS Plus.                    
Notă: Analiza cazurilor care au abandonat tratamentul pentru DR-TB ne arată că există o diferență a ratei abandonului printre diferite categorii de pacienți. Astfel, rata interimară de abandon printre cazurile noi de pacienți cu DR-TB aflați în tratament a constituit doar 7,2% (30/411), pe când printre cazurile de retratamente aceasta a constituit 11,8% (72/609). Totodată, analizând rata interimară de abandon printre cazurile anterior tratate de pacienții cu DR-TB, se observă că aceasta, la fel, s-a deosebit la diferite tipuri de pacienți: dacă la cazurile după eșec aceasta a fost de 3,7% (8/217), atunci  printre recidive a ajuns la 10,8% (24/221) și printre cazurile după abandon - la 23,4% (40/171).                                                                     
                                                                          </v>
      </c>
      <c r="E38" s="903"/>
      <c r="F38" s="903"/>
      <c r="G38" s="904"/>
      <c r="H38" s="497"/>
      <c r="I38" s="909"/>
      <c r="J38" s="910"/>
      <c r="K38" s="910"/>
      <c r="L38" s="910"/>
      <c r="M38" s="910"/>
      <c r="N38" s="911"/>
      <c r="O38" s="34"/>
    </row>
    <row r="39" spans="1:15"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pageSetUpPr fitToPage="1"/>
  </sheetPr>
  <dimension ref="A1:M43"/>
  <sheetViews>
    <sheetView showGridLines="0" view="pageBreakPreview" zoomScaleNormal="100" zoomScaleSheetLayoutView="100" workbookViewId="0">
      <selection activeCell="D47" sqref="D47"/>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68" t="str">
        <f>+"Tabel Programatic de Evaluare:  "&amp;"  "&amp;IF(+'Introducerea datelor'!C4="Please Select","",'Introducerea datelor'!C4&amp;" - ")&amp;IF('Introducerea datelor'!G6="Please Select","",'Introducerea datelor'!G6)</f>
        <v>Tabel Programatic de Evaluare:    Moldova - TB</v>
      </c>
      <c r="C2" s="768"/>
      <c r="D2" s="768"/>
      <c r="E2" s="768"/>
      <c r="F2" s="768"/>
      <c r="G2" s="768"/>
      <c r="H2" s="768"/>
      <c r="I2" s="768"/>
      <c r="J2" s="768"/>
      <c r="K2" s="768"/>
      <c r="L2" s="768"/>
    </row>
    <row r="3" spans="1:13">
      <c r="B3" s="23" t="str">
        <f>+IF('Introducerea datelor'!G8="Please Select","",'Introducerea datelor'!G8)</f>
        <v/>
      </c>
      <c r="C3" s="773" t="str">
        <f>+IF('Introducerea datelor'!I8="Please Select","",'Introducerea datelor'!I8)</f>
        <v>Period 1</v>
      </c>
      <c r="D3" s="773"/>
      <c r="E3" s="771"/>
      <c r="F3" s="771"/>
      <c r="G3" s="771"/>
      <c r="H3" s="771"/>
      <c r="I3" s="771"/>
      <c r="J3" s="772" t="str">
        <f>+'Introducerea datelor'!B16</f>
        <v>Perioada de Raportare:</v>
      </c>
      <c r="K3" s="772"/>
      <c r="L3" s="161" t="str">
        <f>+'Introducerea datelor'!C16</f>
        <v>P3</v>
      </c>
      <c r="M3" s="84"/>
    </row>
    <row r="4" spans="1:13">
      <c r="B4" s="23" t="str">
        <f>+'Introducerea datelor'!B12</f>
        <v>Ultimul Rating:</v>
      </c>
      <c r="C4" s="964" t="str">
        <f>+IF('Introducerea datelor'!C12="Please Select","",'Introducerea datelor'!C12)</f>
        <v>A2</v>
      </c>
      <c r="D4" s="964"/>
      <c r="E4" s="771" t="str">
        <f>+'Introducerea datelor'!C8</f>
        <v>IP UCIMP DS</v>
      </c>
      <c r="F4" s="771"/>
      <c r="G4" s="771"/>
      <c r="H4" s="771"/>
      <c r="I4" s="771"/>
      <c r="J4" s="772" t="str">
        <f>+'Introducerea datelor'!D16</f>
        <v>De la:</v>
      </c>
      <c r="K4" s="774"/>
      <c r="L4" s="162">
        <f>+IF(ISBLANK('Introducerea datelor'!E16),"",'Introducerea datelor'!E16)</f>
        <v>42552</v>
      </c>
    </row>
    <row r="5" spans="1:13" ht="18.75" customHeight="1">
      <c r="B5" s="23"/>
      <c r="C5" s="23"/>
      <c r="D5" s="771" t="str">
        <f>+'Introducerea datelor'!G4</f>
        <v>Consolidarea controlului Tuberculozei în Republica Moldova</v>
      </c>
      <c r="E5" s="771"/>
      <c r="F5" s="771"/>
      <c r="G5" s="771"/>
      <c r="H5" s="771"/>
      <c r="I5" s="771"/>
      <c r="J5" s="771"/>
      <c r="K5" s="23" t="str">
        <f>+'Introducerea datelor'!F16</f>
        <v>Pînă la:</v>
      </c>
      <c r="L5" s="162">
        <f>+IF(ISBLANK('Introducerea datelor'!G16),"",'Introducerea datelor'!G16)</f>
        <v>42735</v>
      </c>
    </row>
    <row r="6" spans="1:13" ht="18.75">
      <c r="B6" s="22"/>
      <c r="C6" s="23"/>
      <c r="D6" s="24"/>
      <c r="E6" s="770" t="s">
        <v>401</v>
      </c>
      <c r="F6" s="770"/>
      <c r="G6" s="770"/>
      <c r="H6" s="770"/>
      <c r="I6" s="770"/>
    </row>
    <row r="7" spans="1:13" ht="18.75">
      <c r="E7" s="71"/>
      <c r="F7" s="71"/>
      <c r="G7" s="71"/>
      <c r="H7" s="71"/>
      <c r="I7" s="71"/>
    </row>
    <row r="8" spans="1:13" s="32" customFormat="1" ht="21" customHeight="1" thickBot="1">
      <c r="B8" s="75" t="s">
        <v>402</v>
      </c>
      <c r="C8" s="75"/>
      <c r="D8" s="75"/>
      <c r="E8" s="75"/>
      <c r="F8" s="75"/>
      <c r="G8" s="75"/>
      <c r="H8" s="75"/>
      <c r="I8" s="75"/>
      <c r="J8" s="75"/>
      <c r="K8" s="75"/>
      <c r="L8" s="75"/>
    </row>
    <row r="9" spans="1:13" ht="6" customHeight="1">
      <c r="B9" s="73"/>
    </row>
    <row r="10" spans="1:13" ht="18" customHeight="1">
      <c r="B10" s="970"/>
      <c r="C10" s="971"/>
      <c r="D10" s="971"/>
      <c r="E10" s="971"/>
      <c r="F10" s="971"/>
      <c r="G10" s="971"/>
      <c r="H10" s="971"/>
      <c r="I10" s="971"/>
      <c r="J10" s="971"/>
      <c r="K10" s="971"/>
      <c r="L10" s="972"/>
    </row>
    <row r="11" spans="1:13" ht="18" customHeight="1">
      <c r="B11" s="973"/>
      <c r="C11" s="974"/>
      <c r="D11" s="974"/>
      <c r="E11" s="974"/>
      <c r="F11" s="974"/>
      <c r="G11" s="974"/>
      <c r="H11" s="974"/>
      <c r="I11" s="974"/>
      <c r="J11" s="974"/>
      <c r="K11" s="974"/>
      <c r="L11" s="975"/>
    </row>
    <row r="12" spans="1:13" ht="15.75" thickBot="1"/>
    <row r="13" spans="1:13" ht="26.25" customHeight="1" thickBot="1">
      <c r="B13" s="966" t="s">
        <v>430</v>
      </c>
      <c r="C13" s="967"/>
      <c r="D13" s="967"/>
      <c r="E13" s="968"/>
      <c r="F13" s="76"/>
      <c r="G13" s="976" t="s">
        <v>403</v>
      </c>
      <c r="H13" s="945"/>
      <c r="I13" s="945"/>
      <c r="J13" s="77" t="s">
        <v>404</v>
      </c>
      <c r="K13" s="945" t="s">
        <v>405</v>
      </c>
      <c r="L13" s="946"/>
    </row>
    <row r="14" spans="1:13" ht="18.75" customHeight="1">
      <c r="A14" s="915" t="s">
        <v>406</v>
      </c>
      <c r="B14" s="961"/>
      <c r="C14" s="962"/>
      <c r="D14" s="962"/>
      <c r="E14" s="963"/>
      <c r="F14" s="45"/>
      <c r="G14" s="960"/>
      <c r="H14" s="948"/>
      <c r="I14" s="948"/>
      <c r="J14" s="948"/>
      <c r="K14" s="948"/>
      <c r="L14" s="965"/>
    </row>
    <row r="15" spans="1:13" ht="18.75" customHeight="1">
      <c r="A15" s="916"/>
      <c r="B15" s="952"/>
      <c r="C15" s="953"/>
      <c r="D15" s="953"/>
      <c r="E15" s="954"/>
      <c r="F15" s="45"/>
      <c r="G15" s="957"/>
      <c r="H15" s="935"/>
      <c r="I15" s="935"/>
      <c r="J15" s="935"/>
      <c r="K15" s="935"/>
      <c r="L15" s="936"/>
    </row>
    <row r="16" spans="1:13" ht="18.75" customHeight="1">
      <c r="A16" s="916"/>
      <c r="B16" s="949"/>
      <c r="C16" s="950"/>
      <c r="D16" s="950"/>
      <c r="E16" s="951"/>
      <c r="F16" s="45"/>
      <c r="G16" s="957"/>
      <c r="H16" s="935"/>
      <c r="I16" s="935"/>
      <c r="J16" s="935"/>
      <c r="K16" s="935"/>
      <c r="L16" s="936"/>
    </row>
    <row r="17" spans="1:12" ht="18.75" customHeight="1">
      <c r="A17" s="916"/>
      <c r="B17" s="952"/>
      <c r="C17" s="953"/>
      <c r="D17" s="953"/>
      <c r="E17" s="954"/>
      <c r="F17" s="45"/>
      <c r="G17" s="957"/>
      <c r="H17" s="935"/>
      <c r="I17" s="935"/>
      <c r="J17" s="935"/>
      <c r="K17" s="935"/>
      <c r="L17" s="936"/>
    </row>
    <row r="18" spans="1:12" ht="18.75" customHeight="1">
      <c r="A18" s="916"/>
      <c r="B18" s="949"/>
      <c r="C18" s="950"/>
      <c r="D18" s="950"/>
      <c r="E18" s="951"/>
      <c r="F18" s="45"/>
      <c r="G18" s="937"/>
      <c r="H18" s="938"/>
      <c r="I18" s="939"/>
      <c r="J18" s="935"/>
      <c r="K18" s="935"/>
      <c r="L18" s="936"/>
    </row>
    <row r="19" spans="1:12" ht="18.75" customHeight="1">
      <c r="A19" s="916"/>
      <c r="B19" s="952"/>
      <c r="C19" s="953"/>
      <c r="D19" s="953"/>
      <c r="E19" s="954"/>
      <c r="F19" s="45"/>
      <c r="G19" s="931"/>
      <c r="H19" s="932"/>
      <c r="I19" s="940"/>
      <c r="J19" s="935"/>
      <c r="K19" s="935"/>
      <c r="L19" s="936"/>
    </row>
    <row r="20" spans="1:12" ht="18.75" customHeight="1">
      <c r="A20" s="916"/>
      <c r="B20" s="955"/>
      <c r="C20" s="955"/>
      <c r="D20" s="955"/>
      <c r="E20" s="956"/>
      <c r="F20" s="45"/>
      <c r="G20" s="957"/>
      <c r="H20" s="935"/>
      <c r="I20" s="935"/>
      <c r="J20" s="935"/>
      <c r="K20" s="935"/>
      <c r="L20" s="936"/>
    </row>
    <row r="21" spans="1:12" ht="18.75" customHeight="1">
      <c r="A21" s="916"/>
      <c r="B21" s="955"/>
      <c r="C21" s="955"/>
      <c r="D21" s="955"/>
      <c r="E21" s="956"/>
      <c r="F21" s="45"/>
      <c r="G21" s="957"/>
      <c r="H21" s="935"/>
      <c r="I21" s="935"/>
      <c r="J21" s="935"/>
      <c r="K21" s="935"/>
      <c r="L21" s="936"/>
    </row>
    <row r="22" spans="1:12" ht="18.75" customHeight="1">
      <c r="A22" s="916"/>
      <c r="B22" s="955"/>
      <c r="C22" s="955"/>
      <c r="D22" s="955"/>
      <c r="E22" s="956"/>
      <c r="F22" s="45"/>
      <c r="G22" s="957"/>
      <c r="H22" s="935"/>
      <c r="I22" s="935"/>
      <c r="J22" s="935"/>
      <c r="K22" s="935"/>
      <c r="L22" s="936"/>
    </row>
    <row r="23" spans="1:12" ht="18.75" customHeight="1">
      <c r="A23" s="916"/>
      <c r="B23" s="955"/>
      <c r="C23" s="955"/>
      <c r="D23" s="955"/>
      <c r="E23" s="956"/>
      <c r="F23" s="45"/>
      <c r="G23" s="957"/>
      <c r="H23" s="935"/>
      <c r="I23" s="935"/>
      <c r="J23" s="935"/>
      <c r="K23" s="935"/>
      <c r="L23" s="936"/>
    </row>
    <row r="24" spans="1:12" ht="18.75" customHeight="1">
      <c r="A24" s="916"/>
      <c r="B24" s="955"/>
      <c r="C24" s="955"/>
      <c r="D24" s="955"/>
      <c r="E24" s="956"/>
      <c r="F24" s="45"/>
      <c r="G24" s="957"/>
      <c r="H24" s="935"/>
      <c r="I24" s="935"/>
      <c r="J24" s="935"/>
      <c r="K24" s="935"/>
      <c r="L24" s="936"/>
    </row>
    <row r="25" spans="1:12" ht="18.75" customHeight="1" thickBot="1">
      <c r="A25" s="917"/>
      <c r="B25" s="958"/>
      <c r="C25" s="958"/>
      <c r="D25" s="958"/>
      <c r="E25" s="959"/>
      <c r="F25" s="45"/>
      <c r="G25" s="977"/>
      <c r="H25" s="941"/>
      <c r="I25" s="941"/>
      <c r="J25" s="941"/>
      <c r="K25" s="941"/>
      <c r="L25" s="942"/>
    </row>
    <row r="27" spans="1:12" ht="18.75">
      <c r="E27" s="978" t="s">
        <v>407</v>
      </c>
      <c r="F27" s="978"/>
      <c r="G27" s="978"/>
      <c r="H27" s="978"/>
      <c r="I27" s="978"/>
    </row>
    <row r="28" spans="1:12" ht="6" customHeight="1">
      <c r="E28" s="71"/>
      <c r="F28" s="71"/>
      <c r="G28" s="71"/>
      <c r="H28" s="71"/>
      <c r="I28" s="71"/>
    </row>
    <row r="29" spans="1:12" s="32" customFormat="1" ht="21" customHeight="1" thickBot="1">
      <c r="B29" s="75" t="s">
        <v>408</v>
      </c>
      <c r="C29" s="75"/>
      <c r="D29" s="75"/>
      <c r="E29" s="75"/>
      <c r="F29" s="75"/>
      <c r="G29" s="75"/>
      <c r="H29" s="75"/>
      <c r="I29" s="75"/>
      <c r="J29" s="75"/>
      <c r="K29" s="75"/>
      <c r="L29" s="75"/>
    </row>
    <row r="30" spans="1:12" ht="6" customHeight="1" thickBot="1">
      <c r="B30" s="73"/>
    </row>
    <row r="31" spans="1:12" ht="38.25" customHeight="1" thickBot="1">
      <c r="B31" s="966" t="s">
        <v>403</v>
      </c>
      <c r="C31" s="967"/>
      <c r="D31" s="967"/>
      <c r="E31" s="968"/>
      <c r="F31" s="76"/>
      <c r="G31" s="976" t="s">
        <v>409</v>
      </c>
      <c r="H31" s="945"/>
      <c r="I31" s="945"/>
      <c r="J31" s="77" t="s">
        <v>410</v>
      </c>
      <c r="K31" s="945" t="s">
        <v>405</v>
      </c>
      <c r="L31" s="946"/>
    </row>
    <row r="32" spans="1:12" ht="16.5" customHeight="1">
      <c r="A32" s="915" t="s">
        <v>411</v>
      </c>
      <c r="B32" s="928"/>
      <c r="C32" s="929"/>
      <c r="D32" s="929"/>
      <c r="E32" s="930"/>
      <c r="F32" s="45"/>
      <c r="G32" s="969"/>
      <c r="H32" s="934"/>
      <c r="I32" s="934"/>
      <c r="J32" s="934"/>
      <c r="K32" s="934"/>
      <c r="L32" s="947"/>
    </row>
    <row r="33" spans="1:12" ht="16.5" customHeight="1">
      <c r="A33" s="916"/>
      <c r="B33" s="931"/>
      <c r="C33" s="932"/>
      <c r="D33" s="932"/>
      <c r="E33" s="933"/>
      <c r="F33" s="45"/>
      <c r="G33" s="924"/>
      <c r="H33" s="925"/>
      <c r="I33" s="925"/>
      <c r="J33" s="925"/>
      <c r="K33" s="925"/>
      <c r="L33" s="943"/>
    </row>
    <row r="34" spans="1:12" ht="16.5" customHeight="1">
      <c r="A34" s="916"/>
      <c r="B34" s="918" t="str">
        <f>IF(Recomandari!I39="","",Recomandari!I39)</f>
        <v/>
      </c>
      <c r="C34" s="919"/>
      <c r="D34" s="919"/>
      <c r="E34" s="920"/>
      <c r="F34" s="45"/>
      <c r="G34" s="924"/>
      <c r="H34" s="925"/>
      <c r="I34" s="925"/>
      <c r="J34" s="925"/>
      <c r="K34" s="925"/>
      <c r="L34" s="943"/>
    </row>
    <row r="35" spans="1:12" ht="16.5" customHeight="1">
      <c r="A35" s="916"/>
      <c r="B35" s="918"/>
      <c r="C35" s="919"/>
      <c r="D35" s="919"/>
      <c r="E35" s="920"/>
      <c r="F35" s="45"/>
      <c r="G35" s="924"/>
      <c r="H35" s="925"/>
      <c r="I35" s="925"/>
      <c r="J35" s="925"/>
      <c r="K35" s="925"/>
      <c r="L35" s="943"/>
    </row>
    <row r="36" spans="1:12" ht="16.5" customHeight="1">
      <c r="A36" s="916"/>
      <c r="B36" s="918" t="str">
        <f>+IF(Recomandari!I49="","",Recomandari!I49)</f>
        <v/>
      </c>
      <c r="C36" s="919"/>
      <c r="D36" s="919"/>
      <c r="E36" s="920"/>
      <c r="F36" s="45"/>
      <c r="G36" s="924"/>
      <c r="H36" s="925"/>
      <c r="I36" s="925"/>
      <c r="J36" s="925"/>
      <c r="K36" s="925"/>
      <c r="L36" s="943"/>
    </row>
    <row r="37" spans="1:12" ht="16.5" customHeight="1">
      <c r="A37" s="916"/>
      <c r="B37" s="918"/>
      <c r="C37" s="919"/>
      <c r="D37" s="919"/>
      <c r="E37" s="920"/>
      <c r="F37" s="45"/>
      <c r="G37" s="924"/>
      <c r="H37" s="925"/>
      <c r="I37" s="925"/>
      <c r="J37" s="925"/>
      <c r="K37" s="925"/>
      <c r="L37" s="943"/>
    </row>
    <row r="38" spans="1:12" ht="16.5" customHeight="1">
      <c r="A38" s="916"/>
      <c r="B38" s="918"/>
      <c r="C38" s="919"/>
      <c r="D38" s="919"/>
      <c r="E38" s="920"/>
      <c r="F38" s="45"/>
      <c r="G38" s="924"/>
      <c r="H38" s="925"/>
      <c r="I38" s="925"/>
      <c r="J38" s="925"/>
      <c r="K38" s="925"/>
      <c r="L38" s="943"/>
    </row>
    <row r="39" spans="1:12" ht="16.5" customHeight="1">
      <c r="A39" s="916"/>
      <c r="B39" s="918"/>
      <c r="C39" s="919"/>
      <c r="D39" s="919"/>
      <c r="E39" s="920"/>
      <c r="F39" s="45"/>
      <c r="G39" s="924"/>
      <c r="H39" s="925"/>
      <c r="I39" s="925"/>
      <c r="J39" s="925"/>
      <c r="K39" s="925"/>
      <c r="L39" s="943"/>
    </row>
    <row r="40" spans="1:12" ht="16.5" customHeight="1">
      <c r="A40" s="916"/>
      <c r="B40" s="918"/>
      <c r="C40" s="919"/>
      <c r="D40" s="919"/>
      <c r="E40" s="920"/>
      <c r="F40" s="45"/>
      <c r="G40" s="924"/>
      <c r="H40" s="925"/>
      <c r="I40" s="925"/>
      <c r="J40" s="925"/>
      <c r="K40" s="925"/>
      <c r="L40" s="943"/>
    </row>
    <row r="41" spans="1:12" ht="16.5" customHeight="1">
      <c r="A41" s="916"/>
      <c r="B41" s="918"/>
      <c r="C41" s="919"/>
      <c r="D41" s="919"/>
      <c r="E41" s="920"/>
      <c r="F41" s="45"/>
      <c r="G41" s="924"/>
      <c r="H41" s="925"/>
      <c r="I41" s="925"/>
      <c r="J41" s="925"/>
      <c r="K41" s="925"/>
      <c r="L41" s="943"/>
    </row>
    <row r="42" spans="1:12" ht="16.5" customHeight="1">
      <c r="A42" s="916"/>
      <c r="B42" s="918"/>
      <c r="C42" s="919"/>
      <c r="D42" s="919"/>
      <c r="E42" s="920"/>
      <c r="F42" s="45"/>
      <c r="G42" s="924"/>
      <c r="H42" s="925"/>
      <c r="I42" s="925"/>
      <c r="J42" s="925"/>
      <c r="K42" s="925"/>
      <c r="L42" s="943"/>
    </row>
    <row r="43" spans="1:12" ht="16.5" customHeight="1" thickBot="1">
      <c r="A43" s="917"/>
      <c r="B43" s="921"/>
      <c r="C43" s="922"/>
      <c r="D43" s="922"/>
      <c r="E43" s="923"/>
      <c r="F43" s="45"/>
      <c r="G43" s="926"/>
      <c r="H43" s="927"/>
      <c r="I43" s="927"/>
      <c r="J43" s="927"/>
      <c r="K43" s="927"/>
      <c r="L43" s="944"/>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Violeta</cp:lastModifiedBy>
  <cp:lastPrinted>2017-05-15T09:37:25Z</cp:lastPrinted>
  <dcterms:created xsi:type="dcterms:W3CDTF">2011-10-24T05:51:11Z</dcterms:created>
  <dcterms:modified xsi:type="dcterms:W3CDTF">2017-05-19T13:49:49Z</dcterms:modified>
</cp:coreProperties>
</file>