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5.xml" ContentType="application/vnd.openxmlformats-officedocument.drawingml.chart+xml"/>
  <Override PartName="/xl/drawings/drawing10.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mc:AlternateContent xmlns:mc="http://schemas.openxmlformats.org/markup-compatibility/2006">
    <mc:Choice Requires="x15">
      <x15ac:absPath xmlns:x15ac="http://schemas.microsoft.com/office/spreadsheetml/2010/11/ac" url="F:\Documents\2. M&amp;E_TB\Progress Reports_TB_Grants\To CCM\Sem1, 2018\"/>
    </mc:Choice>
  </mc:AlternateContent>
  <xr:revisionPtr revIDLastSave="0" documentId="13_ncr:1_{362BA5EA-5F22-4EE1-AB35-E5C9CE87D8F0}" xr6:coauthVersionLast="36" xr6:coauthVersionMax="36" xr10:uidLastSave="{00000000-0000-0000-0000-000000000000}"/>
  <bookViews>
    <workbookView xWindow="0" yWindow="0" windowWidth="17970" windowHeight="7125" tabRatio="765" xr2:uid="{00000000-000D-0000-FFFF-FFFF00000000}"/>
  </bookViews>
  <sheets>
    <sheet name="Meniu" sheetId="1" r:id="rId1"/>
    <sheet name="Lista Indicatorilor" sheetId="45" r:id="rId2"/>
    <sheet name="Introducerea datelor" sheetId="29" r:id="rId3"/>
    <sheet name="Detail despre Grant" sheetId="27" r:id="rId4"/>
    <sheet name="Management" sheetId="35" r:id="rId5"/>
    <sheet name="Financiar" sheetId="30" r:id="rId6"/>
    <sheet name="Programatic" sheetId="37" r:id="rId7"/>
    <sheet name="Recomandari" sheetId="42" r:id="rId8"/>
    <sheet name="Actiuni" sheetId="39" r:id="rId9"/>
    <sheet name="Setup" sheetId="32" state="hidden" r:id="rId10"/>
    <sheet name="Sheet1" sheetId="46" state="hidden" r:id="rId11"/>
  </sheets>
  <definedNames>
    <definedName name="Component">Setup!$B$9:$B$14</definedName>
    <definedName name="Countries">Setup!$L$9:$L$143</definedName>
    <definedName name="Currency">Setup!$C$9:$C$11</definedName>
    <definedName name="Indicatori">'Introducerea datelor'!$G$118:$S$166</definedName>
    <definedName name="LFA">Setup!$J$9:$J$22</definedName>
    <definedName name="Medicaments">Setup!$K$9:$K$30</definedName>
    <definedName name="PERIOD">Setup!$F$9:$F$21</definedName>
    <definedName name="Phase">Setup!$E$9:$E$13</definedName>
    <definedName name="_xlnm.Print_Area" localSheetId="8">Actiuni!$A$1:$L$43</definedName>
    <definedName name="_xlnm.Print_Area" localSheetId="5">Financiar!$A$2:$K$34</definedName>
    <definedName name="_xlnm.Print_Area" localSheetId="2">'Introducerea datelor'!$A$1:$O$175</definedName>
    <definedName name="_xlnm.Print_Area" localSheetId="4">Management!$A$2:$L$34</definedName>
    <definedName name="_xlnm.Print_Area" localSheetId="6">Programatic!$B$1:$R$49</definedName>
    <definedName name="PrintA">Actiuni!$A$2:$L$34</definedName>
    <definedName name="PrintDataF">'Introducerea datelor'!$B$25:$J$67</definedName>
    <definedName name="PrintDataM">'Introducerea datelor'!$B$69:$H$113</definedName>
    <definedName name="PrintF">Financiar!$A$2:$K$31</definedName>
    <definedName name="PrintGD">'Detail despre Grant'!$A$2:$J$13</definedName>
    <definedName name="PrintM" localSheetId="8">Actiuni!$A$2:$L$6</definedName>
    <definedName name="PrintM">Management!$A$2:$L$36</definedName>
    <definedName name="PrintP">Programatic!$B$2:$Q$50</definedName>
    <definedName name="PrintR">Recomandari!$A$2:$N$38</definedName>
    <definedName name="Rating">Setup!$I$9:$I$14</definedName>
    <definedName name="Round">Setup!$D$9:$D$21</definedName>
  </definedNames>
  <calcPr calcId="162913"/>
</workbook>
</file>

<file path=xl/calcChain.xml><?xml version="1.0" encoding="utf-8"?>
<calcChain xmlns="http://schemas.openxmlformats.org/spreadsheetml/2006/main">
  <c r="O31" i="29" l="1"/>
  <c r="E16" i="29"/>
  <c r="C102" i="29" l="1"/>
  <c r="C101" i="29"/>
  <c r="C100" i="29"/>
  <c r="C34" i="29"/>
  <c r="C33" i="29"/>
  <c r="D33" i="29"/>
  <c r="H33" i="29"/>
  <c r="E33" i="29"/>
  <c r="F33" i="29"/>
  <c r="G33" i="29"/>
  <c r="D34" i="29"/>
  <c r="E34" i="29"/>
  <c r="F34" i="29"/>
  <c r="G34" i="29"/>
  <c r="U36" i="37" l="1"/>
  <c r="B36" i="37" l="1"/>
  <c r="B37" i="37"/>
  <c r="B38" i="37"/>
  <c r="B39" i="37"/>
  <c r="B40" i="37"/>
  <c r="B41" i="37"/>
  <c r="B42" i="37"/>
  <c r="B43" i="37"/>
  <c r="B44" i="37"/>
  <c r="B45" i="37"/>
  <c r="B46" i="37"/>
  <c r="B47" i="37"/>
  <c r="B48" i="37"/>
  <c r="B49" i="37"/>
  <c r="B50" i="37"/>
  <c r="B51" i="37"/>
  <c r="B52" i="37"/>
  <c r="B53" i="37"/>
  <c r="B54" i="37"/>
  <c r="B55" i="37"/>
  <c r="B56" i="37"/>
  <c r="B57" i="37"/>
  <c r="B58" i="37"/>
  <c r="B35" i="37"/>
  <c r="C36" i="37"/>
  <c r="C37" i="37"/>
  <c r="C38" i="37"/>
  <c r="C39" i="37"/>
  <c r="C40" i="37"/>
  <c r="C41" i="37"/>
  <c r="C42" i="37"/>
  <c r="C43" i="37"/>
  <c r="C44" i="37"/>
  <c r="C45" i="37"/>
  <c r="C46" i="37"/>
  <c r="C47" i="37"/>
  <c r="C48" i="37"/>
  <c r="C49" i="37"/>
  <c r="C50" i="37"/>
  <c r="C51" i="37"/>
  <c r="C52" i="37"/>
  <c r="C53" i="37"/>
  <c r="C54" i="37"/>
  <c r="C55" i="37"/>
  <c r="C56" i="37"/>
  <c r="C57" i="37"/>
  <c r="C58" i="37"/>
  <c r="C35" i="37"/>
  <c r="C46" i="45"/>
  <c r="D46" i="45"/>
  <c r="E46" i="45"/>
  <c r="F46" i="45"/>
  <c r="F121" i="29" l="1"/>
  <c r="F123" i="29"/>
  <c r="F125" i="29"/>
  <c r="F127" i="29"/>
  <c r="F129" i="29"/>
  <c r="F131" i="29"/>
  <c r="F133" i="29"/>
  <c r="F135" i="29"/>
  <c r="F137" i="29"/>
  <c r="F139" i="29"/>
  <c r="F141" i="29"/>
  <c r="F143" i="29"/>
  <c r="F145" i="29"/>
  <c r="F147" i="29"/>
  <c r="F149" i="29"/>
  <c r="F151" i="29"/>
  <c r="F153" i="29"/>
  <c r="F155" i="29"/>
  <c r="F157" i="29"/>
  <c r="F159" i="29"/>
  <c r="F161" i="29"/>
  <c r="F163" i="29"/>
  <c r="F165" i="29"/>
  <c r="F119" i="29"/>
  <c r="D42" i="45"/>
  <c r="E42" i="45"/>
  <c r="F42" i="45"/>
  <c r="C42" i="45"/>
  <c r="E34" i="45"/>
  <c r="F34" i="45"/>
  <c r="E35" i="45"/>
  <c r="F35" i="45"/>
  <c r="E36" i="45"/>
  <c r="F36" i="45"/>
  <c r="E37" i="45"/>
  <c r="F37" i="45"/>
  <c r="E38" i="45"/>
  <c r="F38" i="45"/>
  <c r="E39" i="45"/>
  <c r="F39" i="45"/>
  <c r="E40" i="45"/>
  <c r="F40" i="45"/>
  <c r="E41" i="45"/>
  <c r="F41" i="45"/>
  <c r="E43" i="45"/>
  <c r="F43" i="45"/>
  <c r="E44" i="45"/>
  <c r="F44" i="45"/>
  <c r="E45" i="45"/>
  <c r="F45" i="45"/>
  <c r="E47" i="45"/>
  <c r="F47" i="45"/>
  <c r="E48" i="45"/>
  <c r="F48" i="45"/>
  <c r="E49" i="45"/>
  <c r="F49" i="45"/>
  <c r="E50" i="45"/>
  <c r="F50" i="45"/>
  <c r="E51" i="45"/>
  <c r="F51" i="45"/>
  <c r="E52" i="45"/>
  <c r="F52" i="45"/>
  <c r="E53" i="45"/>
  <c r="F53" i="45"/>
  <c r="E54" i="45"/>
  <c r="F54" i="45"/>
  <c r="E55" i="45"/>
  <c r="F55" i="45"/>
  <c r="E56" i="45"/>
  <c r="F56" i="45"/>
  <c r="E57" i="45"/>
  <c r="F57" i="45"/>
  <c r="E58" i="45"/>
  <c r="F58" i="45"/>
  <c r="D34" i="45"/>
  <c r="D35" i="45"/>
  <c r="D36" i="45"/>
  <c r="D37" i="45"/>
  <c r="D38" i="45"/>
  <c r="D39" i="45"/>
  <c r="D40" i="45"/>
  <c r="D41" i="45"/>
  <c r="D43" i="45"/>
  <c r="D44" i="45"/>
  <c r="D45" i="45"/>
  <c r="D47" i="45"/>
  <c r="D48" i="45"/>
  <c r="D49" i="45"/>
  <c r="D50" i="45"/>
  <c r="D51" i="45"/>
  <c r="D52" i="45"/>
  <c r="D53" i="45"/>
  <c r="D54" i="45"/>
  <c r="D55" i="45"/>
  <c r="D56" i="45"/>
  <c r="D57" i="45"/>
  <c r="D58" i="45"/>
  <c r="F33" i="45"/>
  <c r="E33" i="45"/>
  <c r="D33" i="45"/>
  <c r="C33" i="45"/>
  <c r="C34" i="45"/>
  <c r="C35" i="45"/>
  <c r="C36" i="45"/>
  <c r="C37" i="45"/>
  <c r="C38" i="45"/>
  <c r="C39" i="45"/>
  <c r="C40" i="45"/>
  <c r="C41" i="45"/>
  <c r="C43" i="45"/>
  <c r="C44" i="45"/>
  <c r="C45" i="45"/>
  <c r="C47" i="45"/>
  <c r="C48" i="45"/>
  <c r="C49" i="45"/>
  <c r="C50" i="45"/>
  <c r="C51" i="45"/>
  <c r="C52" i="45"/>
  <c r="C53" i="45"/>
  <c r="C54" i="45"/>
  <c r="C55" i="45"/>
  <c r="C56" i="45"/>
  <c r="C57" i="45"/>
  <c r="C58" i="45"/>
  <c r="E121" i="29"/>
  <c r="E123" i="29"/>
  <c r="E125" i="29"/>
  <c r="E127" i="29"/>
  <c r="E129" i="29"/>
  <c r="E131" i="29"/>
  <c r="E133" i="29"/>
  <c r="E135" i="29"/>
  <c r="E137" i="29"/>
  <c r="E139" i="29"/>
  <c r="E141" i="29"/>
  <c r="E143" i="29"/>
  <c r="E145" i="29"/>
  <c r="E147" i="29"/>
  <c r="E149" i="29"/>
  <c r="E151" i="29"/>
  <c r="E153" i="29"/>
  <c r="E155" i="29"/>
  <c r="E157" i="29"/>
  <c r="E159" i="29"/>
  <c r="E161" i="29"/>
  <c r="E163" i="29"/>
  <c r="E165" i="29"/>
  <c r="E119" i="29"/>
  <c r="B165" i="29"/>
  <c r="B163" i="29"/>
  <c r="B161" i="29"/>
  <c r="B159" i="29"/>
  <c r="B157" i="29"/>
  <c r="B155" i="29"/>
  <c r="B153" i="29"/>
  <c r="B151" i="29"/>
  <c r="B149" i="29"/>
  <c r="B147" i="29"/>
  <c r="B145" i="29"/>
  <c r="B143" i="29"/>
  <c r="B141" i="29"/>
  <c r="B139" i="29"/>
  <c r="B137" i="29"/>
  <c r="B135" i="29"/>
  <c r="B133" i="29"/>
  <c r="B121" i="29"/>
  <c r="B123" i="29"/>
  <c r="B125" i="29"/>
  <c r="B127" i="29"/>
  <c r="B129" i="29"/>
  <c r="N19" i="37" s="1"/>
  <c r="B131" i="29"/>
  <c r="B119" i="29"/>
  <c r="D19" i="37" l="1"/>
  <c r="H19" i="37"/>
  <c r="G16" i="29" l="1"/>
  <c r="F40" i="29" l="1"/>
  <c r="F41" i="29"/>
  <c r="F42" i="29"/>
  <c r="F43" i="29"/>
  <c r="F44" i="29"/>
  <c r="F45" i="29"/>
  <c r="F46" i="29"/>
  <c r="F47" i="29"/>
  <c r="F48" i="29"/>
  <c r="F39" i="29"/>
  <c r="E42" i="29"/>
  <c r="E43" i="29"/>
  <c r="E44" i="29"/>
  <c r="K27" i="30" l="1"/>
  <c r="J27" i="30"/>
  <c r="E40" i="29" l="1"/>
  <c r="E41" i="29"/>
  <c r="E45" i="29"/>
  <c r="E47" i="29"/>
  <c r="E39" i="29"/>
  <c r="I174" i="29" l="1"/>
  <c r="J174" i="29"/>
  <c r="K174" i="29"/>
  <c r="L174" i="29"/>
  <c r="I175" i="29"/>
  <c r="J175" i="29"/>
  <c r="K175" i="29"/>
  <c r="L175" i="29"/>
  <c r="I171" i="29"/>
  <c r="J171" i="29"/>
  <c r="K171" i="29"/>
  <c r="L171" i="29"/>
  <c r="I172" i="29"/>
  <c r="J172" i="29"/>
  <c r="K172" i="29"/>
  <c r="L172" i="29"/>
  <c r="I173" i="29"/>
  <c r="J173" i="29"/>
  <c r="K173" i="29"/>
  <c r="L173" i="29"/>
  <c r="H171" i="29"/>
  <c r="H172" i="29"/>
  <c r="H173" i="29"/>
  <c r="H174" i="29"/>
  <c r="H175" i="29"/>
  <c r="L170" i="29"/>
  <c r="I170" i="29"/>
  <c r="J170" i="29"/>
  <c r="K170" i="29"/>
  <c r="G13" i="27" l="1"/>
  <c r="B174" i="29" l="1"/>
  <c r="E174" i="29"/>
  <c r="F174" i="29"/>
  <c r="M174" i="29"/>
  <c r="N174" i="29"/>
  <c r="O174" i="29"/>
  <c r="P174" i="29"/>
  <c r="Q174" i="29"/>
  <c r="R174" i="29"/>
  <c r="S174" i="29"/>
  <c r="M175" i="29"/>
  <c r="N175" i="29"/>
  <c r="O175" i="29"/>
  <c r="P175" i="29"/>
  <c r="Q175" i="29"/>
  <c r="R175" i="29"/>
  <c r="S175" i="29"/>
  <c r="C49" i="29" l="1"/>
  <c r="D49" i="29"/>
  <c r="F49" i="29" s="1"/>
  <c r="E49" i="29" l="1"/>
  <c r="E54" i="29"/>
  <c r="E57" i="29"/>
  <c r="E56" i="29"/>
  <c r="N34" i="29"/>
  <c r="M34" i="29"/>
  <c r="L34" i="29"/>
  <c r="K34" i="29"/>
  <c r="J34" i="29"/>
  <c r="I34" i="29"/>
  <c r="H34" i="29"/>
  <c r="N33" i="29"/>
  <c r="M33" i="29"/>
  <c r="L33" i="29"/>
  <c r="K33" i="29"/>
  <c r="J33" i="29"/>
  <c r="I33" i="29"/>
  <c r="E81" i="29" l="1"/>
  <c r="H170" i="29" l="1"/>
  <c r="D30" i="42" l="1"/>
  <c r="D37" i="42" l="1"/>
  <c r="R30" i="29" l="1"/>
  <c r="Q172" i="29"/>
  <c r="R172" i="29"/>
  <c r="Q173" i="29"/>
  <c r="R173" i="29"/>
  <c r="M172" i="29"/>
  <c r="N172" i="29"/>
  <c r="O172" i="29"/>
  <c r="P172" i="29"/>
  <c r="M173" i="29"/>
  <c r="N173" i="29"/>
  <c r="O173" i="29"/>
  <c r="P173" i="29"/>
  <c r="N8" i="37"/>
  <c r="B2" i="39"/>
  <c r="B2" i="42"/>
  <c r="C2" i="37"/>
  <c r="B2" i="35"/>
  <c r="B2" i="30"/>
  <c r="C2" i="45"/>
  <c r="B3" i="27"/>
  <c r="B2" i="1" s="1"/>
  <c r="I9" i="27"/>
  <c r="E53" i="29"/>
  <c r="C38" i="29"/>
  <c r="D38" i="29"/>
  <c r="B32" i="29"/>
  <c r="B31" i="29"/>
  <c r="D29" i="42"/>
  <c r="C22" i="45"/>
  <c r="K5" i="30"/>
  <c r="K4" i="30"/>
  <c r="L5" i="35"/>
  <c r="L4" i="35"/>
  <c r="R5" i="37"/>
  <c r="R4" i="37"/>
  <c r="M5" i="42"/>
  <c r="M4" i="42"/>
  <c r="L5" i="39"/>
  <c r="L4" i="39"/>
  <c r="C4" i="39"/>
  <c r="C3" i="39"/>
  <c r="B3" i="39"/>
  <c r="C4" i="42"/>
  <c r="C3" i="42"/>
  <c r="B3" i="42"/>
  <c r="D4" i="37"/>
  <c r="D3" i="37"/>
  <c r="C3" i="37"/>
  <c r="C4" i="35"/>
  <c r="C3" i="35"/>
  <c r="B3" i="35"/>
  <c r="C4" i="30"/>
  <c r="C3" i="30"/>
  <c r="B3" i="30"/>
  <c r="G9" i="27"/>
  <c r="G11" i="27"/>
  <c r="D11" i="27"/>
  <c r="B12" i="27"/>
  <c r="I11" i="27"/>
  <c r="D10" i="27"/>
  <c r="B10" i="27"/>
  <c r="B9" i="27"/>
  <c r="B6" i="27"/>
  <c r="B4" i="1"/>
  <c r="E92" i="29"/>
  <c r="E91" i="29"/>
  <c r="D11" i="42"/>
  <c r="J3" i="35"/>
  <c r="L3" i="35"/>
  <c r="I3" i="30"/>
  <c r="K3" i="30"/>
  <c r="D33" i="42"/>
  <c r="D34" i="42"/>
  <c r="D35" i="42"/>
  <c r="D36" i="42"/>
  <c r="D38" i="42"/>
  <c r="D32" i="42"/>
  <c r="D31" i="42"/>
  <c r="E111" i="29"/>
  <c r="G111" i="29" s="1"/>
  <c r="I111" i="29" s="1"/>
  <c r="E110" i="29"/>
  <c r="G110" i="29" s="1"/>
  <c r="I110" i="29" s="1"/>
  <c r="E112" i="29"/>
  <c r="G112" i="29" s="1"/>
  <c r="I112" i="29" s="1"/>
  <c r="E113" i="29"/>
  <c r="G113" i="29" s="1"/>
  <c r="I113" i="29" s="1"/>
  <c r="K30" i="35"/>
  <c r="K31" i="35"/>
  <c r="K32" i="35"/>
  <c r="K33" i="35"/>
  <c r="M171" i="29"/>
  <c r="N171" i="29"/>
  <c r="O171" i="29"/>
  <c r="P171" i="29"/>
  <c r="Q171" i="29"/>
  <c r="R171" i="29"/>
  <c r="S171" i="29"/>
  <c r="S172" i="29"/>
  <c r="S173" i="29"/>
  <c r="M170" i="29"/>
  <c r="N170" i="29"/>
  <c r="O170" i="29"/>
  <c r="P170" i="29"/>
  <c r="Q170" i="29"/>
  <c r="R170" i="29"/>
  <c r="S170" i="29"/>
  <c r="F172" i="29"/>
  <c r="F170" i="29"/>
  <c r="E172" i="29"/>
  <c r="E170" i="29"/>
  <c r="B172" i="29"/>
  <c r="B170" i="29"/>
  <c r="N35" i="29"/>
  <c r="H29" i="30"/>
  <c r="H28" i="30"/>
  <c r="H27" i="30"/>
  <c r="D24" i="42"/>
  <c r="D23" i="42"/>
  <c r="D22" i="42"/>
  <c r="D21" i="42"/>
  <c r="D20" i="42"/>
  <c r="D19" i="42"/>
  <c r="D14" i="42"/>
  <c r="D13" i="42"/>
  <c r="D12" i="42"/>
  <c r="C25" i="45"/>
  <c r="C23" i="45"/>
  <c r="C21" i="45"/>
  <c r="C20" i="45"/>
  <c r="C19" i="45"/>
  <c r="C11" i="45"/>
  <c r="C10" i="45"/>
  <c r="C9" i="45"/>
  <c r="C8" i="45"/>
  <c r="C4" i="37"/>
  <c r="B4" i="35"/>
  <c r="B4" i="30"/>
  <c r="G75" i="29"/>
  <c r="F20" i="42" s="1"/>
  <c r="G12" i="27"/>
  <c r="H4" i="1"/>
  <c r="G74" i="29"/>
  <c r="K28" i="30"/>
  <c r="J28" i="30"/>
  <c r="K29" i="30"/>
  <c r="J29" i="30"/>
  <c r="B4" i="39"/>
  <c r="D5" i="39"/>
  <c r="E4" i="39"/>
  <c r="K5" i="39"/>
  <c r="J4" i="39"/>
  <c r="L3" i="39"/>
  <c r="J3" i="39"/>
  <c r="L5" i="42"/>
  <c r="L4" i="42"/>
  <c r="E5" i="42"/>
  <c r="E4" i="42"/>
  <c r="B4" i="42"/>
  <c r="M3" i="42"/>
  <c r="L3" i="42"/>
  <c r="F4" i="37"/>
  <c r="R3" i="37"/>
  <c r="H30" i="35"/>
  <c r="I33" i="35"/>
  <c r="I32" i="35"/>
  <c r="I31" i="35"/>
  <c r="I30" i="35"/>
  <c r="B26" i="35"/>
  <c r="B13" i="27"/>
  <c r="B11" i="27"/>
  <c r="G10" i="27"/>
  <c r="D9" i="27"/>
  <c r="F6" i="27"/>
  <c r="D5" i="35"/>
  <c r="E4" i="35"/>
  <c r="K5" i="35"/>
  <c r="J4" i="35"/>
  <c r="E5" i="37"/>
  <c r="Q5" i="37"/>
  <c r="Q4" i="37"/>
  <c r="O3" i="37"/>
  <c r="J5" i="30"/>
  <c r="D5" i="30"/>
  <c r="I4" i="30"/>
  <c r="E4" i="30"/>
  <c r="H8" i="37"/>
  <c r="D8" i="37"/>
  <c r="S169" i="29"/>
  <c r="R169" i="29"/>
  <c r="Q169" i="29"/>
  <c r="P169" i="29"/>
  <c r="O169" i="29"/>
  <c r="N169" i="29"/>
  <c r="M169" i="29"/>
  <c r="L169" i="29"/>
  <c r="K169" i="29"/>
  <c r="J169" i="29"/>
  <c r="I169" i="29"/>
  <c r="H169" i="29"/>
  <c r="B36" i="39"/>
  <c r="B34" i="39"/>
  <c r="B34" i="35"/>
  <c r="AA47" i="37"/>
  <c r="AB47" i="37" s="1"/>
  <c r="AA46" i="37"/>
  <c r="AB46" i="37" s="1"/>
  <c r="AA37" i="37"/>
  <c r="AB37" i="37" s="1"/>
  <c r="AG36" i="37"/>
  <c r="AF36" i="37"/>
  <c r="AE36" i="37"/>
  <c r="AD36" i="37"/>
  <c r="AC36" i="37"/>
  <c r="V36" i="37"/>
  <c r="W36" i="37"/>
  <c r="X36" i="37"/>
  <c r="Y36" i="37"/>
  <c r="U37" i="37"/>
  <c r="V37" i="37"/>
  <c r="W37" i="37"/>
  <c r="X37" i="37"/>
  <c r="Y37" i="37"/>
  <c r="U46" i="37"/>
  <c r="V46" i="37"/>
  <c r="W46" i="37"/>
  <c r="X46" i="37"/>
  <c r="Y46" i="37"/>
  <c r="U47" i="37"/>
  <c r="V47" i="37"/>
  <c r="W47" i="37"/>
  <c r="X47" i="37"/>
  <c r="Y47" i="37"/>
  <c r="U49" i="37"/>
  <c r="V49" i="37"/>
  <c r="W49" i="37"/>
  <c r="X49" i="37"/>
  <c r="Y49" i="37"/>
  <c r="U51" i="37"/>
  <c r="U50" i="37"/>
  <c r="V50" i="37"/>
  <c r="W50" i="37"/>
  <c r="X50" i="37"/>
  <c r="Y50" i="37"/>
  <c r="V51" i="37"/>
  <c r="X51" i="37"/>
  <c r="U52" i="37"/>
  <c r="V52" i="37"/>
  <c r="W52" i="37"/>
  <c r="X52" i="37"/>
  <c r="Y52" i="37"/>
  <c r="U53" i="37"/>
  <c r="V53" i="37"/>
  <c r="W53" i="37"/>
  <c r="X53" i="37"/>
  <c r="Y53" i="37"/>
  <c r="Y51" i="37"/>
  <c r="W51" i="37"/>
  <c r="C35" i="29"/>
  <c r="R29" i="29"/>
  <c r="E35" i="29"/>
  <c r="R33" i="29"/>
  <c r="H35" i="29"/>
  <c r="R35" i="29"/>
  <c r="J35" i="29"/>
  <c r="R52" i="29"/>
  <c r="L35" i="29"/>
  <c r="M35" i="29"/>
  <c r="F35" i="37" l="1"/>
  <c r="G58" i="37"/>
  <c r="G54" i="37"/>
  <c r="G50" i="37"/>
  <c r="G46" i="37"/>
  <c r="G42" i="37"/>
  <c r="G38" i="37"/>
  <c r="F40" i="37"/>
  <c r="F44" i="37"/>
  <c r="F48" i="37"/>
  <c r="F52" i="37"/>
  <c r="F56" i="37"/>
  <c r="F36" i="37"/>
  <c r="G57" i="37"/>
  <c r="G53" i="37"/>
  <c r="G49" i="37"/>
  <c r="H49" i="37" s="1"/>
  <c r="G45" i="37"/>
  <c r="G41" i="37"/>
  <c r="G37" i="37"/>
  <c r="F41" i="37"/>
  <c r="F45" i="37"/>
  <c r="H45" i="37" s="1"/>
  <c r="F49" i="37"/>
  <c r="F53" i="37"/>
  <c r="F57" i="37"/>
  <c r="F37" i="37"/>
  <c r="G56" i="37"/>
  <c r="G52" i="37"/>
  <c r="H52" i="37" s="1"/>
  <c r="G48" i="37"/>
  <c r="G44" i="37"/>
  <c r="G40" i="37"/>
  <c r="G36" i="37"/>
  <c r="F42" i="37"/>
  <c r="F46" i="37"/>
  <c r="F50" i="37"/>
  <c r="F54" i="37"/>
  <c r="F58" i="37"/>
  <c r="F38" i="37"/>
  <c r="G55" i="37"/>
  <c r="G47" i="37"/>
  <c r="G43" i="37"/>
  <c r="G39" i="37"/>
  <c r="F43" i="37"/>
  <c r="F47" i="37"/>
  <c r="F55" i="37"/>
  <c r="G51" i="37"/>
  <c r="G35" i="37"/>
  <c r="H35" i="37" s="1"/>
  <c r="F51" i="37"/>
  <c r="F39" i="37"/>
  <c r="H39" i="37" s="1"/>
  <c r="H15" i="35"/>
  <c r="H22" i="30"/>
  <c r="B3" i="32"/>
  <c r="AE46" i="37"/>
  <c r="AC46" i="37"/>
  <c r="AG46" i="37"/>
  <c r="AF46" i="37"/>
  <c r="AE37" i="37"/>
  <c r="AD37" i="37"/>
  <c r="AC37" i="37"/>
  <c r="AG37" i="37"/>
  <c r="AF37" i="37"/>
  <c r="AD46" i="37"/>
  <c r="E20" i="42"/>
  <c r="K113" i="29"/>
  <c r="L33" i="35" s="1"/>
  <c r="J33" i="35"/>
  <c r="H7" i="35"/>
  <c r="D35" i="29"/>
  <c r="R32" i="29"/>
  <c r="B22" i="30"/>
  <c r="AC47" i="37"/>
  <c r="AG47" i="37"/>
  <c r="AD47" i="37"/>
  <c r="AE47" i="37"/>
  <c r="AF47" i="37"/>
  <c r="J30" i="35"/>
  <c r="K110" i="29"/>
  <c r="L30" i="35" s="1"/>
  <c r="K111" i="29"/>
  <c r="L31" i="35" s="1"/>
  <c r="J31" i="35"/>
  <c r="J32" i="35"/>
  <c r="K112" i="29"/>
  <c r="L32" i="35" s="1"/>
  <c r="H8" i="30"/>
  <c r="H26" i="35"/>
  <c r="B8" i="30"/>
  <c r="B7" i="35"/>
  <c r="B15" i="35"/>
  <c r="K35" i="29"/>
  <c r="I35" i="29"/>
  <c r="G35" i="29"/>
  <c r="R31" i="29"/>
  <c r="R34" i="29"/>
  <c r="F35" i="29"/>
  <c r="R51" i="29"/>
  <c r="Q53" i="29"/>
  <c r="E55" i="29"/>
  <c r="H38" i="37" l="1"/>
  <c r="H51" i="37"/>
  <c r="H48" i="37"/>
  <c r="H41" i="37"/>
  <c r="H40" i="37"/>
  <c r="H50" i="37"/>
  <c r="H47" i="37"/>
  <c r="H37" i="37"/>
  <c r="H53" i="37"/>
  <c r="H54" i="37"/>
  <c r="H43" i="37"/>
  <c r="H55" i="37"/>
  <c r="H56" i="37"/>
  <c r="H57" i="37"/>
  <c r="H42" i="37"/>
  <c r="H58" i="37"/>
  <c r="H36" i="37"/>
  <c r="H44" i="37"/>
  <c r="H46"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mgleixner</author>
    <author>molszak</author>
  </authors>
  <commentList>
    <comment ref="B30" authorId="0" shapeId="0" xr:uid="{00000000-0006-0000-0200-000001000000}">
      <text>
        <r>
          <rPr>
            <sz val="8"/>
            <color indexed="81"/>
            <rFont val="Tahoma"/>
            <family val="2"/>
            <charset val="204"/>
          </rPr>
          <t>To define your periods (eg. P1, P2, P3 etc or P9, P10, P11 etc) you need to unprotect the cells.</t>
        </r>
      </text>
    </comment>
    <comment ref="B74" authorId="1" shapeId="0" xr:uid="{00000000-0006-0000-0200-000002000000}">
      <text>
        <r>
          <rPr>
            <b/>
            <sz val="8"/>
            <color indexed="81"/>
            <rFont val="Tahoma"/>
            <family val="2"/>
            <charset val="204"/>
          </rPr>
          <t xml:space="preserve">If data are not available, do not enter zeros; rather, leave the cells in the table blank. </t>
        </r>
      </text>
    </comment>
    <comment ref="B75" authorId="1" shapeId="0" xr:uid="{00000000-0006-0000-0200-000003000000}">
      <text>
        <r>
          <rPr>
            <b/>
            <sz val="8"/>
            <color indexed="81"/>
            <rFont val="Tahoma"/>
            <family val="2"/>
            <charset val="204"/>
          </rPr>
          <t>If data are not available, do not enter zeros; rather, leave the cells in this table blank.</t>
        </r>
      </text>
    </comment>
    <comment ref="B81" authorId="0" shapeId="0" xr:uid="{00000000-0006-0000-0200-000004000000}">
      <text>
        <r>
          <rPr>
            <sz val="8"/>
            <color indexed="81"/>
            <rFont val="Tahoma"/>
            <family val="2"/>
            <charset val="204"/>
          </rPr>
          <t xml:space="preserve">If data are not available, do not enter zeros; rather, leave the cells in this table blank. </t>
        </r>
      </text>
    </comment>
    <comment ref="B96" authorId="0" shapeId="0" xr:uid="{00000000-0006-0000-0200-00000500000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<sst xmlns="http://schemas.openxmlformats.org/spreadsheetml/2006/main" count="837" uniqueCount="537">
  <si>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</si>
  <si>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Comments:</t>
  </si>
  <si>
    <t>€</t>
  </si>
  <si>
    <t>Round 9</t>
  </si>
  <si>
    <t>Phase 2</t>
  </si>
  <si>
    <t>Round 1</t>
  </si>
  <si>
    <t>Phase 1</t>
  </si>
  <si>
    <t>$</t>
  </si>
  <si>
    <t>Round 2</t>
  </si>
  <si>
    <t>Round 3</t>
  </si>
  <si>
    <t>RCC</t>
  </si>
  <si>
    <t>Round 4</t>
  </si>
  <si>
    <t>HIV / AIDS</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</si>
  <si>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</si>
  <si>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</si>
  <si>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</si>
  <si>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</si>
  <si>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</si>
  <si>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</si>
  <si>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</si>
  <si>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</si>
  <si>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</si>
  <si>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</si>
  <si>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</si>
  <si>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</si>
  <si>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</si>
  <si>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</si>
  <si>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</si>
  <si>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</si>
  <si>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</si>
  <si>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</si>
  <si>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</si>
  <si>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</si>
  <si>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</si>
  <si>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</si>
  <si>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</si>
  <si>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</si>
  <si>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</si>
  <si>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</si>
  <si>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</si>
  <si>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NVP</t>
  </si>
  <si>
    <t>3TC</t>
  </si>
  <si>
    <t>D4T</t>
  </si>
  <si>
    <t>AZT</t>
  </si>
  <si>
    <t>DDI</t>
  </si>
  <si>
    <t>EFV</t>
  </si>
  <si>
    <t>AS/MQ</t>
  </si>
  <si>
    <t>AS/LF</t>
  </si>
  <si>
    <t>AS/AQ</t>
  </si>
  <si>
    <t>Peru</t>
  </si>
  <si>
    <t>HIVAIDS / TB</t>
  </si>
  <si>
    <t>HSS</t>
  </si>
  <si>
    <t>Medicaments</t>
  </si>
  <si>
    <t>min</t>
  </si>
  <si>
    <t>max</t>
  </si>
  <si>
    <t>Management</t>
  </si>
  <si>
    <t>F1</t>
  </si>
  <si>
    <t>F2</t>
  </si>
  <si>
    <t>F3</t>
  </si>
  <si>
    <t>F4</t>
  </si>
  <si>
    <t>P1</t>
  </si>
  <si>
    <t>P2</t>
  </si>
  <si>
    <t>P3</t>
  </si>
  <si>
    <t>P4</t>
  </si>
  <si>
    <t>M1</t>
  </si>
  <si>
    <t>M2</t>
  </si>
  <si>
    <t>M3</t>
  </si>
  <si>
    <t>M4</t>
  </si>
  <si>
    <t>M5</t>
  </si>
  <si>
    <t>M6</t>
  </si>
  <si>
    <t>P5</t>
  </si>
  <si>
    <t>P6</t>
  </si>
  <si>
    <t>P7</t>
  </si>
  <si>
    <t>P8</t>
  </si>
  <si>
    <t>P9</t>
  </si>
  <si>
    <t>P10</t>
  </si>
  <si>
    <t>P11</t>
  </si>
  <si>
    <t>SRs</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</si>
  <si>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</si>
  <si>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</si>
  <si>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</si>
  <si>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</si>
  <si>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</si>
  <si>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</si>
  <si>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</si>
  <si>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</si>
  <si>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</si>
  <si>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</si>
  <si>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</si>
  <si>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</si>
  <si>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</si>
  <si>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</si>
  <si>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</si>
  <si>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</si>
  <si>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</si>
  <si>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</si>
  <si>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</si>
  <si>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</si>
  <si>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</si>
  <si>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</si>
  <si>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</si>
  <si>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</si>
  <si>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</si>
  <si>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</si>
  <si>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</si>
  <si>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</si>
  <si>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</si>
  <si>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</si>
  <si>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</si>
  <si>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</si>
  <si>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</si>
  <si>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</si>
  <si>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</si>
  <si>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</si>
  <si>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</si>
  <si>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</si>
  <si>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</si>
  <si>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</si>
  <si>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</si>
  <si>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</si>
  <si>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</si>
  <si>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</si>
  <si>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</si>
  <si>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</si>
  <si>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</si>
  <si>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</si>
  <si>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</si>
  <si>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</si>
  <si>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</si>
  <si>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</si>
  <si>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</si>
  <si>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</si>
  <si>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</si>
  <si>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</si>
  <si>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</si>
  <si>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</si>
  <si>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</si>
  <si>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</si>
  <si>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</si>
  <si>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</si>
  <si>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</si>
  <si>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</si>
  <si>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</si>
  <si>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</si>
  <si>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</si>
  <si>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</si>
  <si>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</si>
  <si>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</si>
  <si>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</si>
  <si>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</si>
  <si>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</si>
  <si>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</si>
  <si>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</si>
  <si>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</si>
  <si>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</si>
  <si>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</si>
  <si>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</si>
  <si>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</si>
  <si>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</si>
  <si>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</si>
  <si>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</si>
  <si>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</si>
  <si>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</si>
  <si>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</si>
  <si>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</si>
  <si>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</si>
  <si>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</si>
  <si>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</si>
  <si>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</si>
  <si>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</si>
  <si>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</si>
  <si>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</si>
  <si>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</si>
  <si>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</si>
  <si>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</si>
  <si>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</si>
  <si>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</si>
  <si>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</si>
  <si>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</si>
  <si>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</si>
  <si>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</si>
  <si>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</si>
  <si>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</si>
  <si>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</si>
  <si>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</si>
  <si>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</si>
  <si>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</si>
  <si>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</si>
  <si>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</si>
  <si>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</si>
  <si>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</si>
  <si>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</si>
  <si>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</si>
  <si>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</si>
  <si>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</si>
  <si>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</si>
  <si>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</si>
  <si>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</si>
  <si>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</si>
  <si>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</si>
  <si>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</si>
  <si>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</si>
  <si>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</si>
  <si>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</si>
  <si>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</si>
  <si>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</si>
  <si>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</si>
  <si>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</si>
  <si>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</si>
  <si>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</si>
  <si>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</si>
  <si>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</si>
  <si>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</si>
  <si>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</si>
  <si>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</si>
  <si>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</si>
  <si>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</si>
  <si>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</si>
  <si>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</si>
  <si>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</si>
  <si>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</si>
  <si>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</si>
  <si>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</si>
  <si>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</si>
  <si>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</si>
  <si>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</si>
  <si>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</si>
  <si>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</si>
  <si>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</si>
  <si>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</si>
  <si>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</si>
  <si>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Fund Portfolio Manager:</t>
  </si>
  <si>
    <t>LFA</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</si>
  <si>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</si>
  <si>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</si>
  <si>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</si>
  <si>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</si>
  <si>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</si>
  <si>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</si>
  <si>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E-PAP</t>
  </si>
  <si>
    <t>Al/Lum</t>
  </si>
  <si>
    <t>TB nutri'l supplements</t>
  </si>
  <si>
    <t>P1 - trend</t>
  </si>
  <si>
    <t>P2 - trend</t>
  </si>
  <si>
    <t>P3 - trend</t>
  </si>
  <si>
    <t>Set-up = List of validation for Grant Detail page</t>
  </si>
  <si>
    <t>Grant No.</t>
  </si>
  <si>
    <t>0% - 59%</t>
  </si>
  <si>
    <t>60% - 89%</t>
  </si>
  <si>
    <t>&gt; 90%</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</si>
  <si>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</si>
  <si>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</si>
  <si>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</si>
  <si>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</si>
  <si>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</si>
  <si>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</si>
  <si>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</si>
  <si>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</si>
  <si>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</si>
  <si>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</si>
  <si>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</si>
  <si>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</si>
  <si>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</si>
  <si>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</si>
  <si>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</si>
  <si>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</si>
  <si>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</si>
  <si>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</si>
  <si>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Please Select</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</si>
  <si>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</si>
  <si>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</si>
  <si>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</si>
  <si>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</si>
  <si>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</si>
  <si>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</si>
  <si>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</si>
  <si>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</si>
  <si>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 xml:space="preserve">P3 </t>
  </si>
  <si>
    <t>Informație despre Grant</t>
  </si>
  <si>
    <t>Țara:</t>
  </si>
  <si>
    <t>No. Grantului :</t>
  </si>
  <si>
    <t>Recipientul Principal:</t>
  </si>
  <si>
    <t>Ultimul Rating:</t>
  </si>
  <si>
    <t>Numele Grantului:</t>
  </si>
  <si>
    <t>Componenta:</t>
  </si>
  <si>
    <t>Suma totală:</t>
  </si>
  <si>
    <t>Runda:</t>
  </si>
  <si>
    <t>Faza:</t>
  </si>
  <si>
    <t>Agentul Local:</t>
  </si>
  <si>
    <t>Informația despre perioada raportată</t>
  </si>
  <si>
    <t>Perioada de Raportare:</t>
  </si>
  <si>
    <t>De la:</t>
  </si>
  <si>
    <t>Pînă la:</t>
  </si>
  <si>
    <t>Informația despre indicatori</t>
  </si>
  <si>
    <t xml:space="preserve">Informația Financiară: </t>
  </si>
  <si>
    <t xml:space="preserve">Informația pe Management: </t>
  </si>
  <si>
    <t xml:space="preserve">Informația Programatică: </t>
  </si>
  <si>
    <t>Valuta Grantului</t>
  </si>
  <si>
    <t>F1: Bugetul și debursările de către Fondul Global</t>
  </si>
  <si>
    <t>Perioada Raportată</t>
  </si>
  <si>
    <t>Buget Cumulativ</t>
  </si>
  <si>
    <t>Debursări cumulative</t>
  </si>
  <si>
    <t>Debursări</t>
  </si>
  <si>
    <t>F2: Bugetul și cheltuielile actuale după Obiectivele Grantului</t>
  </si>
  <si>
    <t>Obiectivele Grantului</t>
  </si>
  <si>
    <t>% Cumulativ</t>
  </si>
  <si>
    <t>F3: Debursări și cheltuieli</t>
  </si>
  <si>
    <t>Debursat de către Fondul Global</t>
  </si>
  <si>
    <t xml:space="preserve">Cheltuielile și debursările RP </t>
  </si>
  <si>
    <t>Debursări către SR</t>
  </si>
  <si>
    <t>Cheltuielile SR</t>
  </si>
  <si>
    <t>Către perioada de raportare</t>
  </si>
  <si>
    <t>Perioada de raportare curentă</t>
  </si>
  <si>
    <t>Ultima debursare a surselor: Număr de zile calendaristice</t>
  </si>
  <si>
    <t>Preconizat (zile)</t>
  </si>
  <si>
    <t>Actual (zile)</t>
  </si>
  <si>
    <t>Zile necesare pentru remiterea PU/DR final către ALF</t>
  </si>
  <si>
    <t>Zile necesare pentru debursare către RP</t>
  </si>
  <si>
    <t>Zile necesare pentru debursare către SR</t>
  </si>
  <si>
    <t xml:space="preserve">  </t>
  </si>
  <si>
    <t>Informația pe Management:</t>
  </si>
  <si>
    <t xml:space="preserve">M1: Statutul Condițiilor Precedente și a Acțiunilor Prestabilite în Timp </t>
  </si>
  <si>
    <t>Condiții Precedente (CP)</t>
  </si>
  <si>
    <t>Acțiuni Prestabilite în Timp (TBA)</t>
  </si>
  <si>
    <t>Finisate</t>
  </si>
  <si>
    <t>Ne finisate, dar realizarea  în conformitate cu planul</t>
  </si>
  <si>
    <t>Ne finisate, și au depășit planul de realizare</t>
  </si>
  <si>
    <t xml:space="preserve">M2: Statutul pozițiilor cheie a RP </t>
  </si>
  <si>
    <t>Planificate</t>
  </si>
  <si>
    <t>Completate</t>
  </si>
  <si>
    <t>Vacante</t>
  </si>
  <si>
    <t xml:space="preserve">M3: Aranjamente contractuale (SR) </t>
  </si>
  <si>
    <t>Identificați</t>
  </si>
  <si>
    <t>Evaluați</t>
  </si>
  <si>
    <t>Aprobați</t>
  </si>
  <si>
    <t>Contracte semnate</t>
  </si>
  <si>
    <t>Au recepționat surse</t>
  </si>
  <si>
    <t>M4: Numărul rapoartelor complete recepționate la timp</t>
  </si>
  <si>
    <t>SSR către SR</t>
  </si>
  <si>
    <t>SR către RP</t>
  </si>
  <si>
    <t>#  Planificat</t>
  </si>
  <si>
    <t># Recepționat</t>
  </si>
  <si>
    <t>În așteptare</t>
  </si>
  <si>
    <t xml:space="preserve">M5: Bugetul și Procurarea produselor medicale, echipamentului medical, medicamentelor și produselor farmaceutice </t>
  </si>
  <si>
    <t>Buget Aprobat*</t>
  </si>
  <si>
    <t>Obligațiuni</t>
  </si>
  <si>
    <t>Cheltuieli</t>
  </si>
  <si>
    <t>Buget Aprobat cumulativ*</t>
  </si>
  <si>
    <t>Obligațiuni cumulative</t>
  </si>
  <si>
    <t>Cheltuieli cumulative</t>
  </si>
  <si>
    <t>M6: Diferență între stocul curent și stocul de siguranță</t>
  </si>
  <si>
    <t>Componenta</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</si>
  <si>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</si>
  <si>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</si>
  <si>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</si>
  <si>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</si>
  <si>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</si>
  <si>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</si>
  <si>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 xml:space="preserve">(7)
Nivelul stocului de siguranță
(exprimat în luni și prestabilit de țară) </t>
  </si>
  <si>
    <t xml:space="preserve">(8 = 6 - 7)
Diferența între stocul curent și stocul de siguranță </t>
  </si>
  <si>
    <t>Informația Programatică:</t>
  </si>
  <si>
    <t>Ținta</t>
  </si>
  <si>
    <t>Rezultat</t>
  </si>
  <si>
    <t>Indicatori de Program  (Performance Framework )</t>
  </si>
  <si>
    <t>Codul</t>
  </si>
  <si>
    <t>Direct rezulta din activitatea FG?</t>
  </si>
  <si>
    <t>Data Demarării (zz/ll/aa):</t>
  </si>
  <si>
    <t>Data Demarării:</t>
  </si>
  <si>
    <t>Recipientul Principal :</t>
  </si>
  <si>
    <t>Pregătit de către:</t>
  </si>
  <si>
    <t>Data de pregătire a raportului:</t>
  </si>
  <si>
    <t xml:space="preserve">F4: Ultima perioadă de raportare și debursare a RP </t>
  </si>
  <si>
    <t xml:space="preserve"> </t>
  </si>
  <si>
    <t>Indicatorii financiari</t>
  </si>
  <si>
    <t>Comentarii:</t>
  </si>
  <si>
    <t>Indicatorii de Management</t>
  </si>
  <si>
    <t>Produsele</t>
  </si>
  <si>
    <t>(6 = 5 / 4)
Stocul exprimat în luni de treatament pentru toți pacienții curenți</t>
  </si>
  <si>
    <t>Stocul exprimat în luni de treatament pentru toți pacienții curenți</t>
  </si>
  <si>
    <t>Luni pentru stocul de siguranță</t>
  </si>
  <si>
    <t xml:space="preserve">Diferența între stocul curent și stocul de siguranță </t>
  </si>
  <si>
    <t>Comentarii: P1</t>
  </si>
  <si>
    <t>Comentarii: P2</t>
  </si>
  <si>
    <t>Comentarii: P3</t>
  </si>
  <si>
    <t>Indicatorii</t>
  </si>
  <si>
    <t>Comentarii</t>
  </si>
  <si>
    <t>Indicatorii de Program</t>
  </si>
  <si>
    <t>Recomandări</t>
  </si>
  <si>
    <t>Financiar</t>
  </si>
  <si>
    <t>Sumarul comentariilor</t>
  </si>
  <si>
    <t>Programatic</t>
  </si>
  <si>
    <t>Au fost atinse țintele?</t>
  </si>
  <si>
    <t>Sunt procurarile conforme planului?</t>
  </si>
  <si>
    <t xml:space="preserve">Sursele financiare au atins nivelele de implementare și au fost utilizate în conformitate cu bugetul? </t>
  </si>
  <si>
    <t>Decizii și Acțiuni</t>
  </si>
  <si>
    <t>Care este nivelul general de implementarea a grantului?</t>
  </si>
  <si>
    <t>Decizia CNC</t>
  </si>
  <si>
    <t>Data limită</t>
  </si>
  <si>
    <t>Persoana responsabilă</t>
  </si>
  <si>
    <t>Perioada de Raportare Curentă</t>
  </si>
  <si>
    <t>Acțiuni implementate / Perioada Precedentă</t>
  </si>
  <si>
    <t>Care este nivelul general de implementare?</t>
  </si>
  <si>
    <t>Acțiuni realizate</t>
  </si>
  <si>
    <t xml:space="preserve">Data </t>
  </si>
  <si>
    <t>Perioada de Raportare Precedentă</t>
  </si>
  <si>
    <t>metode de măsurare</t>
  </si>
  <si>
    <t>Sursa de date</t>
  </si>
  <si>
    <t xml:space="preserve">Colectat anual </t>
  </si>
  <si>
    <t>Data de introducere a informației:</t>
  </si>
  <si>
    <t xml:space="preserve">Introduceți datele financiare în celulele colorate în oranj </t>
  </si>
  <si>
    <t xml:space="preserve">Introduceți datele bazîndu-vă de celulele codificate prin culoare </t>
  </si>
  <si>
    <t>Tabelul este în mod automat reînnoit. Nu necesită introducerea datelor și/sau informației.</t>
  </si>
  <si>
    <t>Utilizarea dobînzii</t>
  </si>
  <si>
    <t xml:space="preserve">Ultima debursare: Zile calendaristice </t>
  </si>
  <si>
    <t>Indicatori de Program (din Performance Framework)</t>
  </si>
  <si>
    <t xml:space="preserve">    Introduceți datele de performanță în celulele în galben.</t>
  </si>
  <si>
    <t xml:space="preserve">Colectat trimestrial și anual </t>
  </si>
  <si>
    <t>Recomandările cheie a Comisiei de Supraveghere</t>
  </si>
  <si>
    <t>IP UCIMP DS</t>
  </si>
  <si>
    <t>Tsovinar Sakanyan</t>
  </si>
  <si>
    <t xml:space="preserve">                               Introduceți datele pentru management în celulele albastre</t>
  </si>
  <si>
    <t>Consolidarea managementului, coordonării, monitorizării și evaluării Programului Național de control al tuberculozei</t>
  </si>
  <si>
    <t>Fortificarea managementului Programului</t>
  </si>
  <si>
    <t xml:space="preserve">Sistemul R&amp;R TB; Rapoarte trimestriale; SYME TB; Modul DOTS Plus </t>
  </si>
  <si>
    <t>Sistemul R&amp;R TB; Rapoarte trimestriale/ anuale; Rapoarte NTP; SYME TB; Modul DOTS Plus</t>
  </si>
  <si>
    <t xml:space="preserve">Sistemul R&amp;R TB; Rapoarte anuale; Supraveghere de rutină a DR (Drog Rezistenței); SYME TB
</t>
  </si>
  <si>
    <t>Period 1</t>
  </si>
  <si>
    <t>* Include numai AFR categoriile 4,5 și 6  (Produse medicale și Echipamente medicale &amp; Medicamente și Produse farmaceutice)</t>
  </si>
  <si>
    <t>Angajamente</t>
  </si>
  <si>
    <t>Variația</t>
  </si>
  <si>
    <t>%</t>
  </si>
  <si>
    <t>MDA-C-PCIMU</t>
  </si>
  <si>
    <t>Consolidarea controlului tuberculozei și reducerea SIDA și a mortalității aferente în Republica Moldova</t>
  </si>
  <si>
    <t>Start date</t>
  </si>
  <si>
    <t>End data</t>
  </si>
  <si>
    <t>N/A</t>
  </si>
  <si>
    <t>Asigurarea accesului universal la diagnosticul la timp şi de calitate al tuturor formelor de tuberculoză, inclusiv celor cu TB-M/EDR</t>
  </si>
  <si>
    <t>Asigurarea accesului universal la tratamentul calitativ pentru toate formele de TB, inclusiv cu TB-M/EDR</t>
  </si>
  <si>
    <t>Sporirea accesului la servicii de prevenire a infecției HIV, pe bază de dovezi</t>
  </si>
  <si>
    <t>Asigurarea accesului universal la servicii de tratament, îngrijire și suport comprehensiv al infecției HIV</t>
  </si>
  <si>
    <t xml:space="preserve">Consolidarea capacităţii comunităților si asigurarea durabilităţii programului </t>
  </si>
  <si>
    <t>HIV I-4: Mortalitatea asociată cu SIDA la 100,000 populaţie</t>
  </si>
  <si>
    <t>Studiu Bio-comportamental (BSS)</t>
  </si>
  <si>
    <t xml:space="preserve">Numărător: Numărul de respondenți care au rezultat HIV pozitiv.                                                                                                             
Numitor: Numărul de respondenți testați pentru HIV.                                                                                       </t>
  </si>
  <si>
    <t xml:space="preserve">Numărător: Numărul de respondenți care au rezultat HIV pozitiv.
Numitor: Numărul de respondenți testați pentru HIV.    </t>
  </si>
  <si>
    <t>Indicator de impact</t>
  </si>
  <si>
    <t>HIV O-4a (M): Procentul BSB care raportează utilizarea prezervativului în timpul ultimului act de sex anal cu partenerul de gen masculin</t>
  </si>
  <si>
    <t>HIV O-5 (M): Procentul LSC care raportează utilizarea prezervativului cu ultimul lor client</t>
  </si>
  <si>
    <t>HIV O-6 (M): Procentul consumatorilor de droguri injectabile care raportează utilizarea setului pentru injectare steril la ultima injectare</t>
  </si>
  <si>
    <t xml:space="preserve">Numărător: Numărul de respondenți care au raportat utilizarea prezervativului cu ultimul lor client.
Numitor: Numărul de respondenți care au raportat practicarea sexului comercial în ultimele 12 luni.                                                             </t>
  </si>
  <si>
    <t xml:space="preserve">Numărător: Numărul de respondenți care au raportat utilizarea setului pentru injectare steril, la ultima consumare de droguri injectabile.
Numitor: Numărul de respondenți care au raportat consumarea de droguri injectabile în ultima lună.                                                                                    </t>
  </si>
  <si>
    <t>Indicator de rezultat</t>
  </si>
  <si>
    <t xml:space="preserve">KP-1d(M): Procentul consumatorilor de droguri injectabile acoperiți de programele de prevenire HIV - pachet definit de servicii </t>
  </si>
  <si>
    <t>KP-3d(M): Procentul consumatorilor de droguri injectabile care au fost testați pentru HIV în perioada de raportare și își cunosc rezultatele</t>
  </si>
  <si>
    <t xml:space="preserve">KP-1c(M): Procentul LSC acoperiți de programele de prevenire HIV - pachet definit de servicii </t>
  </si>
  <si>
    <t>KP-3c(M): Procentul LSC care au fost testați pentru HIV în perioada de raportare și își cunosc rezultatele</t>
  </si>
  <si>
    <t xml:space="preserve">KP-1a(M): Procentul BSB acoperiți de programele de prevenire HIV - pachet definit de servicii </t>
  </si>
  <si>
    <t>KP-3a(M): Procentul BSB care au fost testați pentru HIV în perioada de raportare și își cunosc rezultatele</t>
  </si>
  <si>
    <t xml:space="preserve">TCS-1 (M): Procentul adulţilor şi copiilor care trăiesc cu HIV și urmează tratament antiretroviral </t>
  </si>
  <si>
    <t>Indicator de proces</t>
  </si>
  <si>
    <t>HIV</t>
  </si>
  <si>
    <t>Definiție (din M&amp;E Plan)</t>
  </si>
  <si>
    <t>Column1</t>
  </si>
  <si>
    <t>Column2</t>
  </si>
  <si>
    <t>N</t>
  </si>
  <si>
    <t>Tip indicator</t>
  </si>
  <si>
    <t xml:space="preserve">Numărător: Numărul de respondenți care au raportat utilizarea prezervativului în timpul ultimului act de sex anal.                                                       
Numitor: Numărul de respondenți care au raportat practicarea sexului anal în ultimele 6 luni.                                                                                      </t>
  </si>
  <si>
    <t>Sistemul R&amp;R TB; Rapoarte trimestriale; SYME TB</t>
  </si>
  <si>
    <t xml:space="preserve">Componenta </t>
  </si>
  <si>
    <t>TB I-3(M): Rata mortalităţii  - Numărul estimat de decese cauzate de TB (toate formele) pe an, la 100,000 persoane</t>
  </si>
  <si>
    <t xml:space="preserve">TB I-4(M): Prevalența TB MDR printre cazurile noi de tuberculoză </t>
  </si>
  <si>
    <t xml:space="preserve">Numărător: Numărul de respondenți care au rezultat HIV pozitiv.                                                                                                             
Numitor: Numărul de respondenți testați pentru HIV.                                                   
                                </t>
  </si>
  <si>
    <t xml:space="preserve">Registru pacienți/ Registru Național Decese
</t>
  </si>
  <si>
    <t xml:space="preserve">Numărător: Numărul de decese cauzate de HIV/ SIDA într-o anumită perioadă de timp.                                                  Numitor: Adulți (15+): Numărul total al populației (per 100 000 persoane). Copii (&lt;15): Numărul total al populației (per 1 000 nou-născuți).                                      
                                </t>
  </si>
  <si>
    <t>Numărător: Numărul cazurilor noi TB cu RR-TB și/sau MDR-TB, testate la sensibilitate pentru preparatele de linia I, diagnosticate cu MDR.                                                                                                       Numitor: Numărul total de cazuri noi de tuberculoză cu cultura pozitivă, testate la sensibilitate pentru preparatele de linia I, pe parcursul anului.</t>
  </si>
  <si>
    <t xml:space="preserve">HIV I-9a (M): Procentul BSB care trăiesc cu HIV </t>
  </si>
  <si>
    <t>HIV I-10 (M): Procentul LSC care trăiesc cu HIV</t>
  </si>
  <si>
    <t>HIV I-11 (M): Procentul consumatorilor de droguri injectabile care trăiesc cu HIV</t>
  </si>
  <si>
    <t xml:space="preserve">TB O-4(M): Rata succesului tratamentului pacienților cu RR TB și/sau MDR-TB </t>
  </si>
  <si>
    <t>TB O-1a: Rata de notificare a cazurilor de tuberculoză (toate formele) per 100,000 populație</t>
  </si>
  <si>
    <t>Numărător: Numărul cazurilor de TB DR confirmate bacteriologic (RR-TB și/sau MDR-TB), tratate cu succes (vindecate și cu tratamente încheiate).
Numitor: Numărul total de cazuri înregistrate sub DOTS Plus într-o anumită perioadă de timp (dezagregate în funcție de sex și vîrstă &lt;15, 15+).</t>
  </si>
  <si>
    <t>Numărător: Toate cazurile de tuberculoză (bacteriologic confirmate și diagnosticate clinic, cazuri noi și recidive) notificate către autoritatea națională într-o perioadă anumită de timp per 100,000 populație.
Numitor: Numărul total al populației în țară.</t>
  </si>
  <si>
    <t>Numărător: Numărul de decese cauzate de TB (toate formele) înregistrate într-o anumită perioadă per 100,000 persoane.                                                                                                                                                      Numitor: Numărul total al populației în țară.</t>
  </si>
  <si>
    <t>TB O-5(M): Rata de acoperire cu tratament antituberculos</t>
  </si>
  <si>
    <t>Numărător: Number de cazuri noi și recidive notificate și acoperite cu tratament, during specified period of time.
Numitor: Numărul estimat de cazuri TB din același an (toate formele TB - bacteriologic confirmate și diagnosticate clinic), din baza de date a OMS (WHO Global TB).</t>
  </si>
  <si>
    <t>Sistemul R&amp;R TB; Rapoarte trimestriale; SYME TB
Date estimative ale OMS (WHO Global TB)</t>
  </si>
  <si>
    <t xml:space="preserve">HIV O-1 (M): Procentul adulţilor şi copiilor HIV infectaţi care se află în tratament 12 luni după iniţierea tratamentului antiretroviral </t>
  </si>
  <si>
    <t xml:space="preserve">Numărător: Numărul adulților și copiilor care sunt în viață și în terapie ARV 12 luni după inițierea tratamentului.
Numitor: Numărul total de adulți ăi copii care în perioada de raportare au facut 12 luni de la inițierea TARV.                                                                         
</t>
  </si>
  <si>
    <t>MDR TB-2(M): Numărul cazurilor de TB DR (RR-TB și/sau MDR-TB), confirmate bacteriologic, notificate</t>
  </si>
  <si>
    <t xml:space="preserve">MDR TB-3(M): Numărul cazurilor cu tuberculoză drog-rezistentă (RR-TB și/sau MDR-TB), confirmate bacteriologic, care au demarat tratamentul DOTS-Plus în perioada raportată                </t>
  </si>
  <si>
    <t xml:space="preserve">Numărător: Numărul cazurilor cu tuberculoză drog-rezistentă (RR-TB și/sau MDR-TB), confirmate bacteriologic, care au demarat tratamentul DOTS-Plus în perioada raportată.
Numitor: Nu este   </t>
  </si>
  <si>
    <t xml:space="preserve">Numărător: Numărul de cazuri de TB DR (RR-TB și/sau MDR-TB), confirmate bacteriologic, notificate către autoritatea națională, în perioada raportată.                                                                                              Numitor: Nu este   </t>
  </si>
  <si>
    <t>MDR TB-4: Rezultatul interimar de abandon al tratamentului cazurilor MDR-TB</t>
  </si>
  <si>
    <t xml:space="preserve">Numărător: Numărul pacienţilor cu tuberculoză drog-rezistentă (RR-TB și/sau MDR-TB) care au întrerupt tratamentul DOTS-Plus către luna a 6 de la demararea acestuia.
Numitor: Numărul total de cazuri cu tuberculoză drog-rezistentă (RR-TB și/sau MDR-TB), confirmate bacteriologic, care au demarat tratamentul DOTS-Plus în perioada raportată.         </t>
  </si>
  <si>
    <t>MDR TB-8: Numărul cazurilor de XDR TB incluși în tratament în perioada raportată</t>
  </si>
  <si>
    <t xml:space="preserve">Numărător: Numărul cazurilor de XDR TB incluși în tratament în perioada raportată.                                    Numitor: Nu este                                                            </t>
  </si>
  <si>
    <t xml:space="preserve">Forme de raportare ONG, bazate pe IDU Ident  
</t>
  </si>
  <si>
    <t xml:space="preserve">Forme de raportare ONG, bazate pe IDU Ident
</t>
  </si>
  <si>
    <t xml:space="preserve">Numărător: Numărul adulților și copiilor cu infecția HIV avansată, care urmează, la etapa actuală, terapie antiretrovirală, în conformitate cu protocoalele de tratament, aprobate la nivel național la sfârșitul perioadei de raportare.
Numitor: Numărul estimat de adulți și copii care trăiesc cu HIV (date - generate de SPECTRUM).                                     
</t>
  </si>
  <si>
    <t xml:space="preserve">Numărător: Numărul de CDI respondenți, care au fost testați pentru HIV în perioada de raportare și își cunosc rezultatele.
Numitor: Numărul estimat de CDI în Rep. Moldova.      
</t>
  </si>
  <si>
    <t xml:space="preserve">Numărător: Numărul de BSB care au fost testați pentru HIV în perioada de raportare și își cunosc rezultatele.
Numitor: Numărul estimat de BSB în Rep. Moldova.   
</t>
  </si>
  <si>
    <t xml:space="preserve">Numărător: Numărul de consumatori de droguri injectabile (CDI) care au beneficiat de un pachet definit de servicii de prevenire HIV*.                                                   
Numitor: Numărul estimat de CDI în Rep. Moldova.                                                             
Notă* - CDI care au beneficiat de cel puțin 2 servicii din pachetul sus-menționat, dintre care unul a fost distribuția de seringi. Pachetul de servicii include: distribuția de seringi, distribuția de prezervative, consiliere profesională (psiholog, asistent social/ medical), distribuția de  materiale informaționale, consultare de la egal la egal, servicii VCT (consiliere și testare voluntară).                                                      </t>
  </si>
  <si>
    <t xml:space="preserve">Numărător: Numărul de LSC care au beneficiat de un pachet definit de servicii de prevenire HIV*.                                                   Numitor: Numărul estimat de LSC în Rep. Moldova.                                                    
Notă* - LSC care au beneficiat de cel puțin 2 servicii din pachetul sus-menționat, dintre care unul a fost distribuția de prezervative. Pachetul de servicii include: distribuția de prezervative, consiliere profesională (psiholog, asistent social/ medical), distribuția de  materiale informaționale, managementul ITS (infecții cu transmitere sexuală), consultare de la egal la egal, servicii VCT (consiliere și testare voluntară), distribuția de seringi și distribuția de dezinfectanți.                     </t>
  </si>
  <si>
    <t xml:space="preserve">Numărător: Numărul de BSB care au beneficiat de un pachet definit de servicii de prevenire HIV*.                                                   Numitor: Numărul estimat de BSB în Rep. Moldova.                                                    
Notă* - BSB care au beneficiat de cel puțin 2 servicii din pachetul sus-menționat, dintre care unul a fost distribuția de prezervative și/ sau lubrifiante. Pachetul de servicii include: distribuția de prezervative, distribuția de lubrifiante, consiliere psihologică profesională, consiliere IEC (informare, educare, comunicare), consultare de la egal la egal, servicii VCT (consiliere și testare voluntară), distribuția de seringi și distribuția de dezinfectanți.                                           </t>
  </si>
  <si>
    <t xml:space="preserve">Numărător: Numărul de LSC care au fost testați pentru HIV în perioada de raportare și își cunosc rezultatele.                                                                                                                                                             Numitor: Numărul estimat de LSC în Rep. Moldova.                                                           </t>
  </si>
  <si>
    <t>Registrele pacienților în TARV (Centrele TARV)</t>
  </si>
  <si>
    <t xml:space="preserve">
BSS. Data de raportare - 31 August 2020
</t>
  </si>
  <si>
    <t>BSS. Data de raportare - 31 August 2020</t>
  </si>
  <si>
    <t>Contractul de Sub-recipient cu IMSP IFP ”Chiril Draganiuc” a fost semnat la 09 februarie 2018 pentru realizarea activităților de colectare a sputei din teritorii către laboratoarele de referință în bacteriologia tuberculozei; transportatrea în teritorii a medicamenetelor de linia a doua și a treia pentru tratamentul pacienților cu TB DR; realizarea vizitelor de monitorizare și evaluare a activităților antituberculoase în teritorii și realizarea cursurilor de instruire.</t>
  </si>
  <si>
    <t>În perioada raportată Sub-Recipientii au prezentat cite două rapoarte trimestriale, in conformitate cu acordurile semnate.</t>
  </si>
  <si>
    <t>Analiza stocului (la finele sem I 2018) medicamentelor antituberculoase de linia a II și a III, a numărului de pacienți în tratament la aceeași dată, arata prezența unui stock  între 4 și 6 luni, pentru preparatele de baza, urmatoarea livrare fiind asteptata in lunile septembrie-octombrie.</t>
  </si>
  <si>
    <t xml:space="preserve">Date finale pentru anul 2017. 320 persoane au decedat de tuberculoză în anul 2017 (7,94 decese la 100 000 persoane). 
Notă - Ținta a fost atinsă. Se constată o micșorare cu 14% a ratei de mortalitate față de datele anului 2016 (372 cazuri de deces cauzate de tuberculoză), cu 21,6% a ratei de mortalitate față de datele anului 2015 (408 cazuri de deces cauzate de tuberculoză), cu 37% a ratei de mortalitate față de datele anului 2014 (508 cazuri de deces cauzate de tuberculoză) și cu 29,8% față de datele anului 2013 (456 cazuri de deces cauzate de tuberculoză). </t>
  </si>
  <si>
    <t xml:space="preserve">Date finale pentru anul 2017. 308 cazuri noi de tuberculoză cu cultura pozitivă, testate la sensibilitate pentru preparatele de linia I, din 1 159 investigate în 2017, au fost diagnosticate cu MDR.
Notă - Se constată menținerea unei rate înalte a TB MDR printre cazurile noi, situație caracteristică ultimilor ani. </t>
  </si>
  <si>
    <r>
      <rPr>
        <b/>
        <sz val="8"/>
        <rFont val="Calibri"/>
        <family val="2"/>
      </rPr>
      <t>Date finale pentru anul 2017</t>
    </r>
    <r>
      <rPr>
        <sz val="8"/>
        <rFont val="Calibri"/>
        <family val="2"/>
      </rPr>
      <t xml:space="preserve">. 320 persoane au decedat de tuberculoză în anul 2017 (7,94 decese la 100 000 persoane). 
Notă - Ținta a fost atinsă. Se constată o micșorare cu 14% a ratei de mortalitate față de datele anului 2016 (372 cazuri de deces cauzate de tuberculoză), cu 21,6% a ratei de mortalitate față de datele anului 2015 (408 cazuri de deces cauzate de tuberculoză), cu 37% a ratei de mortalitate față de datele anului 2014 (508 cazuri de deces cauzate de tuberculoză) și cu 29,8% față de datele anului 2013 (456 cazuri de deces cauzate de tuberculoză). </t>
    </r>
  </si>
  <si>
    <r>
      <rPr>
        <b/>
        <sz val="8"/>
        <rFont val="Calibri"/>
        <family val="2"/>
      </rPr>
      <t>Date finale pentru anul 2017</t>
    </r>
    <r>
      <rPr>
        <sz val="8"/>
        <rFont val="Calibri"/>
        <family val="2"/>
      </rPr>
      <t xml:space="preserve">. 308 cazuri noi de tuberculoză cu cultura pozitivă, testate la sensibilitate pentru preparatele de linia I, din 1 159 investigate în 2017, au fost diagnosticate cu MDR.
Notă - Se constată menținerea unei rate înalte a TB MDR printre cazurile noi, situație caracteristică ultimilor ani. </t>
    </r>
  </si>
  <si>
    <t>n/a</t>
  </si>
  <si>
    <r>
      <rPr>
        <b/>
        <sz val="8"/>
        <rFont val="Calibri"/>
        <family val="2"/>
      </rPr>
      <t xml:space="preserve">Date preliminare pentru anul 2018. </t>
    </r>
    <r>
      <rPr>
        <sz val="8"/>
        <rFont val="Calibri"/>
        <family val="2"/>
      </rPr>
      <t xml:space="preserve">Pentru acest indicator, țintele sunt procentuale și anuale, la jumătate de an fiind raportat doar numărătorul. Numărul pacienților în terapie ARV la data de 30.06.2018, a fost de 5.487, dintre care: 3.821 - pe malul drept (3.725 adulți și 96 copii (&lt;15 ani), 1.967 bărbați și 1.854 femei) și 1.666 persoane - pe malul stâng al Nistrului, inclusiv 1.634 adulți și 32 copii, 821 bărbați și 845 femei.
Dezagregare:
- Bărbați: 2.788 
- Femei: 2.699 
- Adulți (15+): 5.359 
- Copii (&lt;15): 128 </t>
    </r>
  </si>
  <si>
    <r>
      <rPr>
        <b/>
        <sz val="8"/>
        <rFont val="Calibri"/>
        <family val="2"/>
      </rPr>
      <t>Date preliminare pentru anul 2018</t>
    </r>
    <r>
      <rPr>
        <sz val="8"/>
        <rFont val="Calibri"/>
        <family val="2"/>
      </rPr>
      <t xml:space="preserve">. Pentru acest indicator, țintele sunt procentuale și anuale, la jumătate de an fiind raportat doar numărătorul. La data de 30.06.2018, din 8.190 LSC estimate pentru acoperire de programele comprehensive de prevenire pentru LSC și clienții lor în anul 2018, 5.003 de LSC au primit cel puțin două servicii, unul din care a fost distribuirea de prezervative. </t>
    </r>
  </si>
  <si>
    <r>
      <rPr>
        <b/>
        <sz val="8"/>
        <rFont val="Calibri"/>
        <family val="2"/>
      </rPr>
      <t>Date preliminare pentru anul 2018</t>
    </r>
    <r>
      <rPr>
        <sz val="8"/>
        <rFont val="Calibri"/>
        <family val="2"/>
      </rPr>
      <t xml:space="preserve">. Pentru acest indicator, țintele sunt procentuale și anuale, la jumătate de an fiind raportat doar numărătorul. La data de 30.06.2018, din 4.206 BSB estimați pentru acoperire de programele comprehensive de prevenire pentru BSB în anul 2018, 2.888 au primit cel puțin două servicii, unul din care este obligatoriu distribuirea de prezervative sau lubrifianți. </t>
    </r>
  </si>
  <si>
    <t>Data de raportare - 31 August 2020. Datele sunt colectate și validate în conformitate cu rezultatele Studiului Bio-Comportamental (BSS).</t>
  </si>
  <si>
    <r>
      <rPr>
        <b/>
        <sz val="8"/>
        <rFont val="Calibri"/>
        <family val="2"/>
      </rPr>
      <t>Date preliminare pentru cohorta MDR-TB sem.I.2016</t>
    </r>
    <r>
      <rPr>
        <sz val="8"/>
        <rFont val="Calibri"/>
        <family val="2"/>
      </rPr>
      <t xml:space="preserve">. 280 cazuri confirmate de TB MDR, din 532 incluse în tratmentul DOTS Plus în sem.I.2016, au fost tratate cu succes (vindecate și cu tratamente încheiate).                        </t>
    </r>
  </si>
  <si>
    <r>
      <rPr>
        <b/>
        <sz val="8"/>
        <rFont val="Calibri"/>
        <family val="2"/>
      </rPr>
      <t>Date finale pentru anul 2017</t>
    </r>
    <r>
      <rPr>
        <sz val="8"/>
        <rFont val="Calibri"/>
        <family val="2"/>
      </rPr>
      <t>. 3 353 cazuri de tuberculoză (toate formele, bacteriologic confirmate și diagnosticate clinic, cazuri noi și recidive) au fost notificate către autoritatea națională în anul 2017.                                                                                                      Notă - Se constată o descreștere continuă a ratei de notificare înregistrate.</t>
    </r>
  </si>
  <si>
    <t>Indicatorul se raportează anual. Datele pentru anul 2018 vor fi disponibile începînd cu trimestrul I.2019.</t>
  </si>
  <si>
    <r>
      <rPr>
        <b/>
        <sz val="8"/>
        <rFont val="Calibri"/>
        <family val="2"/>
      </rPr>
      <t>Date preliminare pentru semestrul I.2018</t>
    </r>
    <r>
      <rPr>
        <sz val="8"/>
        <rFont val="Calibri"/>
        <family val="2"/>
      </rPr>
      <t xml:space="preserve">. 376 cazuri cu tuberculoză drog-rezistentă (RR-TB și/sau MDR-TB), confirmate bacteriologic, au fost notificate, față de 535 cazuri estimate pentru perioada raportată.                                                    
Notă - Reducerea numărului de pacienți MDR TB notificați este în directă corespundere cu scăderea incidenței TB.   </t>
    </r>
    <r>
      <rPr>
        <sz val="10"/>
        <color rgb="FFFF0000"/>
        <rFont val="Calibri"/>
        <family val="2"/>
      </rPr>
      <t xml:space="preserve">               </t>
    </r>
  </si>
  <si>
    <r>
      <rPr>
        <b/>
        <sz val="8"/>
        <rFont val="Calibri"/>
        <family val="2"/>
      </rPr>
      <t>Date preliminare pentru semestrul I.2018.</t>
    </r>
    <r>
      <rPr>
        <sz val="8"/>
        <rFont val="Calibri"/>
        <family val="2"/>
      </rPr>
      <t xml:space="preserve"> 485 cazuri cu tuberculoză drog-rezistentă (RR-TB și/sau MDR-TB), confirmate bacteriologic, au demarat tratamentul DOTS-Plus în sem.I.2018, față de 531 pacienți preconizați pentru perioada raportată.                                                                                                            </t>
    </r>
  </si>
  <si>
    <r>
      <rPr>
        <b/>
        <sz val="8"/>
        <rFont val="Calibri"/>
        <family val="2"/>
      </rPr>
      <t>Date preliminare pentru cohorta sem.I.2017.</t>
    </r>
    <r>
      <rPr>
        <sz val="8"/>
        <rFont val="Calibri"/>
        <family val="2"/>
      </rPr>
      <t xml:space="preserve"> 47 pacienți din 507 incluși în tratamentul DOTS Plus în sem.I.2017, au abandonat tratamentul către luna a 6 de la demararea tratamentului DOTS Plus.                   </t>
    </r>
  </si>
  <si>
    <t xml:space="preserve">Obiectivul 1 „Asigurarea accesului universal la diagnosticul la timp şi de calitate al tuturor formelor de tuberculoză, inclusiv celor cu TB-M/EDR” - procentul mic al variației se datorează, în mare parte, economiilor acumulate în rezultatul procurării unor cantități mai mici de medii nutritive, conform solicitării Beneficiarului, precum și transferării unor activități pentru sem II 2018, la solicitarea beneficiarului.
Obiectivul 2„Asigurarea accesului universal la tratamentul calitativ pentru toate formele de TB, inclusiv cu TB-M/EDR” - procentul mic al variației se datorează faptului că o parte din procurările de medicamente antituberculoase de linia II au fost transferate pentru perioada semestrului II.2018
</t>
  </si>
  <si>
    <t>Variația dintre bugetul aprobat și cheltuieli cumulative, se datorează in mare parte faptului, că o parte din procurările de medicamente antituberculoase de linia II au fost transferate pentru perioada semestrului II.2018</t>
  </si>
  <si>
    <t>Toate posturile în cadrul echipei ce gestionează Grantul curent sunt ocupate.</t>
  </si>
  <si>
    <t>în conformitate cu Acordul de Grant au fost identificare 2 condiții, după cum urmează: 
-Creșterea graduală a finanțării din sursele interne și asugurarea unei cofinanțări de 15% (sau 2.384.508 Euro) din valoarea totală a Grantului pentru anii 2017-2019 (15.896.721 Euro) din sursele interne. (informație disponibilă anual, se va raporta în următoarea perioadă)
-Asigurarea cooperării cu Comitetul de Lumină Verde(GLC), inclusiv prin bugetarea și autorizarea transferului cotizațiilor anuale de maximum 50.000 USD. (se va raporta în următoarea perioadă)</t>
  </si>
  <si>
    <t>Date finale pentru anul 2017. 144 persoane au decedat de SIDA în anul 2017 (populația RM - 4.035.277).
Datele pentru acest indicator sunt pentru a. 2017, pentru ambele maluri, raportabile către 15 august 2018.</t>
  </si>
  <si>
    <r>
      <rPr>
        <b/>
        <sz val="8"/>
        <rFont val="Calibri"/>
        <family val="2"/>
      </rPr>
      <t>Date finale pentru anul 2017</t>
    </r>
    <r>
      <rPr>
        <sz val="8"/>
        <rFont val="Calibri"/>
        <family val="2"/>
      </rPr>
      <t xml:space="preserve">. 144 persoane au decedat de SIDA în anul 2017 (populația RM - 4.035.277).
Datele pentru acest indicator sunt pentru a. 2017, pentru ambele maluri, raportabile către 15 august 2018.
</t>
    </r>
  </si>
  <si>
    <r>
      <rPr>
        <b/>
        <sz val="8"/>
        <rFont val="Calibri"/>
        <family val="2"/>
      </rPr>
      <t>Date preliminare pentru anul 2017</t>
    </r>
    <r>
      <rPr>
        <sz val="8"/>
        <rFont val="Calibri"/>
        <family val="2"/>
      </rPr>
      <t xml:space="preserve">. 770 din 924 pacienți HIV+ care au inițiat TARV pe parcursul a. 2016 erau în viață și în tratament ARV 12 luni după inițiere. Indicatorul se raportează anual. Datele pentru acest indicator sunt pentru a. 2017, raportabile către 15.08.2018.                                                                            Dezagregare:
Bărbați:  79.5% (387/487)
Femei:   87.6% (383/437)
Adulți (15+): 83.1% (754/907)
Copii (&lt;15): 94.1% (16/17)
</t>
    </r>
  </si>
  <si>
    <r>
      <rPr>
        <b/>
        <sz val="8"/>
        <rFont val="Calibri"/>
        <family val="2"/>
      </rPr>
      <t>Date preliminare pentru anul 2018</t>
    </r>
    <r>
      <rPr>
        <sz val="8"/>
        <rFont val="Calibri"/>
        <family val="2"/>
      </rPr>
      <t xml:space="preserve">. Pentru acest indicator, țintele sunt procentuale și anuale, la jumătate de an fiind raportat doar numărătorul. La data de 30.06.2018, din 17.646 CDI estimați pentru acoperire de programele de prevenire pentru CDI și partenerii lor în anul 2018, 15.225 de persoane au primit cel puțin două servicii, unul din care a fost schimbul de seringi. </t>
    </r>
  </si>
  <si>
    <r>
      <rPr>
        <b/>
        <sz val="8"/>
        <rFont val="Calibri"/>
        <family val="2"/>
      </rPr>
      <t>Date preliminare pentru anul 2018</t>
    </r>
    <r>
      <rPr>
        <sz val="8"/>
        <rFont val="Calibri"/>
        <family val="2"/>
      </rPr>
      <t>. Pentru acest indicator, țintele sunt procentuale și anuale, la jumătate de an fiind raportat doar numărătorul. La data de 30.06.2018, din 10.588 CDI estimați, au fost testați pentru HIV și își cunosc rezultatele 5.948 de CDI.</t>
    </r>
  </si>
  <si>
    <r>
      <rPr>
        <b/>
        <sz val="8"/>
        <rFont val="Calibri"/>
        <family val="2"/>
      </rPr>
      <t>Date preliminare pentru anul 2018</t>
    </r>
    <r>
      <rPr>
        <sz val="8"/>
        <rFont val="Calibri"/>
        <family val="2"/>
      </rPr>
      <t xml:space="preserve">. Pentru acest indicator, țintele sunt procentuale și anuale, la jumătate de an fiind raportat doar numărătorul. La data de 30.06.2018, din 4.554 LSC estimate pentru a fi testate, 2.748 LSC au fost testate pentru HIV și își cunosc rezultatele. </t>
    </r>
  </si>
  <si>
    <r>
      <rPr>
        <b/>
        <sz val="8"/>
        <rFont val="Calibri"/>
        <family val="2"/>
      </rPr>
      <t>Date preliminare pentru anul 2018</t>
    </r>
    <r>
      <rPr>
        <sz val="8"/>
        <rFont val="Calibri"/>
        <family val="2"/>
      </rPr>
      <t>. Pentru acest indicator, țintele sunt procentuale și anuale, la jumătate de an fiind raportat doar numărătorul. La data de 30.06.2018, din 2.398 de BSB estimați pentru a fi testați, 1.303 au fost testați la HIV și își cunosc rezultatele.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</si>
</sst>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164" formatCode="_(* #,##0.00_);_(* \(#,##0.00\);_(* &quot;-&quot;??_);_(@_)"/>
    <numFmt numFmtId="165" formatCode="&quot;Q&quot;#,##0_);[Red]\(&quot;Q&quot;#,##0\)"/>
    <numFmt numFmtId="166" formatCode="_(* #,##0_);_(* \(#,##0\);_(* &quot;-&quot;??_);_(@_)"/>
    <numFmt numFmtId="167" formatCode=";;;"/>
    <numFmt numFmtId="168" formatCode="0.0"/>
    <numFmt numFmtId="169" formatCode=";;;&quot;Financial Variance in %&quot;"/>
    <numFmt numFmtId="170" formatCode="[$$-409]#,##0_);\([$$-409]#,##0\)"/>
    <numFmt numFmtId="171" formatCode="dd/mm/yy;@"/>
    <numFmt numFmtId="172" formatCode="_-[$€-2]\ * #,##0_-;\-[$€-2]\ * #,##0_-;_-[$€-2]\ * &quot;-&quot;_-;_-@_-"/>
    <numFmt numFmtId="173" formatCode="[$€-2]\ #,##0"/>
    <numFmt numFmtId="174" formatCode="#,##0.00_р_."/>
    <numFmt numFmtId="175" formatCode="#,##0.0"/>
    <numFmt numFmtId="176" formatCode="0.0%"/>
  </numFmts>
  <fonts count="150">
    <font>
      <sz val="11"/>
      <color theme="1"/>
      <name val="Calibri"/>
      <family val="2"/>
      <scheme val="minor"/>
    </font>
    <font>
      <sz val="11"/>
      <color indexed="8"/>
      <name val="Calibri"/>
      <family val="2"/>
    </font>
    <font>
      <sz val="10"/>
      <name val="Arial"/>
      <family val="2"/>
    </font>
    <font>
      <sz val="11"/>
      <color indexed="8"/>
      <name val="Calibri"/>
      <family val="2"/>
    </font>
    <font>
      <sz val="11"/>
      <color indexed="60"/>
      <name val="Calibri"/>
      <family val="2"/>
    </font>
    <font>
      <b/>
      <sz val="11"/>
      <color indexed="52"/>
      <name val="Calibri"/>
      <family val="2"/>
    </font>
    <font>
      <sz val="11"/>
      <color indexed="10"/>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sz val="9"/>
      <color indexed="8"/>
      <name val="Verdana"/>
      <family val="2"/>
    </font>
    <font>
      <b/>
      <sz val="10"/>
      <color indexed="63"/>
      <name val="Verdana"/>
      <family val="2"/>
    </font>
    <font>
      <sz val="8"/>
      <color indexed="8"/>
      <name val="Verdana"/>
      <family val="2"/>
    </font>
    <font>
      <b/>
      <sz val="8"/>
      <color indexed="9"/>
      <name val="Tahoma"/>
      <family val="2"/>
    </font>
    <font>
      <sz val="8"/>
      <name val="Webdings"/>
      <family val="1"/>
      <charset val="2"/>
    </font>
    <font>
      <sz val="10"/>
      <name val="Micro Bar Charts 1.1"/>
    </font>
    <font>
      <sz val="9"/>
      <name val="Tahoma"/>
      <family val="2"/>
    </font>
    <font>
      <b/>
      <sz val="8"/>
      <name val="Tahoma"/>
      <family val="2"/>
    </font>
    <font>
      <sz val="14"/>
      <color indexed="9"/>
      <name val="Calibri"/>
      <family val="2"/>
    </font>
    <font>
      <sz val="14"/>
      <name val="Calibri"/>
      <family val="2"/>
    </font>
    <font>
      <sz val="11"/>
      <color indexed="8"/>
      <name val="Arial"/>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10"/>
      <name val="Arial"/>
      <family val="2"/>
    </font>
    <font>
      <b/>
      <sz val="12"/>
      <color indexed="56"/>
      <name val="Tahoma"/>
      <family val="2"/>
    </font>
    <font>
      <b/>
      <sz val="10"/>
      <name val="Verdana"/>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b/>
      <sz val="11"/>
      <color indexed="8"/>
      <name val="Calibri"/>
      <family val="2"/>
      <charset val="204"/>
    </font>
    <font>
      <sz val="11"/>
      <color indexed="8"/>
      <name val="Calibri"/>
      <family val="2"/>
    </font>
    <font>
      <b/>
      <sz val="14"/>
      <color indexed="14"/>
      <name val="Calibri"/>
      <family val="2"/>
      <charset val="204"/>
    </font>
    <font>
      <b/>
      <sz val="10"/>
      <color indexed="53"/>
      <name val="Calibri"/>
      <family val="2"/>
    </font>
    <font>
      <sz val="11"/>
      <color indexed="8"/>
      <name val="Arial Black"/>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10"/>
      <color indexed="60"/>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51"/>
      <name val="Calibri"/>
      <family val="2"/>
      <charset val="204"/>
    </font>
    <font>
      <sz val="12"/>
      <color indexed="9"/>
      <name val="Calibri"/>
      <family val="2"/>
    </font>
    <font>
      <sz val="8"/>
      <color indexed="16"/>
      <name val="Calibri"/>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10"/>
      <name val="Arial"/>
      <family val="2"/>
      <charset val="204"/>
    </font>
    <font>
      <b/>
      <sz val="14"/>
      <color indexed="44"/>
      <name val="Calibri"/>
      <family val="2"/>
      <charset val="204"/>
    </font>
    <font>
      <sz val="9"/>
      <color indexed="8"/>
      <name val="Calibri"/>
      <family val="2"/>
    </font>
    <font>
      <b/>
      <sz val="11"/>
      <name val="Arial"/>
      <family val="2"/>
    </font>
    <font>
      <sz val="11"/>
      <color theme="1"/>
      <name val="Calibri"/>
      <family val="2"/>
      <scheme val="minor"/>
    </font>
    <font>
      <sz val="10"/>
      <color theme="1"/>
      <name val="Calibri"/>
      <family val="2"/>
      <scheme val="minor"/>
    </font>
    <font>
      <sz val="11"/>
      <name val="Calibri"/>
      <family val="2"/>
      <scheme val="minor"/>
    </font>
    <font>
      <b/>
      <sz val="10"/>
      <color rgb="FFFF0000"/>
      <name val="Calibri"/>
      <family val="2"/>
    </font>
    <font>
      <b/>
      <sz val="10"/>
      <color theme="1"/>
      <name val="Calibri"/>
      <family val="2"/>
      <charset val="204"/>
      <scheme val="minor"/>
    </font>
    <font>
      <sz val="11"/>
      <color theme="1"/>
      <name val="Calibri"/>
      <family val="2"/>
    </font>
    <font>
      <sz val="22"/>
      <color theme="0"/>
      <name val="Calibri"/>
      <family val="2"/>
      <charset val="204"/>
    </font>
    <font>
      <sz val="14"/>
      <color theme="0"/>
      <name val="Calibri"/>
      <family val="2"/>
    </font>
    <font>
      <i/>
      <sz val="11"/>
      <name val="Calibri"/>
      <family val="2"/>
    </font>
    <font>
      <b/>
      <sz val="10"/>
      <name val="Arial"/>
      <family val="2"/>
      <charset val="204"/>
    </font>
    <font>
      <sz val="7"/>
      <name val="Verdana"/>
      <family val="2"/>
    </font>
    <font>
      <sz val="11"/>
      <name val="Micro Line Charts 1.1"/>
      <family val="2"/>
    </font>
    <font>
      <sz val="8"/>
      <name val="Micro Bar Charts 1.1"/>
    </font>
    <font>
      <b/>
      <sz val="12"/>
      <name val="Tahoma"/>
      <family val="2"/>
    </font>
    <font>
      <b/>
      <sz val="8"/>
      <name val="Calibri"/>
      <family val="2"/>
    </font>
    <font>
      <sz val="8"/>
      <name val="Arial"/>
      <family val="2"/>
    </font>
    <font>
      <sz val="8"/>
      <name val="Tahoma"/>
      <family val="2"/>
    </font>
    <font>
      <b/>
      <sz val="8"/>
      <name val="Verdana"/>
      <family val="2"/>
    </font>
    <font>
      <sz val="11"/>
      <color rgb="FF0070C0"/>
      <name val="Calibri"/>
      <family val="2"/>
      <scheme val="minor"/>
    </font>
    <font>
      <sz val="11"/>
      <color rgb="FF7030A0"/>
      <name val="Calibri"/>
      <family val="2"/>
      <scheme val="minor"/>
    </font>
    <font>
      <sz val="11"/>
      <name val="Calibri"/>
      <family val="2"/>
      <charset val="204"/>
      <scheme val="minor"/>
    </font>
    <font>
      <sz val="9"/>
      <name val="Calibri"/>
      <family val="2"/>
    </font>
    <font>
      <sz val="8"/>
      <name val="Calibri"/>
      <family val="2"/>
      <charset val="204"/>
    </font>
    <font>
      <sz val="7.7"/>
      <name val="Calibri"/>
      <family val="2"/>
      <charset val="204"/>
      <scheme val="minor"/>
    </font>
    <font>
      <sz val="10"/>
      <color rgb="FFFF0000"/>
      <name val="Calibri"/>
      <family val="2"/>
    </font>
    <font>
      <sz val="9"/>
      <name val="Calibri"/>
      <family val="2"/>
      <scheme val="minor"/>
    </font>
    <font>
      <sz val="7.7"/>
      <name val="Calibri"/>
      <family val="2"/>
    </font>
    <font>
      <sz val="11"/>
      <color rgb="FFFF0000"/>
      <name val="Calibri"/>
      <family val="2"/>
    </font>
    <font>
      <b/>
      <sz val="12"/>
      <color rgb="FFFF0000"/>
      <name val="Calibri"/>
      <family val="2"/>
      <charset val="204"/>
    </font>
    <font>
      <sz val="11"/>
      <color rgb="FFFF0000"/>
      <name val="Arial"/>
      <family val="2"/>
    </font>
    <font>
      <sz val="11"/>
      <color theme="0" tint="-4.9989318521683403E-2"/>
      <name val="Calibri"/>
      <family val="2"/>
    </font>
    <font>
      <sz val="11"/>
      <color theme="0" tint="-0.14999847407452621"/>
      <name val="Calibri"/>
      <family val="2"/>
      <scheme val="minor"/>
    </font>
    <font>
      <sz val="11"/>
      <color theme="0" tint="-0.249977111117893"/>
      <name val="Calibri"/>
      <family val="2"/>
      <scheme val="minor"/>
    </font>
    <font>
      <b/>
      <sz val="11"/>
      <color theme="0" tint="-0.249977111117893"/>
      <name val="Calibri"/>
      <family val="2"/>
      <scheme val="minor"/>
    </font>
    <font>
      <b/>
      <sz val="10"/>
      <color theme="1"/>
      <name val="Calibri"/>
      <family val="2"/>
      <scheme val="minor"/>
    </font>
    <font>
      <b/>
      <sz val="11"/>
      <color theme="1"/>
      <name val="Calibri"/>
      <family val="2"/>
      <scheme val="minor"/>
    </font>
    <font>
      <b/>
      <sz val="11"/>
      <color rgb="FFFF0000"/>
      <name val="Calibri"/>
      <family val="2"/>
      <scheme val="minor"/>
    </font>
    <font>
      <sz val="11"/>
      <color rgb="FF00B050"/>
      <name val="Arial"/>
      <family val="2"/>
    </font>
    <font>
      <b/>
      <sz val="11"/>
      <color rgb="FF00B050"/>
      <name val="Arial"/>
      <family val="2"/>
    </font>
    <font>
      <sz val="11"/>
      <color theme="0" tint="-4.9989318521683403E-2"/>
      <name val="Calibri"/>
      <family val="2"/>
      <scheme val="minor"/>
    </font>
    <font>
      <b/>
      <sz val="11"/>
      <name val="Calibri"/>
      <family val="2"/>
      <scheme val="minor"/>
    </font>
    <font>
      <sz val="11"/>
      <color theme="0"/>
      <name val="Calibri"/>
      <family val="2"/>
    </font>
    <font>
      <sz val="11"/>
      <color theme="0"/>
      <name val="Calibri"/>
      <family val="2"/>
      <scheme val="minor"/>
    </font>
    <font>
      <sz val="8"/>
      <color rgb="FFFF0000"/>
      <name val="Calibri"/>
      <family val="2"/>
    </font>
    <font>
      <sz val="8"/>
      <color theme="1"/>
      <name val="Calibri"/>
      <family val="2"/>
      <scheme val="minor"/>
    </font>
    <font>
      <sz val="8"/>
      <color indexed="9"/>
      <name val="Calibri"/>
      <family val="2"/>
    </font>
  </fonts>
  <fills count="2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gray0625">
        <fgColor indexed="52"/>
        <bgColor indexed="43"/>
      </patternFill>
    </fill>
    <fill>
      <patternFill patternType="solid">
        <fgColor indexed="11"/>
        <bgColor indexed="64"/>
      </patternFill>
    </fill>
    <fill>
      <patternFill patternType="solid">
        <fgColor indexed="47"/>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57"/>
        <bgColor indexed="64"/>
      </patternFill>
    </fill>
    <fill>
      <patternFill patternType="solid">
        <fgColor indexed="13"/>
        <bgColor indexed="64"/>
      </patternFill>
    </fill>
    <fill>
      <patternFill patternType="solid">
        <fgColor theme="0"/>
        <bgColor indexed="64"/>
      </patternFill>
    </fill>
    <fill>
      <patternFill patternType="gray0625">
        <fgColor theme="9"/>
      </patternFill>
    </fill>
    <fill>
      <patternFill patternType="gray0625">
        <fgColor theme="9"/>
        <bgColor indexed="43"/>
      </patternFill>
    </fill>
    <fill>
      <patternFill patternType="solid">
        <fgColor indexed="43"/>
        <bgColor theme="0"/>
      </patternFill>
    </fill>
    <fill>
      <patternFill patternType="solid">
        <fgColor rgb="FFFF0000"/>
        <bgColor indexed="64"/>
      </patternFill>
    </fill>
    <fill>
      <patternFill patternType="solid">
        <fgColor theme="8" tint="0.59999389629810485"/>
        <bgColor indexed="64"/>
      </patternFill>
    </fill>
    <fill>
      <patternFill patternType="solid">
        <fgColor rgb="FFFF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gray0625">
        <fgColor theme="9"/>
        <bgColor theme="0" tint="-4.9989318521683403E-2"/>
      </patternFill>
    </fill>
    <fill>
      <patternFill patternType="gray0625">
        <fgColor indexed="52"/>
        <bgColor theme="0" tint="-4.9989318521683403E-2"/>
      </patternFill>
    </fill>
  </fills>
  <borders count="229">
    <border>
      <left/>
      <right/>
      <top/>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style="medium">
        <color indexed="51"/>
      </right>
      <top style="thin">
        <color indexed="64"/>
      </top>
      <bottom style="thin">
        <color indexed="64"/>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thin">
        <color indexed="64"/>
      </right>
      <top style="thin">
        <color indexed="64"/>
      </top>
      <bottom style="medium">
        <color indexed="16"/>
      </bottom>
      <diagonal/>
    </border>
    <border>
      <left style="thin">
        <color indexed="64"/>
      </left>
      <right style="medium">
        <color indexed="60"/>
      </right>
      <top style="thin">
        <color indexed="64"/>
      </top>
      <bottom style="thin">
        <color indexed="64"/>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16"/>
      </left>
      <right style="medium">
        <color indexed="51"/>
      </right>
      <top style="medium">
        <color indexed="51"/>
      </top>
      <bottom style="thin">
        <color indexed="64"/>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right style="medium">
        <color indexed="64"/>
      </right>
      <top style="thin">
        <color indexed="64"/>
      </top>
      <bottom style="thin">
        <color indexed="64"/>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style="thin">
        <color indexed="64"/>
      </left>
      <right style="thin">
        <color indexed="64"/>
      </right>
      <top style="thin">
        <color indexed="64"/>
      </top>
      <bottom style="medium">
        <color indexed="51"/>
      </bottom>
      <diagonal/>
    </border>
    <border>
      <left style="thin">
        <color indexed="64"/>
      </left>
      <right style="medium">
        <color indexed="51"/>
      </right>
      <top style="thin">
        <color indexed="64"/>
      </top>
      <bottom style="medium">
        <color indexed="51"/>
      </bottom>
      <diagonal/>
    </border>
    <border>
      <left/>
      <right/>
      <top style="medium">
        <color indexed="51"/>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51"/>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medium">
        <color indexed="51"/>
      </left>
      <right style="medium">
        <color indexed="51"/>
      </right>
      <top style="thin">
        <color indexed="64"/>
      </top>
      <bottom/>
      <diagonal/>
    </border>
    <border>
      <left style="medium">
        <color indexed="60"/>
      </left>
      <right style="dotted">
        <color indexed="64"/>
      </right>
      <top style="medium">
        <color indexed="60"/>
      </top>
      <bottom/>
      <diagonal/>
    </border>
    <border>
      <left style="dotted">
        <color indexed="64"/>
      </left>
      <right style="dotted">
        <color indexed="64"/>
      </right>
      <top style="medium">
        <color indexed="52"/>
      </top>
      <bottom/>
      <diagonal/>
    </border>
    <border>
      <left style="medium">
        <color indexed="60"/>
      </left>
      <right style="dotted">
        <color indexed="64"/>
      </right>
      <top/>
      <bottom style="medium">
        <color indexed="60"/>
      </bottom>
      <diagonal/>
    </border>
    <border>
      <left style="dotted">
        <color indexed="64"/>
      </left>
      <right style="dotted">
        <color indexed="64"/>
      </right>
      <top/>
      <bottom style="medium">
        <color indexed="52"/>
      </bottom>
      <diagonal/>
    </border>
    <border>
      <left style="medium">
        <color indexed="60"/>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2"/>
      </left>
      <right/>
      <top style="medium">
        <color indexed="62"/>
      </top>
      <bottom/>
      <diagonal/>
    </border>
    <border>
      <left style="dotted">
        <color indexed="62"/>
      </left>
      <right style="dotted">
        <color indexed="64"/>
      </right>
      <top style="medium">
        <color indexed="62"/>
      </top>
      <bottom/>
      <diagonal/>
    </border>
    <border>
      <left style="medium">
        <color indexed="62"/>
      </left>
      <right/>
      <top/>
      <bottom style="medium">
        <color indexed="62"/>
      </bottom>
      <diagonal/>
    </border>
    <border>
      <left style="dotted">
        <color indexed="62"/>
      </left>
      <right style="dotted">
        <color indexed="64"/>
      </right>
      <top/>
      <bottom style="medium">
        <color indexed="62"/>
      </bottom>
      <diagonal/>
    </border>
    <border>
      <left style="medium">
        <color indexed="62"/>
      </left>
      <right/>
      <top style="thin">
        <color indexed="64"/>
      </top>
      <bottom style="thin">
        <color indexed="64"/>
      </bottom>
      <diagonal/>
    </border>
    <border>
      <left style="dotted">
        <color indexed="62"/>
      </left>
      <right style="dotted">
        <color indexed="64"/>
      </right>
      <top style="thin">
        <color indexed="64"/>
      </top>
      <bottom style="thin">
        <color indexed="64"/>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thin">
        <color indexed="64"/>
      </left>
      <right style="thin">
        <color indexed="64"/>
      </right>
      <top style="thin">
        <color indexed="64"/>
      </top>
      <bottom style="medium">
        <color indexed="60"/>
      </bottom>
      <diagonal/>
    </border>
    <border>
      <left style="thin">
        <color indexed="64"/>
      </left>
      <right style="medium">
        <color indexed="16"/>
      </right>
      <top style="thin">
        <color indexed="64"/>
      </top>
      <bottom style="medium">
        <color indexed="16"/>
      </bottom>
      <diagonal/>
    </border>
    <border>
      <left style="thin">
        <color indexed="64"/>
      </left>
      <right style="medium">
        <color indexed="48"/>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style="medium">
        <color indexed="51"/>
      </right>
      <top style="thin">
        <color indexed="64"/>
      </top>
      <bottom style="thin">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top style="thin">
        <color indexed="64"/>
      </top>
      <bottom/>
      <diagonal/>
    </border>
    <border>
      <left/>
      <right style="medium">
        <color indexed="51"/>
      </right>
      <top style="thin">
        <color indexed="64"/>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hair">
        <color indexed="23"/>
      </top>
      <bottom/>
      <diagonal/>
    </border>
    <border>
      <left/>
      <right style="medium">
        <color indexed="60"/>
      </right>
      <top style="hair">
        <color indexed="23"/>
      </top>
      <bottom/>
      <diagonal/>
    </border>
    <border>
      <left style="medium">
        <color indexed="51"/>
      </left>
      <right/>
      <top style="medium">
        <color indexed="51"/>
      </top>
      <bottom/>
      <diagonal/>
    </border>
    <border>
      <left/>
      <right style="medium">
        <color indexed="51"/>
      </right>
      <top style="medium">
        <color indexed="51"/>
      </top>
      <bottom/>
      <diagonal/>
    </border>
    <border>
      <left/>
      <right/>
      <top/>
      <bottom style="medium">
        <color indexed="62"/>
      </bottom>
      <diagonal/>
    </border>
    <border>
      <left/>
      <right style="medium">
        <color indexed="62"/>
      </right>
      <top/>
      <bottom style="medium">
        <color indexed="62"/>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right/>
      <top style="hair">
        <color indexed="64"/>
      </top>
      <bottom style="hair">
        <color indexed="64"/>
      </bottom>
      <diagonal/>
    </border>
    <border>
      <left/>
      <right style="medium">
        <color indexed="60"/>
      </right>
      <top style="thin">
        <color indexed="64"/>
      </top>
      <bottom style="thin">
        <color indexed="64"/>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right style="medium">
        <color indexed="62"/>
      </right>
      <top style="thin">
        <color indexed="64"/>
      </top>
      <bottom style="thin">
        <color indexed="64"/>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60"/>
      </left>
      <right/>
      <top/>
      <bottom style="medium">
        <color indexed="60"/>
      </bottom>
      <diagonal/>
    </border>
    <border>
      <left/>
      <right style="medium">
        <color indexed="60"/>
      </right>
      <top/>
      <bottom style="medium">
        <color indexed="60"/>
      </bottom>
      <diagonal/>
    </border>
    <border>
      <left/>
      <right/>
      <top style="medium">
        <color indexed="62"/>
      </top>
      <bottom/>
      <diagonal/>
    </border>
    <border>
      <left/>
      <right style="medium">
        <color indexed="62"/>
      </right>
      <top style="medium">
        <color indexed="62"/>
      </top>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medium">
        <color indexed="64"/>
      </bottom>
      <diagonal/>
    </border>
    <border>
      <left style="medium">
        <color indexed="57"/>
      </left>
      <right style="hair">
        <color indexed="57"/>
      </right>
      <top style="medium">
        <color indexed="57"/>
      </top>
      <bottom style="medium">
        <color indexed="57"/>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style="hair">
        <color indexed="57"/>
      </left>
      <right style="medium">
        <color indexed="57"/>
      </right>
      <top style="medium">
        <color indexed="57"/>
      </top>
      <bottom style="medium">
        <color indexed="57"/>
      </bottom>
      <diagonal/>
    </border>
    <border>
      <left style="thin">
        <color indexed="64"/>
      </left>
      <right/>
      <top style="medium">
        <color indexed="57"/>
      </top>
      <bottom/>
      <diagonal/>
    </border>
    <border>
      <left style="thin">
        <color indexed="64"/>
      </left>
      <right style="thin">
        <color indexed="64"/>
      </right>
      <top/>
      <bottom style="medium">
        <color indexed="16"/>
      </bottom>
      <diagonal/>
    </border>
    <border>
      <left style="medium">
        <color indexed="5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style="thin">
        <color indexed="64"/>
      </right>
      <top/>
      <bottom style="medium">
        <color indexed="51"/>
      </bottom>
      <diagonal/>
    </border>
    <border>
      <left style="medium">
        <color indexed="51"/>
      </left>
      <right style="medium">
        <color indexed="51"/>
      </right>
      <top/>
      <bottom style="medium">
        <color indexed="51"/>
      </bottom>
      <diagonal/>
    </border>
    <border>
      <left style="thin">
        <color indexed="16"/>
      </left>
      <right style="thin">
        <color indexed="16"/>
      </right>
      <top style="thin">
        <color indexed="16"/>
      </top>
      <bottom style="thin">
        <color indexed="64"/>
      </bottom>
      <diagonal/>
    </border>
    <border>
      <left style="medium">
        <color indexed="51"/>
      </left>
      <right/>
      <top/>
      <bottom/>
      <diagonal/>
    </border>
    <border>
      <left style="thin">
        <color indexed="64"/>
      </left>
      <right style="medium">
        <color indexed="51"/>
      </right>
      <top style="thin">
        <color theme="1"/>
      </top>
      <bottom/>
      <diagonal/>
    </border>
    <border>
      <left style="thin">
        <color indexed="64"/>
      </left>
      <right style="medium">
        <color indexed="51"/>
      </right>
      <top/>
      <bottom style="thin">
        <color indexed="64"/>
      </bottom>
      <diagonal/>
    </border>
    <border>
      <left style="thin">
        <color indexed="64"/>
      </left>
      <right style="medium">
        <color indexed="51"/>
      </right>
      <top style="thin">
        <color indexed="64"/>
      </top>
      <bottom/>
      <diagonal/>
    </border>
    <border>
      <left style="thin">
        <color indexed="64"/>
      </left>
      <right style="medium">
        <color indexed="51"/>
      </right>
      <top/>
      <bottom style="thin">
        <color theme="1"/>
      </bottom>
      <diagonal/>
    </border>
    <border>
      <left style="medium">
        <color indexed="51"/>
      </left>
      <right style="medium">
        <color indexed="51"/>
      </right>
      <top style="thin">
        <color theme="1"/>
      </top>
      <bottom/>
      <diagonal/>
    </border>
    <border>
      <left style="medium">
        <color indexed="51"/>
      </left>
      <right style="medium">
        <color indexed="51"/>
      </right>
      <top/>
      <bottom style="thin">
        <color theme="1"/>
      </bottom>
      <diagonal/>
    </border>
  </borders>
  <cellStyleXfs count="24">
    <xf numFmtId="170" fontId="0" fillId="0" borderId="0"/>
    <xf numFmtId="164" fontId="3" fillId="0" borderId="0" applyFont="0" applyFill="0" applyBorder="0" applyAlignment="0" applyProtection="0"/>
    <xf numFmtId="170" fontId="2" fillId="0" borderId="0" applyFont="0" applyFill="0" applyBorder="0" applyAlignment="0" applyProtection="0"/>
    <xf numFmtId="164" fontId="2" fillId="0" borderId="0" applyFill="0" applyBorder="0" applyAlignment="0" applyProtection="0"/>
    <xf numFmtId="164" fontId="104"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64" fontId="1" fillId="0" borderId="0"/>
    <xf numFmtId="164" fontId="1" fillId="0" borderId="0"/>
    <xf numFmtId="164" fontId="104" fillId="0" borderId="0"/>
    <xf numFmtId="164" fontId="104" fillId="0" borderId="0"/>
    <xf numFmtId="164" fontId="104" fillId="0" borderId="0"/>
    <xf numFmtId="164" fontId="104" fillId="0" borderId="0"/>
    <xf numFmtId="170" fontId="45" fillId="0" borderId="0"/>
    <xf numFmtId="9" fontId="3" fillId="0" borderId="0" applyFont="0" applyFill="0" applyBorder="0" applyAlignment="0" applyProtection="0"/>
    <xf numFmtId="164" fontId="104" fillId="0" borderId="1" applyNumberFormat="0" applyFill="0" applyAlignment="0" applyProtection="0"/>
    <xf numFmtId="164" fontId="1" fillId="0" borderId="1" applyNumberFormat="0" applyFill="0" applyAlignment="0" applyProtection="0"/>
    <xf numFmtId="164" fontId="1" fillId="0" borderId="1" applyNumberFormat="0" applyFill="0" applyAlignment="0" applyProtection="0"/>
    <xf numFmtId="164" fontId="104" fillId="0" borderId="1" applyNumberFormat="0" applyFill="0" applyAlignment="0" applyProtection="0"/>
  </cellStyleXfs>
  <cellXfs count="947">
    <xf numFmtId="170" fontId="0" fillId="0" borderId="0" xfId="0"/>
    <xf numFmtId="164" fontId="9" fillId="0" borderId="0" xfId="4" applyFont="1" applyFill="1" applyAlignment="1">
      <alignment vertical="center"/>
    </xf>
    <xf numFmtId="170" fontId="0" fillId="0" borderId="0" xfId="0" applyBorder="1" applyProtection="1"/>
    <xf numFmtId="170" fontId="0" fillId="0" borderId="0" xfId="0" applyProtection="1"/>
    <xf numFmtId="164" fontId="15" fillId="0" borderId="0" xfId="4" applyFont="1" applyFill="1" applyAlignment="1" applyProtection="1">
      <alignment vertical="center"/>
    </xf>
    <xf numFmtId="170" fontId="14" fillId="0" borderId="0" xfId="0" applyFont="1" applyProtection="1"/>
    <xf numFmtId="164" fontId="12" fillId="0" borderId="0" xfId="15" applyFont="1" applyFill="1" applyAlignment="1" applyProtection="1"/>
    <xf numFmtId="164" fontId="12" fillId="0" borderId="0" xfId="15" applyFont="1" applyFill="1" applyAlignment="1" applyProtection="1">
      <alignment horizontal="center"/>
    </xf>
    <xf numFmtId="164" fontId="12" fillId="0" borderId="0" xfId="15" applyFont="1" applyFill="1" applyAlignment="1" applyProtection="1">
      <alignment horizontal="right"/>
    </xf>
    <xf numFmtId="164" fontId="12" fillId="0" borderId="0" xfId="15" applyFont="1" applyFill="1" applyBorder="1" applyAlignment="1" applyProtection="1">
      <alignment horizontal="center"/>
    </xf>
    <xf numFmtId="164" fontId="104" fillId="0" borderId="0" xfId="14" applyProtection="1"/>
    <xf numFmtId="164" fontId="8" fillId="0" borderId="0" xfId="14" applyFont="1" applyProtection="1"/>
    <xf numFmtId="170" fontId="11" fillId="0" borderId="0" xfId="14" applyNumberFormat="1" applyFont="1" applyBorder="1" applyProtection="1"/>
    <xf numFmtId="164" fontId="104" fillId="0" borderId="0" xfId="16" applyProtection="1"/>
    <xf numFmtId="164" fontId="104" fillId="0" borderId="0" xfId="16" applyFill="1" applyBorder="1" applyAlignment="1" applyProtection="1">
      <alignment horizontal="left"/>
    </xf>
    <xf numFmtId="170" fontId="0" fillId="0" borderId="0" xfId="0" applyFill="1" applyBorder="1" applyProtection="1"/>
    <xf numFmtId="164" fontId="104" fillId="0" borderId="0" xfId="16" applyFill="1" applyBorder="1" applyProtection="1"/>
    <xf numFmtId="170" fontId="8" fillId="0" borderId="0" xfId="0" applyFont="1" applyProtection="1"/>
    <xf numFmtId="164" fontId="8" fillId="0" borderId="0" xfId="16" applyFont="1" applyProtection="1"/>
    <xf numFmtId="170" fontId="0" fillId="0" borderId="0" xfId="0" applyBorder="1"/>
    <xf numFmtId="164" fontId="21" fillId="0" borderId="0" xfId="0" applyNumberFormat="1" applyFont="1"/>
    <xf numFmtId="164" fontId="21" fillId="0" borderId="0" xfId="0" applyNumberFormat="1" applyFont="1" applyAlignment="1">
      <alignment horizontal="right"/>
    </xf>
    <xf numFmtId="166" fontId="21" fillId="0" borderId="0" xfId="1" applyNumberFormat="1" applyFont="1" applyAlignment="1">
      <alignment horizontal="left"/>
    </xf>
    <xf numFmtId="170" fontId="0" fillId="0" borderId="2" xfId="0" applyBorder="1" applyAlignment="1">
      <alignment horizontal="center"/>
    </xf>
    <xf numFmtId="170" fontId="34" fillId="0" borderId="0" xfId="0" applyFont="1"/>
    <xf numFmtId="170" fontId="34" fillId="0" borderId="0" xfId="0" applyFont="1" applyAlignment="1">
      <alignment horizontal="right"/>
    </xf>
    <xf numFmtId="170" fontId="34" fillId="0" borderId="0" xfId="0" applyFont="1" applyBorder="1"/>
    <xf numFmtId="170" fontId="36" fillId="0" borderId="0" xfId="0" applyFont="1"/>
    <xf numFmtId="170" fontId="34" fillId="0" borderId="0" xfId="0" applyNumberFormat="1" applyFont="1" applyBorder="1"/>
    <xf numFmtId="170" fontId="0" fillId="0" borderId="0" xfId="0" applyFill="1"/>
    <xf numFmtId="170" fontId="0" fillId="0" borderId="2" xfId="0" applyBorder="1"/>
    <xf numFmtId="170" fontId="0" fillId="0" borderId="0" xfId="0" applyFill="1" applyBorder="1" applyAlignment="1">
      <alignment horizontal="center"/>
    </xf>
    <xf numFmtId="170" fontId="8" fillId="0" borderId="0" xfId="0" applyFont="1" applyFill="1" applyBorder="1" applyAlignment="1" applyProtection="1">
      <alignment horizontal="center"/>
    </xf>
    <xf numFmtId="170" fontId="16" fillId="0" borderId="0" xfId="0" applyFont="1" applyFill="1" applyAlignment="1" applyProtection="1"/>
    <xf numFmtId="170" fontId="8" fillId="0" borderId="0" xfId="0" applyFont="1" applyAlignment="1" applyProtection="1">
      <alignment horizontal="left" indent="1"/>
    </xf>
    <xf numFmtId="170" fontId="11" fillId="0" borderId="0" xfId="0" applyFont="1" applyAlignment="1" applyProtection="1">
      <alignment horizontal="left" indent="1"/>
    </xf>
    <xf numFmtId="170" fontId="8" fillId="0" borderId="0" xfId="0" applyFont="1" applyFill="1" applyBorder="1" applyProtection="1"/>
    <xf numFmtId="164" fontId="47" fillId="0" borderId="0" xfId="14" applyFont="1" applyProtection="1"/>
    <xf numFmtId="164" fontId="47" fillId="0" borderId="0" xfId="16" applyFont="1" applyProtection="1"/>
    <xf numFmtId="170" fontId="47" fillId="0" borderId="2" xfId="0" applyFont="1" applyFill="1" applyBorder="1" applyAlignment="1" applyProtection="1">
      <alignment horizontal="center"/>
    </xf>
    <xf numFmtId="170" fontId="47" fillId="0" borderId="2" xfId="0" applyFont="1" applyFill="1" applyBorder="1" applyProtection="1"/>
    <xf numFmtId="164" fontId="47" fillId="0" borderId="2" xfId="16" applyFont="1" applyBorder="1" applyProtection="1"/>
    <xf numFmtId="170" fontId="48" fillId="0" borderId="2" xfId="0" applyFont="1" applyBorder="1" applyAlignment="1" applyProtection="1">
      <alignment horizontal="left" indent="1"/>
    </xf>
    <xf numFmtId="170" fontId="49" fillId="0" borderId="2" xfId="0" applyFont="1" applyBorder="1"/>
    <xf numFmtId="170" fontId="50" fillId="2" borderId="2" xfId="0" applyFont="1" applyFill="1" applyBorder="1" applyAlignment="1" applyProtection="1">
      <alignment horizontal="center"/>
    </xf>
    <xf numFmtId="170" fontId="50" fillId="2" borderId="2" xfId="0" applyFont="1" applyFill="1" applyBorder="1" applyAlignment="1">
      <alignment horizontal="center"/>
    </xf>
    <xf numFmtId="170" fontId="26" fillId="0" borderId="0" xfId="0" applyFont="1" applyAlignment="1">
      <alignment horizontal="center"/>
    </xf>
    <xf numFmtId="164" fontId="42" fillId="0" borderId="0" xfId="13" applyFont="1" applyFill="1" applyAlignment="1">
      <alignment vertical="center"/>
    </xf>
    <xf numFmtId="170" fontId="7" fillId="0" borderId="0" xfId="0" applyFont="1"/>
    <xf numFmtId="170" fontId="36" fillId="0" borderId="0" xfId="0" applyFont="1" applyFill="1"/>
    <xf numFmtId="170" fontId="53" fillId="2" borderId="4" xfId="0" applyFont="1" applyFill="1" applyBorder="1" applyAlignment="1">
      <alignment vertical="center"/>
    </xf>
    <xf numFmtId="170" fontId="51" fillId="0" borderId="0" xfId="18" applyNumberFormat="1" applyFont="1" applyFill="1" applyBorder="1" applyAlignment="1">
      <alignment horizontal="center" vertical="center" wrapText="1"/>
    </xf>
    <xf numFmtId="170" fontId="51" fillId="4" borderId="5" xfId="18" applyNumberFormat="1" applyFont="1" applyFill="1" applyBorder="1" applyAlignment="1">
      <alignment horizontal="center" vertical="center" wrapText="1"/>
    </xf>
    <xf numFmtId="170" fontId="54" fillId="0" borderId="0" xfId="0" applyFont="1" applyFill="1" applyBorder="1" applyAlignment="1" applyProtection="1">
      <alignment horizontal="left"/>
    </xf>
    <xf numFmtId="15" fontId="0" fillId="0" borderId="0" xfId="0" applyNumberFormat="1"/>
    <xf numFmtId="170" fontId="0" fillId="0" borderId="2" xfId="0" quotePrefix="1" applyNumberFormat="1" applyBorder="1"/>
    <xf numFmtId="164" fontId="24" fillId="0" borderId="6" xfId="23" applyFont="1" applyBorder="1" applyAlignment="1" applyProtection="1"/>
    <xf numFmtId="164" fontId="104" fillId="0" borderId="6" xfId="23" applyFill="1" applyBorder="1" applyAlignment="1" applyProtection="1">
      <alignment vertical="center"/>
    </xf>
    <xf numFmtId="164" fontId="3" fillId="0" borderId="6" xfId="23" applyFont="1" applyFill="1" applyBorder="1" applyAlignment="1" applyProtection="1">
      <alignment vertical="center"/>
    </xf>
    <xf numFmtId="164" fontId="24" fillId="0" borderId="0" xfId="23" applyFont="1" applyBorder="1" applyAlignment="1" applyProtection="1"/>
    <xf numFmtId="164" fontId="104" fillId="0" borderId="0" xfId="23" applyFill="1" applyBorder="1" applyAlignment="1" applyProtection="1">
      <alignment vertical="center"/>
    </xf>
    <xf numFmtId="164" fontId="3" fillId="0" borderId="0" xfId="23" applyFont="1" applyFill="1" applyBorder="1" applyAlignment="1" applyProtection="1">
      <alignment vertical="center"/>
    </xf>
    <xf numFmtId="170" fontId="25" fillId="0" borderId="7" xfId="0" applyFont="1" applyBorder="1" applyAlignment="1" applyProtection="1">
      <alignment horizontal="center"/>
    </xf>
    <xf numFmtId="15" fontId="25" fillId="0" borderId="8" xfId="0" applyNumberFormat="1" applyFont="1" applyBorder="1" applyAlignment="1" applyProtection="1">
      <alignment horizontal="center"/>
    </xf>
    <xf numFmtId="170" fontId="25" fillId="0" borderId="9" xfId="0" applyFont="1" applyBorder="1" applyAlignment="1" applyProtection="1">
      <alignment horizontal="center"/>
    </xf>
    <xf numFmtId="166" fontId="8" fillId="0" borderId="0" xfId="0" applyNumberFormat="1" applyFont="1" applyFill="1" applyBorder="1" applyAlignment="1" applyProtection="1"/>
    <xf numFmtId="10" fontId="4" fillId="0" borderId="0" xfId="19" applyNumberFormat="1" applyFont="1" applyFill="1" applyBorder="1" applyAlignment="1" applyProtection="1">
      <alignment horizontal="center"/>
    </xf>
    <xf numFmtId="170" fontId="4" fillId="0" borderId="0" xfId="0" applyFont="1" applyFill="1" applyBorder="1" applyAlignment="1" applyProtection="1"/>
    <xf numFmtId="170" fontId="19" fillId="0" borderId="0" xfId="0" applyFont="1" applyFill="1" applyBorder="1" applyAlignment="1" applyProtection="1">
      <alignment horizontal="centerContinuous"/>
    </xf>
    <xf numFmtId="170" fontId="0" fillId="0" borderId="0" xfId="0" applyFill="1" applyBorder="1" applyAlignment="1" applyProtection="1">
      <alignment horizontal="centerContinuous"/>
    </xf>
    <xf numFmtId="15" fontId="19" fillId="0" borderId="10" xfId="0" applyNumberFormat="1" applyFont="1" applyFill="1" applyBorder="1" applyAlignment="1" applyProtection="1"/>
    <xf numFmtId="170" fontId="19" fillId="0" borderId="10" xfId="0" applyFont="1" applyFill="1" applyBorder="1" applyProtection="1"/>
    <xf numFmtId="170" fontId="19" fillId="0" borderId="11" xfId="0" applyFont="1" applyFill="1" applyBorder="1" applyProtection="1"/>
    <xf numFmtId="164" fontId="31" fillId="0" borderId="12" xfId="23" applyFont="1" applyBorder="1" applyAlignment="1" applyProtection="1"/>
    <xf numFmtId="164" fontId="32" fillId="0" borderId="12" xfId="23" applyFont="1" applyFill="1" applyBorder="1" applyAlignment="1" applyProtection="1">
      <alignment vertical="center"/>
    </xf>
    <xf numFmtId="164" fontId="32" fillId="0" borderId="12" xfId="23" applyFont="1" applyFill="1" applyBorder="1" applyAlignment="1" applyProtection="1">
      <alignment horizontal="center" vertical="center"/>
    </xf>
    <xf numFmtId="164" fontId="32" fillId="0" borderId="0" xfId="23" applyFont="1" applyFill="1" applyBorder="1" applyAlignment="1" applyProtection="1">
      <alignment vertical="center"/>
    </xf>
    <xf numFmtId="164" fontId="31" fillId="0" borderId="0" xfId="23" applyFont="1" applyBorder="1" applyAlignment="1" applyProtection="1"/>
    <xf numFmtId="164" fontId="33" fillId="0" borderId="0" xfId="23" applyFont="1" applyFill="1" applyBorder="1" applyAlignment="1" applyProtection="1">
      <alignment vertical="center"/>
    </xf>
    <xf numFmtId="170" fontId="7" fillId="0" borderId="0" xfId="0" applyFont="1" applyBorder="1" applyAlignment="1" applyProtection="1">
      <alignment horizontal="center"/>
    </xf>
    <xf numFmtId="170" fontId="7" fillId="0" borderId="13" xfId="0" applyFont="1" applyBorder="1" applyAlignment="1" applyProtection="1">
      <alignment horizontal="center"/>
    </xf>
    <xf numFmtId="170" fontId="7" fillId="0" borderId="13" xfId="0" applyFont="1" applyBorder="1" applyAlignment="1" applyProtection="1">
      <alignment horizontal="center" wrapText="1"/>
    </xf>
    <xf numFmtId="170" fontId="7" fillId="0" borderId="14" xfId="0" applyFont="1" applyBorder="1" applyAlignment="1" applyProtection="1">
      <alignment horizontal="center"/>
    </xf>
    <xf numFmtId="170" fontId="7" fillId="0" borderId="15" xfId="0" applyFont="1" applyBorder="1" applyAlignment="1" applyProtection="1">
      <alignment horizontal="center"/>
    </xf>
    <xf numFmtId="170" fontId="7" fillId="0" borderId="16" xfId="0" applyFont="1" applyBorder="1" applyAlignment="1" applyProtection="1">
      <alignment horizontal="center"/>
    </xf>
    <xf numFmtId="1" fontId="14" fillId="3" borderId="17" xfId="0" applyNumberFormat="1" applyFont="1" applyFill="1" applyBorder="1" applyAlignment="1" applyProtection="1">
      <alignment horizontal="center"/>
    </xf>
    <xf numFmtId="170" fontId="0" fillId="0" borderId="18" xfId="0" applyBorder="1" applyProtection="1"/>
    <xf numFmtId="170" fontId="0" fillId="0" borderId="14" xfId="0" applyBorder="1" applyAlignment="1" applyProtection="1">
      <alignment horizontal="center"/>
    </xf>
    <xf numFmtId="170" fontId="0" fillId="0" borderId="16" xfId="0" applyBorder="1" applyAlignment="1" applyProtection="1">
      <alignment horizontal="center"/>
    </xf>
    <xf numFmtId="170" fontId="25" fillId="0" borderId="13" xfId="0" applyFont="1" applyBorder="1" applyAlignment="1" applyProtection="1">
      <alignment horizontal="center"/>
    </xf>
    <xf numFmtId="170" fontId="25" fillId="0" borderId="14" xfId="0" applyFont="1" applyBorder="1" applyAlignment="1" applyProtection="1">
      <alignment horizontal="center"/>
    </xf>
    <xf numFmtId="170" fontId="0" fillId="0" borderId="0" xfId="0" applyFill="1" applyBorder="1" applyAlignment="1" applyProtection="1">
      <alignment horizontal="center" wrapText="1"/>
    </xf>
    <xf numFmtId="164" fontId="72" fillId="0" borderId="0" xfId="1" applyFont="1" applyFill="1" applyBorder="1" applyProtection="1"/>
    <xf numFmtId="164" fontId="0" fillId="0" borderId="0" xfId="0" applyNumberFormat="1" applyFill="1" applyBorder="1" applyProtection="1"/>
    <xf numFmtId="164" fontId="46" fillId="0" borderId="19" xfId="23" applyFont="1" applyFill="1" applyBorder="1" applyAlignment="1" applyProtection="1"/>
    <xf numFmtId="164" fontId="32" fillId="0" borderId="19" xfId="23" applyFont="1" applyFill="1" applyBorder="1" applyAlignment="1" applyProtection="1">
      <alignment vertical="center"/>
    </xf>
    <xf numFmtId="164" fontId="21" fillId="0" borderId="0" xfId="0" applyNumberFormat="1" applyFont="1" applyAlignment="1" applyProtection="1">
      <alignment horizontal="right"/>
    </xf>
    <xf numFmtId="166" fontId="21" fillId="0" borderId="0" xfId="1" applyNumberFormat="1" applyFont="1" applyAlignment="1" applyProtection="1">
      <alignment horizontal="left"/>
    </xf>
    <xf numFmtId="15" fontId="21" fillId="0" borderId="0" xfId="0" applyNumberFormat="1" applyFont="1" applyAlignment="1" applyProtection="1">
      <alignment horizontal="left"/>
    </xf>
    <xf numFmtId="164" fontId="21" fillId="0" borderId="0" xfId="0" applyNumberFormat="1" applyFont="1" applyProtection="1"/>
    <xf numFmtId="164" fontId="21" fillId="0" borderId="0" xfId="0" applyNumberFormat="1" applyFont="1" applyBorder="1" applyProtection="1"/>
    <xf numFmtId="164" fontId="21" fillId="0" borderId="0" xfId="0" applyNumberFormat="1" applyFont="1" applyBorder="1" applyAlignment="1" applyProtection="1">
      <alignment horizontal="right"/>
    </xf>
    <xf numFmtId="166" fontId="21" fillId="0" borderId="0" xfId="1" applyNumberFormat="1" applyFont="1" applyBorder="1" applyAlignment="1" applyProtection="1">
      <alignment horizontal="left"/>
    </xf>
    <xf numFmtId="170" fontId="12" fillId="0" borderId="0" xfId="0" applyFont="1" applyBorder="1" applyAlignment="1" applyProtection="1">
      <alignment horizontal="center"/>
    </xf>
    <xf numFmtId="170" fontId="12" fillId="0" borderId="0" xfId="0" applyFont="1" applyAlignment="1" applyProtection="1">
      <alignment horizontal="center"/>
    </xf>
    <xf numFmtId="170" fontId="0" fillId="0" borderId="14" xfId="0" applyBorder="1" applyAlignment="1" applyProtection="1">
      <alignment horizontal="center" wrapText="1"/>
    </xf>
    <xf numFmtId="170" fontId="34" fillId="0" borderId="0" xfId="0" applyFont="1" applyProtection="1"/>
    <xf numFmtId="170" fontId="34" fillId="0" borderId="0" xfId="0" applyFont="1" applyAlignment="1" applyProtection="1">
      <alignment horizontal="right"/>
    </xf>
    <xf numFmtId="170" fontId="34" fillId="0" borderId="0" xfId="0" applyFont="1" applyBorder="1" applyProtection="1"/>
    <xf numFmtId="170" fontId="35" fillId="0" borderId="0" xfId="0" applyFont="1" applyBorder="1" applyAlignment="1" applyProtection="1">
      <alignment horizontal="left" vertical="center"/>
    </xf>
    <xf numFmtId="170" fontId="35" fillId="0" borderId="0" xfId="0" applyFont="1" applyBorder="1" applyAlignment="1" applyProtection="1">
      <alignment horizontal="left"/>
    </xf>
    <xf numFmtId="167" fontId="35" fillId="0" borderId="0" xfId="0" applyNumberFormat="1" applyFont="1" applyBorder="1" applyAlignment="1" applyProtection="1">
      <alignment horizontal="left"/>
    </xf>
    <xf numFmtId="170" fontId="36" fillId="0" borderId="0" xfId="0" applyFont="1" applyProtection="1"/>
    <xf numFmtId="170" fontId="37" fillId="0" borderId="0" xfId="0" applyFont="1" applyFill="1" applyBorder="1" applyAlignment="1" applyProtection="1">
      <alignment horizontal="right"/>
    </xf>
    <xf numFmtId="3" fontId="40" fillId="0" borderId="0" xfId="0" applyNumberFormat="1" applyFont="1" applyFill="1" applyBorder="1" applyAlignment="1" applyProtection="1">
      <alignment horizontal="right" vertical="center"/>
    </xf>
    <xf numFmtId="170" fontId="38" fillId="3" borderId="0" xfId="0" applyNumberFormat="1" applyFont="1" applyFill="1" applyBorder="1" applyAlignment="1" applyProtection="1">
      <alignment horizontal="right"/>
    </xf>
    <xf numFmtId="170" fontId="39" fillId="3" borderId="0" xfId="0" applyFont="1" applyFill="1" applyBorder="1" applyAlignment="1" applyProtection="1">
      <alignment horizontal="center" vertical="center"/>
    </xf>
    <xf numFmtId="170" fontId="43" fillId="0" borderId="0" xfId="0" applyFont="1" applyFill="1" applyBorder="1" applyAlignment="1" applyProtection="1">
      <alignment horizontal="center"/>
    </xf>
    <xf numFmtId="170" fontId="38" fillId="0" borderId="0" xfId="0" applyNumberFormat="1" applyFont="1" applyFill="1" applyBorder="1" applyAlignment="1" applyProtection="1">
      <alignment horizontal="right"/>
    </xf>
    <xf numFmtId="170" fontId="47" fillId="0" borderId="0" xfId="0" applyFont="1" applyFill="1" applyBorder="1" applyAlignment="1" applyProtection="1"/>
    <xf numFmtId="170" fontId="21" fillId="0" borderId="0" xfId="0" applyNumberFormat="1" applyFont="1" applyAlignment="1" applyProtection="1">
      <alignment horizontal="center"/>
    </xf>
    <xf numFmtId="170" fontId="21" fillId="0" borderId="0" xfId="0" applyFont="1" applyAlignment="1" applyProtection="1">
      <alignment horizontal="center"/>
    </xf>
    <xf numFmtId="15" fontId="21" fillId="0" borderId="0" xfId="0" applyNumberFormat="1" applyFont="1" applyAlignment="1" applyProtection="1">
      <alignment horizontal="center"/>
    </xf>
    <xf numFmtId="164" fontId="0" fillId="0" borderId="0" xfId="0" applyNumberFormat="1" applyAlignment="1" applyProtection="1">
      <alignment horizontal="right"/>
    </xf>
    <xf numFmtId="3" fontId="0" fillId="0" borderId="0" xfId="0" applyNumberFormat="1" applyProtection="1"/>
    <xf numFmtId="164" fontId="30" fillId="0" borderId="0" xfId="0" applyNumberFormat="1" applyFont="1" applyBorder="1" applyProtection="1"/>
    <xf numFmtId="3" fontId="8" fillId="3" borderId="0" xfId="0" applyNumberFormat="1" applyFont="1" applyFill="1" applyProtection="1"/>
    <xf numFmtId="165" fontId="8" fillId="3" borderId="0" xfId="0" applyNumberFormat="1" applyFont="1" applyFill="1" applyProtection="1"/>
    <xf numFmtId="170" fontId="21" fillId="0" borderId="23" xfId="0" applyFont="1" applyFill="1" applyBorder="1" applyAlignment="1" applyProtection="1">
      <alignment horizontal="center" wrapText="1"/>
    </xf>
    <xf numFmtId="170" fontId="0" fillId="0" borderId="24" xfId="0" applyBorder="1" applyProtection="1"/>
    <xf numFmtId="164" fontId="10" fillId="0" borderId="0" xfId="12" applyFont="1" applyFill="1" applyAlignment="1" applyProtection="1">
      <alignment horizontal="center" vertical="center"/>
    </xf>
    <xf numFmtId="164" fontId="13" fillId="0" borderId="25" xfId="20" applyFont="1" applyBorder="1" applyAlignment="1" applyProtection="1">
      <alignment horizontal="right"/>
    </xf>
    <xf numFmtId="164" fontId="62" fillId="0" borderId="0" xfId="0" applyNumberFormat="1" applyFont="1"/>
    <xf numFmtId="170" fontId="62" fillId="0" borderId="0" xfId="0" applyFont="1"/>
    <xf numFmtId="164" fontId="104" fillId="0" borderId="0" xfId="17" applyFill="1" applyBorder="1" applyAlignment="1" applyProtection="1">
      <alignment horizontal="center"/>
    </xf>
    <xf numFmtId="170" fontId="27" fillId="0" borderId="0" xfId="0" quotePrefix="1" applyFont="1" applyProtection="1"/>
    <xf numFmtId="164" fontId="64" fillId="0" borderId="19" xfId="23" applyFont="1" applyFill="1" applyBorder="1" applyAlignment="1" applyProtection="1"/>
    <xf numFmtId="164" fontId="5" fillId="0" borderId="19" xfId="23" applyFont="1" applyFill="1" applyBorder="1" applyAlignment="1" applyProtection="1">
      <alignment vertical="center"/>
    </xf>
    <xf numFmtId="170" fontId="60" fillId="0" borderId="27" xfId="0" applyFont="1" applyBorder="1" applyAlignment="1">
      <alignment vertical="center" wrapText="1"/>
    </xf>
    <xf numFmtId="170" fontId="2" fillId="0" borderId="30" xfId="0" applyFont="1" applyFill="1" applyBorder="1" applyAlignment="1" applyProtection="1">
      <alignment horizontal="center"/>
    </xf>
    <xf numFmtId="170" fontId="1" fillId="0" borderId="0" xfId="0" applyFont="1"/>
    <xf numFmtId="170" fontId="67" fillId="0" borderId="0" xfId="0" applyFont="1"/>
    <xf numFmtId="164" fontId="69" fillId="0" borderId="19" xfId="23" applyFont="1" applyFill="1" applyBorder="1" applyAlignment="1" applyProtection="1">
      <alignment vertical="center"/>
    </xf>
    <xf numFmtId="170" fontId="68" fillId="0" borderId="0" xfId="0" applyFont="1" applyFill="1"/>
    <xf numFmtId="15" fontId="29" fillId="0" borderId="0" xfId="0" applyNumberFormat="1" applyFont="1" applyAlignment="1" applyProtection="1">
      <alignment horizontal="center"/>
    </xf>
    <xf numFmtId="166" fontId="0" fillId="0" borderId="0" xfId="0" applyNumberFormat="1" applyProtection="1"/>
    <xf numFmtId="170" fontId="74" fillId="0" borderId="0" xfId="0" applyFont="1" applyFill="1" applyBorder="1" applyAlignment="1" applyProtection="1">
      <alignment horizontal="right"/>
    </xf>
    <xf numFmtId="164" fontId="75" fillId="0" borderId="6" xfId="23" applyFont="1" applyFill="1" applyBorder="1" applyAlignment="1" applyProtection="1">
      <alignment horizontal="left" vertical="center"/>
    </xf>
    <xf numFmtId="170" fontId="76" fillId="0" borderId="0" xfId="0" applyFont="1" applyFill="1" applyBorder="1" applyProtection="1"/>
    <xf numFmtId="170" fontId="74" fillId="0" borderId="0" xfId="0" applyFont="1" applyBorder="1" applyProtection="1"/>
    <xf numFmtId="3" fontId="4" fillId="0" borderId="0" xfId="0" applyNumberFormat="1" applyFont="1" applyAlignment="1" applyProtection="1">
      <alignment horizontal="right"/>
    </xf>
    <xf numFmtId="15" fontId="73" fillId="0" borderId="0" xfId="0" applyNumberFormat="1" applyFont="1" applyFill="1" applyBorder="1" applyAlignment="1" applyProtection="1">
      <alignment horizontal="left"/>
    </xf>
    <xf numFmtId="170" fontId="79" fillId="0" borderId="0" xfId="0" applyFont="1" applyFill="1" applyBorder="1" applyAlignment="1" applyProtection="1">
      <alignment horizontal="center" wrapText="1"/>
    </xf>
    <xf numFmtId="170" fontId="0" fillId="0" borderId="0" xfId="0" quotePrefix="1" applyProtection="1"/>
    <xf numFmtId="15" fontId="25" fillId="0" borderId="32" xfId="0" applyNumberFormat="1" applyFont="1" applyBorder="1" applyAlignment="1" applyProtection="1">
      <alignment horizontal="center"/>
    </xf>
    <xf numFmtId="15" fontId="22" fillId="0" borderId="0" xfId="0" applyNumberFormat="1" applyFont="1" applyFill="1" applyBorder="1" applyAlignment="1" applyProtection="1">
      <alignment horizontal="center" vertical="center" wrapText="1"/>
    </xf>
    <xf numFmtId="164" fontId="84" fillId="0" borderId="0" xfId="4" applyFont="1" applyFill="1" applyAlignment="1" applyProtection="1">
      <alignment vertical="center"/>
    </xf>
    <xf numFmtId="170" fontId="85" fillId="0" borderId="0" xfId="0" applyFont="1" applyProtection="1"/>
    <xf numFmtId="170" fontId="85" fillId="0" borderId="0" xfId="0" applyFont="1" applyBorder="1" applyProtection="1"/>
    <xf numFmtId="170" fontId="0" fillId="0" borderId="0" xfId="0" applyBorder="1" applyAlignment="1" applyProtection="1"/>
    <xf numFmtId="170" fontId="0" fillId="0" borderId="0" xfId="0" applyAlignment="1" applyProtection="1"/>
    <xf numFmtId="170" fontId="71" fillId="0" borderId="0" xfId="0" applyFont="1" applyFill="1" applyBorder="1" applyAlignment="1" applyProtection="1">
      <alignment horizontal="center" vertical="center"/>
    </xf>
    <xf numFmtId="170" fontId="4" fillId="0" borderId="33" xfId="0" applyFont="1" applyBorder="1" applyAlignment="1" applyProtection="1"/>
    <xf numFmtId="170" fontId="4" fillId="0" borderId="34" xfId="0" applyFont="1" applyBorder="1" applyAlignment="1" applyProtection="1"/>
    <xf numFmtId="170" fontId="18" fillId="0" borderId="35" xfId="0" applyFont="1" applyBorder="1" applyAlignment="1" applyProtection="1">
      <alignment vertical="distributed"/>
    </xf>
    <xf numFmtId="15" fontId="20" fillId="0" borderId="36" xfId="0" applyNumberFormat="1" applyFont="1" applyFill="1" applyBorder="1" applyAlignment="1" applyProtection="1">
      <alignment horizontal="center" vertical="center" wrapText="1"/>
    </xf>
    <xf numFmtId="170" fontId="19" fillId="0" borderId="37" xfId="0" applyFont="1" applyFill="1" applyBorder="1" applyAlignment="1" applyProtection="1"/>
    <xf numFmtId="15" fontId="19" fillId="0" borderId="2" xfId="0" applyNumberFormat="1" applyFont="1" applyFill="1" applyBorder="1" applyAlignment="1" applyProtection="1">
      <alignment horizontal="center"/>
    </xf>
    <xf numFmtId="15" fontId="19" fillId="0" borderId="38" xfId="0" applyNumberFormat="1" applyFont="1" applyFill="1" applyBorder="1" applyAlignment="1" applyProtection="1">
      <alignment horizontal="center"/>
    </xf>
    <xf numFmtId="15" fontId="81" fillId="0" borderId="24" xfId="0" applyNumberFormat="1" applyFont="1" applyFill="1" applyBorder="1" applyAlignment="1" applyProtection="1">
      <alignment horizontal="center" wrapText="1"/>
    </xf>
    <xf numFmtId="15" fontId="81" fillId="0" borderId="39" xfId="0" applyNumberFormat="1" applyFont="1" applyFill="1" applyBorder="1" applyAlignment="1" applyProtection="1">
      <alignment horizontal="center" wrapText="1"/>
    </xf>
    <xf numFmtId="170" fontId="73" fillId="0" borderId="0" xfId="0" applyFont="1" applyFill="1" applyBorder="1" applyAlignment="1" applyProtection="1">
      <alignment horizontal="center"/>
    </xf>
    <xf numFmtId="170" fontId="78" fillId="0" borderId="0" xfId="0" applyFont="1" applyFill="1" applyBorder="1" applyAlignment="1" applyProtection="1">
      <alignment horizontal="center" vertical="center"/>
    </xf>
    <xf numFmtId="170" fontId="0" fillId="0" borderId="40" xfId="0" applyBorder="1" applyAlignment="1" applyProtection="1">
      <alignment horizontal="center"/>
    </xf>
    <xf numFmtId="170" fontId="0" fillId="0" borderId="24" xfId="0" applyFill="1" applyBorder="1" applyAlignment="1" applyProtection="1">
      <alignment horizontal="center"/>
    </xf>
    <xf numFmtId="170" fontId="1" fillId="0" borderId="23" xfId="0" applyFont="1" applyFill="1" applyBorder="1" applyAlignment="1" applyProtection="1">
      <alignment horizontal="center" wrapText="1"/>
    </xf>
    <xf numFmtId="170" fontId="1" fillId="0" borderId="39" xfId="0" applyFont="1" applyFill="1" applyBorder="1" applyAlignment="1" applyProtection="1">
      <alignment horizontal="center" wrapText="1"/>
    </xf>
    <xf numFmtId="170" fontId="51" fillId="0" borderId="41" xfId="0" applyFont="1" applyFill="1" applyBorder="1" applyAlignment="1" applyProtection="1">
      <alignment horizontal="center" vertical="center"/>
    </xf>
    <xf numFmtId="170" fontId="17" fillId="0" borderId="0" xfId="0" applyFont="1" applyProtection="1"/>
    <xf numFmtId="164" fontId="81" fillId="0" borderId="0" xfId="0" applyNumberFormat="1" applyFont="1" applyBorder="1" applyAlignment="1" applyProtection="1">
      <alignment vertical="center" wrapText="1"/>
    </xf>
    <xf numFmtId="170" fontId="81" fillId="0" borderId="0" xfId="0" applyFont="1" applyFill="1" applyBorder="1" applyAlignment="1" applyProtection="1">
      <alignment wrapText="1"/>
    </xf>
    <xf numFmtId="164" fontId="13" fillId="0" borderId="25" xfId="20" applyFont="1" applyFill="1" applyBorder="1" applyAlignment="1" applyProtection="1">
      <alignment horizontal="right"/>
    </xf>
    <xf numFmtId="170" fontId="27" fillId="0" borderId="42" xfId="0" applyFont="1" applyFill="1" applyBorder="1" applyAlignment="1" applyProtection="1">
      <alignment horizontal="center" wrapText="1"/>
    </xf>
    <xf numFmtId="170" fontId="21" fillId="0" borderId="0" xfId="0" applyFont="1" applyFill="1" applyBorder="1" applyAlignment="1" applyProtection="1">
      <alignment wrapText="1"/>
    </xf>
    <xf numFmtId="9" fontId="83" fillId="8" borderId="2" xfId="19" applyFont="1" applyFill="1" applyBorder="1" applyAlignment="1" applyProtection="1">
      <alignment horizontal="center" vertical="center" wrapText="1"/>
    </xf>
    <xf numFmtId="164" fontId="21" fillId="0" borderId="0" xfId="0" applyNumberFormat="1" applyFont="1" applyAlignment="1" applyProtection="1"/>
    <xf numFmtId="170" fontId="0" fillId="0" borderId="19" xfId="0" applyFill="1" applyBorder="1" applyProtection="1"/>
    <xf numFmtId="164" fontId="86" fillId="0" borderId="19" xfId="23" applyFont="1" applyFill="1" applyBorder="1" applyAlignment="1" applyProtection="1">
      <alignment vertical="center"/>
    </xf>
    <xf numFmtId="170" fontId="0" fillId="0" borderId="19" xfId="0" applyBorder="1" applyProtection="1"/>
    <xf numFmtId="9" fontId="8" fillId="0" borderId="0" xfId="19" applyFont="1" applyProtection="1"/>
    <xf numFmtId="14" fontId="17" fillId="6" borderId="25" xfId="20" applyNumberFormat="1" applyFont="1" applyFill="1" applyBorder="1" applyAlignment="1" applyProtection="1">
      <alignment horizontal="center" vertical="center"/>
    </xf>
    <xf numFmtId="164" fontId="17" fillId="6" borderId="25" xfId="20" applyFont="1" applyFill="1" applyBorder="1" applyAlignment="1" applyProtection="1">
      <alignment horizontal="center" vertical="center"/>
    </xf>
    <xf numFmtId="170" fontId="17" fillId="6" borderId="25" xfId="20" applyNumberFormat="1" applyFont="1" applyFill="1" applyBorder="1" applyAlignment="1" applyProtection="1">
      <alignment horizontal="center"/>
    </xf>
    <xf numFmtId="3" fontId="17" fillId="6" borderId="25" xfId="20" applyNumberFormat="1" applyFont="1" applyFill="1" applyBorder="1" applyAlignment="1" applyProtection="1">
      <alignment horizontal="center"/>
    </xf>
    <xf numFmtId="164" fontId="62" fillId="0" borderId="0" xfId="0" applyNumberFormat="1" applyFont="1" applyAlignment="1"/>
    <xf numFmtId="170" fontId="27" fillId="0" borderId="23" xfId="0" applyFont="1" applyFill="1" applyBorder="1" applyAlignment="1" applyProtection="1">
      <alignment horizontal="center" wrapText="1"/>
    </xf>
    <xf numFmtId="49" fontId="0" fillId="0" borderId="0" xfId="0" applyNumberFormat="1" applyProtection="1"/>
    <xf numFmtId="3" fontId="0" fillId="0" borderId="2" xfId="0" applyNumberFormat="1" applyFill="1" applyBorder="1" applyProtection="1"/>
    <xf numFmtId="4" fontId="0" fillId="0" borderId="0" xfId="0" applyNumberFormat="1" applyProtection="1"/>
    <xf numFmtId="170" fontId="0" fillId="0" borderId="50" xfId="0" applyFill="1" applyBorder="1" applyAlignment="1" applyProtection="1">
      <alignment horizontal="center"/>
    </xf>
    <xf numFmtId="164" fontId="93" fillId="0" borderId="0" xfId="16" applyFont="1" applyFill="1" applyBorder="1" applyProtection="1"/>
    <xf numFmtId="3" fontId="21" fillId="9" borderId="45" xfId="0" applyNumberFormat="1" applyFont="1" applyFill="1" applyBorder="1" applyAlignment="1" applyProtection="1">
      <protection locked="0"/>
    </xf>
    <xf numFmtId="3" fontId="21" fillId="9" borderId="51" xfId="0" applyNumberFormat="1" applyFont="1" applyFill="1" applyBorder="1" applyAlignment="1" applyProtection="1">
      <protection locked="0"/>
    </xf>
    <xf numFmtId="3" fontId="21" fillId="0" borderId="2" xfId="0" applyNumberFormat="1" applyFont="1" applyFill="1" applyBorder="1" applyAlignment="1" applyProtection="1"/>
    <xf numFmtId="3" fontId="21" fillId="0" borderId="52" xfId="0" applyNumberFormat="1" applyFont="1" applyFill="1" applyBorder="1" applyAlignment="1" applyProtection="1"/>
    <xf numFmtId="170" fontId="0" fillId="9" borderId="2" xfId="0" applyFill="1" applyBorder="1" applyProtection="1"/>
    <xf numFmtId="170" fontId="0" fillId="6" borderId="2" xfId="0" applyFill="1" applyBorder="1" applyProtection="1"/>
    <xf numFmtId="49" fontId="18" fillId="0" borderId="57" xfId="0" applyNumberFormat="1" applyFont="1" applyFill="1" applyBorder="1" applyAlignment="1" applyProtection="1">
      <alignment vertical="center" wrapText="1"/>
    </xf>
    <xf numFmtId="170" fontId="63" fillId="0" borderId="58" xfId="0" applyNumberFormat="1" applyFont="1" applyFill="1" applyBorder="1" applyAlignment="1" applyProtection="1">
      <alignment horizontal="center" vertical="center" wrapText="1"/>
    </xf>
    <xf numFmtId="170" fontId="63" fillId="0" borderId="59" xfId="0" applyNumberFormat="1" applyFont="1" applyFill="1" applyBorder="1" applyAlignment="1" applyProtection="1">
      <alignment horizontal="center" vertical="center" wrapText="1"/>
    </xf>
    <xf numFmtId="170" fontId="0" fillId="0" borderId="61" xfId="0" applyBorder="1" applyAlignment="1" applyProtection="1"/>
    <xf numFmtId="170" fontId="0" fillId="0" borderId="2" xfId="0" applyNumberFormat="1" applyFill="1" applyBorder="1" applyProtection="1"/>
    <xf numFmtId="164" fontId="104" fillId="9" borderId="62" xfId="23" applyFill="1" applyBorder="1" applyAlignment="1" applyProtection="1">
      <alignment vertical="center"/>
    </xf>
    <xf numFmtId="170" fontId="0" fillId="0" borderId="12" xfId="0" applyBorder="1" applyProtection="1"/>
    <xf numFmtId="164" fontId="32" fillId="6" borderId="64" xfId="23" applyFont="1" applyFill="1" applyBorder="1" applyAlignment="1" applyProtection="1">
      <alignment horizontal="center" vertical="center"/>
    </xf>
    <xf numFmtId="164" fontId="32" fillId="0" borderId="65" xfId="23" applyFont="1" applyFill="1" applyBorder="1" applyAlignment="1" applyProtection="1">
      <alignment vertical="center"/>
    </xf>
    <xf numFmtId="170" fontId="0" fillId="0" borderId="66" xfId="0" applyNumberFormat="1" applyFill="1" applyBorder="1"/>
    <xf numFmtId="15" fontId="20" fillId="0" borderId="67" xfId="0" applyNumberFormat="1" applyFont="1" applyFill="1" applyBorder="1" applyAlignment="1" applyProtection="1">
      <alignment horizontal="center" vertical="center" wrapText="1"/>
    </xf>
    <xf numFmtId="170" fontId="0" fillId="0" borderId="2" xfId="0" quotePrefix="1" applyNumberFormat="1" applyBorder="1" applyAlignment="1">
      <alignment horizontal="center"/>
    </xf>
    <xf numFmtId="168" fontId="0" fillId="0" borderId="2" xfId="0" applyNumberFormat="1" applyFill="1" applyBorder="1" applyAlignment="1" applyProtection="1">
      <alignment horizontal="center"/>
    </xf>
    <xf numFmtId="164" fontId="47" fillId="0" borderId="2" xfId="16" applyFont="1" applyBorder="1" applyAlignment="1" applyProtection="1">
      <alignment horizontal="center"/>
    </xf>
    <xf numFmtId="170" fontId="47" fillId="0" borderId="2" xfId="0" applyFont="1" applyBorder="1" applyAlignment="1" applyProtection="1">
      <alignment horizontal="center"/>
    </xf>
    <xf numFmtId="170" fontId="45" fillId="10" borderId="2" xfId="0" applyFont="1" applyFill="1" applyBorder="1" applyAlignment="1" applyProtection="1">
      <alignment horizontal="center"/>
    </xf>
    <xf numFmtId="170" fontId="45" fillId="11" borderId="2" xfId="0" applyFont="1" applyFill="1" applyBorder="1" applyAlignment="1" applyProtection="1">
      <alignment horizontal="center"/>
    </xf>
    <xf numFmtId="170" fontId="0" fillId="0" borderId="44" xfId="0" applyNumberFormat="1" applyFill="1" applyBorder="1" applyProtection="1"/>
    <xf numFmtId="3" fontId="0" fillId="0" borderId="44" xfId="0" applyNumberFormat="1" applyFill="1" applyBorder="1" applyProtection="1"/>
    <xf numFmtId="168" fontId="0" fillId="0" borderId="44" xfId="0" applyNumberFormat="1" applyFill="1" applyBorder="1" applyAlignment="1" applyProtection="1">
      <alignment horizontal="center"/>
    </xf>
    <xf numFmtId="170" fontId="0" fillId="0" borderId="81" xfId="0" applyBorder="1" applyAlignment="1" applyProtection="1">
      <alignment horizontal="center" wrapText="1"/>
    </xf>
    <xf numFmtId="168" fontId="0" fillId="0" borderId="82" xfId="0" applyNumberFormat="1" applyFill="1" applyBorder="1" applyProtection="1"/>
    <xf numFmtId="168" fontId="0" fillId="0" borderId="83" xfId="0" applyNumberFormat="1" applyFill="1" applyBorder="1" applyProtection="1"/>
    <xf numFmtId="170" fontId="100" fillId="0" borderId="2" xfId="0" applyFont="1" applyFill="1" applyBorder="1" applyAlignment="1" applyProtection="1">
      <alignment horizontal="center"/>
    </xf>
    <xf numFmtId="170" fontId="100" fillId="10" borderId="2" xfId="0" applyFont="1" applyFill="1" applyBorder="1" applyAlignment="1" applyProtection="1">
      <alignment horizontal="center"/>
    </xf>
    <xf numFmtId="164" fontId="101" fillId="0" borderId="12" xfId="23" applyFont="1" applyFill="1" applyBorder="1" applyAlignment="1" applyProtection="1">
      <alignment vertical="center"/>
    </xf>
    <xf numFmtId="164" fontId="26" fillId="0" borderId="0" xfId="0" applyNumberFormat="1" applyFont="1" applyAlignment="1" applyProtection="1">
      <alignment horizontal="center"/>
    </xf>
    <xf numFmtId="170" fontId="51" fillId="0" borderId="84" xfId="0" applyFont="1" applyFill="1" applyBorder="1" applyAlignment="1" applyProtection="1">
      <alignment horizontal="center" vertical="center" wrapText="1"/>
    </xf>
    <xf numFmtId="170" fontId="100" fillId="0" borderId="78" xfId="0" applyFont="1" applyFill="1" applyBorder="1" applyAlignment="1" applyProtection="1">
      <alignment horizontal="center"/>
    </xf>
    <xf numFmtId="170" fontId="102" fillId="0" borderId="85" xfId="0" applyFont="1" applyFill="1" applyBorder="1" applyAlignment="1" applyProtection="1">
      <alignment wrapText="1"/>
    </xf>
    <xf numFmtId="170" fontId="27" fillId="0" borderId="24" xfId="0" applyFont="1" applyFill="1" applyBorder="1" applyAlignment="1" applyProtection="1">
      <alignment horizontal="center" wrapText="1"/>
    </xf>
    <xf numFmtId="170" fontId="0" fillId="0" borderId="0" xfId="0" applyFill="1" applyProtection="1"/>
    <xf numFmtId="170" fontId="85" fillId="0" borderId="0" xfId="0" applyFont="1" applyFill="1" applyAlignment="1" applyProtection="1">
      <alignment horizontal="right"/>
    </xf>
    <xf numFmtId="170" fontId="105" fillId="0" borderId="0" xfId="0" applyFont="1" applyAlignment="1" applyProtection="1">
      <alignment horizontal="left" vertical="center"/>
    </xf>
    <xf numFmtId="170" fontId="0" fillId="0" borderId="0" xfId="0" applyAlignment="1" applyProtection="1">
      <alignment horizontal="center"/>
    </xf>
    <xf numFmtId="3" fontId="30" fillId="0" borderId="37" xfId="0" applyNumberFormat="1" applyFont="1" applyFill="1" applyBorder="1" applyAlignment="1" applyProtection="1">
      <alignment horizontal="center"/>
    </xf>
    <xf numFmtId="3" fontId="30" fillId="0" borderId="81" xfId="0" applyNumberFormat="1" applyFont="1" applyFill="1" applyBorder="1" applyAlignment="1" applyProtection="1">
      <alignment horizontal="center"/>
    </xf>
    <xf numFmtId="171" fontId="17" fillId="6" borderId="25" xfId="20" applyNumberFormat="1" applyFont="1" applyFill="1" applyBorder="1" applyAlignment="1" applyProtection="1">
      <alignment horizontal="center" vertical="center"/>
    </xf>
    <xf numFmtId="170" fontId="51" fillId="0" borderId="88" xfId="0" applyFont="1" applyFill="1" applyBorder="1" applyAlignment="1" applyProtection="1">
      <alignment horizontal="center" vertical="center" wrapText="1"/>
    </xf>
    <xf numFmtId="170" fontId="38" fillId="0" borderId="89" xfId="0" applyNumberFormat="1" applyFont="1" applyFill="1" applyBorder="1" applyAlignment="1" applyProtection="1">
      <alignment horizontal="right"/>
    </xf>
    <xf numFmtId="170" fontId="51" fillId="0" borderId="90" xfId="0" applyFont="1" applyFill="1" applyBorder="1" applyAlignment="1" applyProtection="1">
      <alignment horizontal="center"/>
    </xf>
    <xf numFmtId="170" fontId="38" fillId="0" borderId="91" xfId="0" applyNumberFormat="1" applyFont="1" applyFill="1" applyBorder="1" applyAlignment="1" applyProtection="1">
      <alignment horizontal="right"/>
    </xf>
    <xf numFmtId="170" fontId="51" fillId="0" borderId="92" xfId="0" applyFont="1" applyFill="1" applyBorder="1" applyAlignment="1" applyProtection="1">
      <alignment horizontal="center"/>
    </xf>
    <xf numFmtId="170" fontId="38" fillId="0" borderId="93" xfId="0" applyNumberFormat="1" applyFont="1" applyFill="1" applyBorder="1" applyAlignment="1" applyProtection="1">
      <alignment horizontal="right"/>
    </xf>
    <xf numFmtId="170" fontId="51" fillId="0" borderId="94" xfId="0" applyNumberFormat="1" applyFont="1" applyFill="1" applyBorder="1" applyAlignment="1" applyProtection="1">
      <alignment horizontal="center"/>
    </xf>
    <xf numFmtId="170" fontId="38" fillId="0" borderId="95" xfId="0" applyNumberFormat="1" applyFont="1" applyFill="1" applyBorder="1" applyAlignment="1" applyProtection="1">
      <alignment horizontal="right"/>
    </xf>
    <xf numFmtId="170" fontId="51" fillId="0" borderId="96" xfId="0" applyNumberFormat="1" applyFont="1" applyFill="1" applyBorder="1" applyAlignment="1" applyProtection="1">
      <alignment horizontal="center" vertical="center"/>
    </xf>
    <xf numFmtId="170" fontId="38" fillId="0" borderId="97" xfId="0" applyNumberFormat="1" applyFont="1" applyFill="1" applyBorder="1" applyAlignment="1" applyProtection="1">
      <alignment horizontal="right"/>
    </xf>
    <xf numFmtId="170" fontId="51" fillId="0" borderId="98" xfId="0" applyNumberFormat="1" applyFont="1" applyFill="1" applyBorder="1" applyAlignment="1" applyProtection="1">
      <alignment horizontal="center"/>
    </xf>
    <xf numFmtId="170" fontId="38" fillId="0" borderId="99" xfId="0" applyNumberFormat="1" applyFont="1" applyFill="1" applyBorder="1" applyAlignment="1" applyProtection="1">
      <alignment horizontal="right"/>
    </xf>
    <xf numFmtId="170" fontId="51" fillId="0" borderId="98" xfId="0" applyNumberFormat="1" applyFont="1" applyFill="1" applyBorder="1" applyAlignment="1" applyProtection="1">
      <alignment horizontal="center" vertical="center"/>
    </xf>
    <xf numFmtId="3" fontId="80" fillId="9" borderId="45" xfId="0" applyNumberFormat="1" applyFont="1" applyFill="1" applyBorder="1" applyAlignment="1" applyProtection="1">
      <protection locked="0"/>
    </xf>
    <xf numFmtId="3" fontId="80" fillId="9" borderId="51" xfId="0" applyNumberFormat="1" applyFont="1" applyFill="1" applyBorder="1" applyAlignment="1" applyProtection="1">
      <protection locked="0"/>
    </xf>
    <xf numFmtId="3" fontId="80" fillId="0" borderId="2" xfId="0" applyNumberFormat="1" applyFont="1" applyFill="1" applyBorder="1" applyAlignment="1" applyProtection="1"/>
    <xf numFmtId="3" fontId="80" fillId="0" borderId="52" xfId="0" applyNumberFormat="1" applyFont="1" applyFill="1" applyBorder="1" applyAlignment="1" applyProtection="1"/>
    <xf numFmtId="3" fontId="107" fillId="9" borderId="82" xfId="0" applyNumberFormat="1" applyFont="1" applyFill="1" applyBorder="1" applyAlignment="1" applyProtection="1">
      <alignment horizontal="centerContinuous"/>
    </xf>
    <xf numFmtId="171" fontId="21" fillId="0" borderId="0" xfId="0" applyNumberFormat="1" applyFont="1" applyAlignment="1" applyProtection="1">
      <alignment horizontal="center"/>
    </xf>
    <xf numFmtId="170" fontId="100" fillId="19" borderId="2" xfId="0" applyFont="1" applyFill="1" applyBorder="1" applyAlignment="1" applyProtection="1">
      <alignment horizontal="center"/>
    </xf>
    <xf numFmtId="175" fontId="21" fillId="0" borderId="2" xfId="0" applyNumberFormat="1" applyFont="1" applyBorder="1" applyAlignment="1" applyProtection="1">
      <alignment horizontal="center" vertical="center" wrapText="1"/>
    </xf>
    <xf numFmtId="165" fontId="8" fillId="0" borderId="0" xfId="0" applyNumberFormat="1" applyFont="1" applyFill="1" applyProtection="1"/>
    <xf numFmtId="170" fontId="77" fillId="0" borderId="0" xfId="0" applyFont="1" applyFill="1" applyBorder="1" applyAlignment="1" applyProtection="1">
      <alignment horizontal="center" vertical="center"/>
    </xf>
    <xf numFmtId="170" fontId="4" fillId="0" borderId="0" xfId="0" applyFont="1" applyFill="1" applyBorder="1" applyAlignment="1" applyProtection="1">
      <alignment horizontal="centerContinuous"/>
    </xf>
    <xf numFmtId="15" fontId="4" fillId="0" borderId="0" xfId="0" applyNumberFormat="1" applyFont="1" applyFill="1" applyBorder="1" applyAlignment="1" applyProtection="1">
      <alignment horizontal="centerContinuous"/>
    </xf>
    <xf numFmtId="15" fontId="4" fillId="0" borderId="0" xfId="0" applyNumberFormat="1" applyFont="1" applyFill="1" applyBorder="1" applyAlignment="1" applyProtection="1">
      <alignment horizontal="center"/>
    </xf>
    <xf numFmtId="170" fontId="34" fillId="0" borderId="0" xfId="0" applyFont="1" applyAlignment="1">
      <alignment horizontal="center"/>
    </xf>
    <xf numFmtId="170" fontId="34" fillId="0" borderId="0" xfId="0" applyFont="1" applyBorder="1" applyAlignment="1">
      <alignment horizontal="center"/>
    </xf>
    <xf numFmtId="170" fontId="112" fillId="0" borderId="0" xfId="0" applyFont="1" applyFill="1" applyBorder="1" applyAlignment="1" applyProtection="1">
      <alignment horizontal="right"/>
    </xf>
    <xf numFmtId="170" fontId="112" fillId="0" borderId="86" xfId="0" applyFont="1" applyFill="1" applyBorder="1" applyAlignment="1" applyProtection="1">
      <alignment horizontal="right"/>
    </xf>
    <xf numFmtId="3" fontId="14" fillId="9" borderId="45" xfId="0" applyNumberFormat="1" applyFont="1" applyFill="1" applyBorder="1" applyAlignment="1" applyProtection="1">
      <protection locked="0"/>
    </xf>
    <xf numFmtId="3" fontId="14" fillId="0" borderId="215" xfId="0" applyNumberFormat="1" applyFont="1" applyFill="1" applyBorder="1" applyAlignment="1" applyProtection="1"/>
    <xf numFmtId="1" fontId="14" fillId="3" borderId="106" xfId="0" applyNumberFormat="1" applyFont="1" applyFill="1" applyBorder="1" applyAlignment="1" applyProtection="1">
      <alignment horizontal="center"/>
    </xf>
    <xf numFmtId="3" fontId="106" fillId="0" borderId="17" xfId="0" applyNumberFormat="1" applyFont="1" applyFill="1" applyBorder="1" applyAlignment="1" applyProtection="1">
      <alignment horizontal="center"/>
    </xf>
    <xf numFmtId="170" fontId="106" fillId="0" borderId="0" xfId="0" applyFont="1" applyBorder="1" applyProtection="1"/>
    <xf numFmtId="1" fontId="106" fillId="0" borderId="106" xfId="0" applyNumberFormat="1" applyFont="1" applyFill="1" applyBorder="1" applyAlignment="1" applyProtection="1">
      <alignment horizontal="center"/>
    </xf>
    <xf numFmtId="9" fontId="114" fillId="0" borderId="0" xfId="0" applyNumberFormat="1" applyFont="1" applyFill="1" applyBorder="1" applyAlignment="1" applyProtection="1"/>
    <xf numFmtId="170" fontId="91" fillId="0" borderId="0" xfId="0" applyFont="1" applyFill="1" applyBorder="1" applyAlignment="1" applyProtection="1">
      <alignment horizontal="center" vertical="center"/>
    </xf>
    <xf numFmtId="9" fontId="114" fillId="0" borderId="0" xfId="0" applyNumberFormat="1" applyFont="1" applyFill="1" applyBorder="1" applyAlignment="1" applyProtection="1">
      <alignment horizontal="center"/>
    </xf>
    <xf numFmtId="169" fontId="40" fillId="3" borderId="0" xfId="0" applyNumberFormat="1" applyFont="1" applyFill="1" applyBorder="1" applyAlignment="1" applyProtection="1">
      <alignment vertical="center"/>
    </xf>
    <xf numFmtId="170" fontId="91" fillId="3" borderId="0" xfId="0" applyFont="1" applyFill="1" applyBorder="1" applyAlignment="1" applyProtection="1">
      <alignment horizontal="center" vertical="center"/>
    </xf>
    <xf numFmtId="170" fontId="115" fillId="3" borderId="0" xfId="0" applyFont="1" applyFill="1" applyBorder="1" applyAlignment="1" applyProtection="1">
      <alignment horizontal="center" vertical="center"/>
    </xf>
    <xf numFmtId="168" fontId="40" fillId="3" borderId="0" xfId="19" applyNumberFormat="1" applyFont="1" applyFill="1" applyBorder="1" applyAlignment="1" applyProtection="1">
      <alignment horizontal="right"/>
    </xf>
    <xf numFmtId="9" fontId="114" fillId="3" borderId="0" xfId="0" applyNumberFormat="1" applyFont="1" applyFill="1" applyBorder="1" applyProtection="1"/>
    <xf numFmtId="9" fontId="114" fillId="3" borderId="0" xfId="0" applyNumberFormat="1" applyFont="1" applyFill="1" applyBorder="1" applyAlignment="1" applyProtection="1">
      <alignment horizontal="left"/>
    </xf>
    <xf numFmtId="170" fontId="23" fillId="0" borderId="0" xfId="0" applyFont="1" applyBorder="1" applyAlignment="1" applyProtection="1">
      <alignment horizontal="center" vertical="center"/>
    </xf>
    <xf numFmtId="170" fontId="40" fillId="3" borderId="0" xfId="0" applyFont="1" applyFill="1" applyBorder="1" applyAlignment="1" applyProtection="1">
      <alignment horizontal="left" vertical="center"/>
    </xf>
    <xf numFmtId="170" fontId="116" fillId="3" borderId="0" xfId="0" applyFont="1" applyFill="1" applyBorder="1" applyAlignment="1" applyProtection="1">
      <alignment horizontal="left" vertical="center"/>
    </xf>
    <xf numFmtId="170" fontId="41" fillId="0" borderId="0" xfId="0" applyFont="1" applyFill="1" applyBorder="1" applyAlignment="1" applyProtection="1">
      <alignment horizontal="right"/>
    </xf>
    <xf numFmtId="9" fontId="114" fillId="0" borderId="0" xfId="0" applyNumberFormat="1" applyFont="1" applyFill="1" applyBorder="1" applyProtection="1"/>
    <xf numFmtId="170" fontId="41" fillId="0" borderId="0" xfId="0" applyFont="1" applyFill="1" applyBorder="1" applyProtection="1"/>
    <xf numFmtId="170" fontId="118" fillId="0" borderId="0" xfId="0" applyFont="1" applyFill="1" applyBorder="1" applyProtection="1"/>
    <xf numFmtId="170" fontId="119" fillId="0" borderId="0" xfId="0" applyFont="1" applyFill="1" applyBorder="1" applyAlignment="1" applyProtection="1">
      <alignment horizontal="center" vertical="center"/>
    </xf>
    <xf numFmtId="170" fontId="120" fillId="0" borderId="0" xfId="0" applyFont="1" applyFill="1" applyBorder="1" applyAlignment="1" applyProtection="1">
      <alignment horizontal="center" vertical="center"/>
    </xf>
    <xf numFmtId="170" fontId="120" fillId="0" borderId="0" xfId="0" applyFont="1" applyFill="1" applyBorder="1" applyAlignment="1" applyProtection="1">
      <alignment horizontal="right" vertical="center" indent="1"/>
    </xf>
    <xf numFmtId="170" fontId="121" fillId="0" borderId="0" xfId="0" applyFont="1" applyFill="1" applyBorder="1" applyAlignment="1" applyProtection="1">
      <alignment horizontal="center"/>
    </xf>
    <xf numFmtId="170" fontId="51" fillId="0" borderId="69" xfId="0" applyNumberFormat="1" applyFont="1" applyFill="1" applyBorder="1" applyAlignment="1" applyProtection="1">
      <alignment horizontal="center" vertical="center"/>
    </xf>
    <xf numFmtId="170" fontId="23" fillId="0" borderId="21" xfId="0" applyNumberFormat="1" applyFont="1" applyFill="1" applyBorder="1" applyAlignment="1" applyProtection="1">
      <alignment vertical="center"/>
    </xf>
    <xf numFmtId="170" fontId="51" fillId="0" borderId="70" xfId="0" applyNumberFormat="1" applyFont="1" applyFill="1" applyBorder="1" applyAlignment="1" applyProtection="1">
      <alignment horizontal="center" vertical="center"/>
    </xf>
    <xf numFmtId="170" fontId="23" fillId="0" borderId="22" xfId="0" applyNumberFormat="1" applyFont="1" applyFill="1" applyBorder="1" applyAlignment="1" applyProtection="1">
      <alignment vertical="center"/>
    </xf>
    <xf numFmtId="170" fontId="51" fillId="0" borderId="71" xfId="0" applyNumberFormat="1" applyFont="1" applyFill="1" applyBorder="1" applyAlignment="1" applyProtection="1">
      <alignment horizontal="center" vertical="center"/>
    </xf>
    <xf numFmtId="170" fontId="23" fillId="0" borderId="26" xfId="0" applyNumberFormat="1" applyFont="1" applyFill="1" applyBorder="1" applyAlignment="1" applyProtection="1">
      <alignment vertical="center"/>
    </xf>
    <xf numFmtId="3" fontId="8" fillId="0" borderId="0" xfId="0" applyNumberFormat="1" applyFont="1" applyFill="1" applyProtection="1"/>
    <xf numFmtId="0" fontId="108" fillId="0" borderId="0" xfId="0" applyNumberFormat="1" applyFont="1" applyAlignment="1" applyProtection="1">
      <alignment horizontal="left" vertical="center"/>
    </xf>
    <xf numFmtId="3" fontId="107" fillId="22" borderId="83" xfId="0" applyNumberFormat="1" applyFont="1" applyFill="1" applyBorder="1" applyAlignment="1" applyProtection="1">
      <alignment horizontal="centerContinuous"/>
    </xf>
    <xf numFmtId="4" fontId="106" fillId="0" borderId="102" xfId="0" applyNumberFormat="1" applyFont="1" applyBorder="1" applyProtection="1"/>
    <xf numFmtId="4" fontId="14" fillId="0" borderId="53" xfId="1" applyNumberFormat="1" applyFont="1" applyFill="1" applyBorder="1" applyAlignment="1" applyProtection="1"/>
    <xf numFmtId="4" fontId="14" fillId="0" borderId="54" xfId="1" applyNumberFormat="1" applyFont="1" applyFill="1" applyBorder="1" applyAlignment="1" applyProtection="1"/>
    <xf numFmtId="3" fontId="0" fillId="0" borderId="0" xfId="0" applyNumberFormat="1" applyFill="1" applyProtection="1"/>
    <xf numFmtId="170" fontId="74" fillId="0" borderId="0" xfId="0" applyFont="1" applyFill="1" applyBorder="1" applyAlignment="1" applyProtection="1">
      <alignment horizontal="center"/>
    </xf>
    <xf numFmtId="3" fontId="21" fillId="9" borderId="221" xfId="0" applyNumberFormat="1" applyFont="1" applyFill="1" applyBorder="1" applyAlignment="1" applyProtection="1">
      <protection locked="0"/>
    </xf>
    <xf numFmtId="3" fontId="80" fillId="9" borderId="221" xfId="0" applyNumberFormat="1" applyFont="1" applyFill="1" applyBorder="1" applyAlignment="1" applyProtection="1">
      <protection locked="0"/>
    </xf>
    <xf numFmtId="4" fontId="106" fillId="0" borderId="103" xfId="0" applyNumberFormat="1" applyFont="1" applyBorder="1" applyProtection="1"/>
    <xf numFmtId="4" fontId="14" fillId="0" borderId="128" xfId="1" applyNumberFormat="1" applyFont="1" applyFill="1" applyBorder="1" applyAlignment="1" applyProtection="1"/>
    <xf numFmtId="176" fontId="79" fillId="0" borderId="0" xfId="19" applyNumberFormat="1" applyFont="1" applyFill="1" applyBorder="1" applyAlignment="1" applyProtection="1">
      <alignment horizontal="center"/>
    </xf>
    <xf numFmtId="175" fontId="45" fillId="0" borderId="2" xfId="0" applyNumberFormat="1" applyFont="1" applyFill="1" applyBorder="1" applyAlignment="1" applyProtection="1">
      <alignment horizontal="center" vertical="center"/>
    </xf>
    <xf numFmtId="3" fontId="45" fillId="0" borderId="20" xfId="0" applyNumberFormat="1" applyFont="1" applyFill="1" applyBorder="1" applyAlignment="1" applyProtection="1">
      <alignment horizontal="center" vertical="center"/>
    </xf>
    <xf numFmtId="4" fontId="45" fillId="0" borderId="2" xfId="0" applyNumberFormat="1" applyFont="1" applyFill="1" applyBorder="1" applyAlignment="1" applyProtection="1">
      <alignment horizontal="center" vertical="center"/>
    </xf>
    <xf numFmtId="175" fontId="45" fillId="10" borderId="2" xfId="0" applyNumberFormat="1" applyFont="1" applyFill="1" applyBorder="1" applyAlignment="1" applyProtection="1">
      <alignment horizontal="center" vertical="center"/>
    </xf>
    <xf numFmtId="3" fontId="45" fillId="10" borderId="20" xfId="0" applyNumberFormat="1" applyFont="1" applyFill="1" applyBorder="1" applyAlignment="1" applyProtection="1">
      <alignment horizontal="center" vertical="center"/>
    </xf>
    <xf numFmtId="175" fontId="45" fillId="0" borderId="78" xfId="0" applyNumberFormat="1" applyFont="1" applyFill="1" applyBorder="1" applyAlignment="1" applyProtection="1">
      <alignment horizontal="center" vertical="center"/>
    </xf>
    <xf numFmtId="3" fontId="45" fillId="0" borderId="79" xfId="0" applyNumberFormat="1" applyFont="1" applyFill="1" applyBorder="1" applyAlignment="1" applyProtection="1">
      <alignment horizontal="center" vertical="center"/>
    </xf>
    <xf numFmtId="2" fontId="0" fillId="0" borderId="0" xfId="0" applyNumberFormat="1"/>
    <xf numFmtId="14" fontId="47" fillId="0" borderId="2" xfId="0" applyNumberFormat="1" applyFont="1" applyFill="1" applyBorder="1" applyAlignment="1" applyProtection="1">
      <alignment horizontal="center"/>
    </xf>
    <xf numFmtId="171" fontId="14" fillId="24" borderId="2" xfId="20" applyNumberFormat="1" applyFont="1" applyFill="1" applyBorder="1" applyAlignment="1" applyProtection="1">
      <alignment horizontal="center"/>
      <protection locked="0"/>
    </xf>
    <xf numFmtId="170" fontId="44" fillId="0" borderId="27" xfId="0" applyFont="1" applyBorder="1" applyAlignment="1">
      <alignment horizontal="justify" vertical="center" wrapText="1"/>
    </xf>
    <xf numFmtId="170" fontId="44" fillId="0" borderId="28" xfId="0" applyFont="1" applyBorder="1" applyAlignment="1">
      <alignment horizontal="justify" vertical="center" wrapText="1"/>
    </xf>
    <xf numFmtId="170" fontId="44" fillId="0" borderId="29" xfId="0" applyFont="1" applyBorder="1" applyAlignment="1">
      <alignment horizontal="justify" vertical="center" wrapText="1"/>
    </xf>
    <xf numFmtId="171" fontId="131" fillId="0" borderId="2" xfId="20" applyNumberFormat="1" applyFont="1" applyFill="1" applyBorder="1" applyAlignment="1" applyProtection="1">
      <alignment horizontal="center"/>
    </xf>
    <xf numFmtId="170" fontId="0" fillId="0" borderId="76" xfId="0" applyBorder="1"/>
    <xf numFmtId="170" fontId="103" fillId="0" borderId="27" xfId="0" applyFont="1" applyBorder="1" applyAlignment="1" applyProtection="1">
      <alignment vertical="center" wrapText="1"/>
      <protection locked="0"/>
    </xf>
    <xf numFmtId="170" fontId="91" fillId="18" borderId="27" xfId="0" applyFont="1" applyFill="1" applyBorder="1" applyAlignment="1" applyProtection="1">
      <alignment vertical="center" wrapText="1"/>
      <protection locked="0"/>
    </xf>
    <xf numFmtId="170" fontId="91" fillId="18" borderId="28" xfId="0" applyFont="1" applyFill="1" applyBorder="1" applyAlignment="1" applyProtection="1">
      <alignment vertical="center" wrapText="1"/>
      <protection locked="0"/>
    </xf>
    <xf numFmtId="170" fontId="91" fillId="18" borderId="29" xfId="0" applyFont="1" applyFill="1" applyBorder="1" applyAlignment="1" applyProtection="1">
      <alignment vertical="center" wrapText="1"/>
      <protection locked="0"/>
    </xf>
    <xf numFmtId="170" fontId="133" fillId="18" borderId="28" xfId="0" applyFont="1" applyFill="1" applyBorder="1" applyAlignment="1" applyProtection="1">
      <alignment vertical="center" wrapText="1"/>
      <protection locked="0"/>
    </xf>
    <xf numFmtId="170" fontId="133" fillId="18" borderId="29" xfId="0" applyFont="1" applyFill="1" applyBorder="1" applyAlignment="1" applyProtection="1">
      <alignment vertical="center" wrapText="1"/>
      <protection locked="0"/>
    </xf>
    <xf numFmtId="170" fontId="91" fillId="0" borderId="27" xfId="0" applyFont="1" applyFill="1" applyBorder="1" applyAlignment="1" applyProtection="1">
      <alignment vertical="center" wrapText="1"/>
      <protection locked="0"/>
    </xf>
    <xf numFmtId="170" fontId="91" fillId="18" borderId="28" xfId="0" applyFont="1" applyFill="1" applyBorder="1" applyAlignment="1" applyProtection="1">
      <alignment vertical="top" wrapText="1"/>
      <protection locked="0"/>
    </xf>
    <xf numFmtId="170" fontId="91" fillId="18" borderId="29" xfId="0" applyFont="1" applyFill="1" applyBorder="1" applyAlignment="1" applyProtection="1">
      <alignment vertical="top" wrapText="1"/>
      <protection locked="0"/>
    </xf>
    <xf numFmtId="170" fontId="133" fillId="18" borderId="28" xfId="0" applyFont="1" applyFill="1" applyBorder="1" applyAlignment="1" applyProtection="1">
      <alignment vertical="top" wrapText="1"/>
      <protection locked="0"/>
    </xf>
    <xf numFmtId="170" fontId="133" fillId="18" borderId="29" xfId="0" applyFont="1" applyFill="1" applyBorder="1" applyAlignment="1" applyProtection="1">
      <alignment vertical="top" wrapText="1"/>
      <protection locked="0"/>
    </xf>
    <xf numFmtId="170" fontId="103" fillId="0" borderId="2" xfId="0" applyFont="1" applyBorder="1" applyAlignment="1" applyProtection="1">
      <alignment vertical="center" wrapText="1"/>
      <protection locked="0"/>
    </xf>
    <xf numFmtId="170" fontId="91" fillId="0" borderId="2" xfId="0" applyFont="1" applyFill="1" applyBorder="1" applyAlignment="1" applyProtection="1">
      <alignment vertical="center" wrapText="1"/>
      <protection locked="0"/>
    </xf>
    <xf numFmtId="170" fontId="91" fillId="18" borderId="2" xfId="0" applyFont="1" applyFill="1" applyBorder="1" applyAlignment="1" applyProtection="1">
      <alignment vertical="center" wrapText="1"/>
      <protection locked="0"/>
    </xf>
    <xf numFmtId="170" fontId="91" fillId="0" borderId="2" xfId="0" applyFont="1" applyFill="1" applyBorder="1" applyAlignment="1" applyProtection="1">
      <alignment horizontal="justify" vertical="center" wrapText="1"/>
      <protection locked="0"/>
    </xf>
    <xf numFmtId="170" fontId="91" fillId="18" borderId="2" xfId="0" applyFont="1" applyFill="1" applyBorder="1" applyAlignment="1" applyProtection="1">
      <alignment horizontal="justify" vertical="center" wrapText="1"/>
      <protection locked="0"/>
    </xf>
    <xf numFmtId="170" fontId="0" fillId="0" borderId="29" xfId="0" applyBorder="1"/>
    <xf numFmtId="170" fontId="0" fillId="0" borderId="75" xfId="0" applyBorder="1"/>
    <xf numFmtId="170" fontId="0" fillId="0" borderId="111" xfId="0" applyBorder="1"/>
    <xf numFmtId="170" fontId="0" fillId="0" borderId="110" xfId="0" applyBorder="1"/>
    <xf numFmtId="170" fontId="0" fillId="0" borderId="107" xfId="0" applyBorder="1"/>
    <xf numFmtId="170" fontId="103" fillId="0" borderId="107" xfId="0" applyFont="1" applyBorder="1" applyAlignment="1" applyProtection="1">
      <alignment horizontal="justify" vertical="center" wrapText="1"/>
      <protection locked="0"/>
    </xf>
    <xf numFmtId="170" fontId="91" fillId="18" borderId="107" xfId="0" applyFont="1" applyFill="1" applyBorder="1" applyAlignment="1" applyProtection="1">
      <alignment horizontal="justify" vertical="center" wrapText="1"/>
      <protection locked="0"/>
    </xf>
    <xf numFmtId="170" fontId="91" fillId="18" borderId="109" xfId="0" applyFont="1" applyFill="1" applyBorder="1" applyAlignment="1" applyProtection="1">
      <alignment horizontal="justify" vertical="center" wrapText="1"/>
      <protection locked="0"/>
    </xf>
    <xf numFmtId="1" fontId="135" fillId="0" borderId="0" xfId="0" applyNumberFormat="1" applyFont="1" applyAlignment="1">
      <alignment vertical="center"/>
    </xf>
    <xf numFmtId="1" fontId="135" fillId="0" borderId="0" xfId="0" applyNumberFormat="1" applyFont="1" applyBorder="1" applyAlignment="1">
      <alignment vertical="center"/>
    </xf>
    <xf numFmtId="170" fontId="65" fillId="5" borderId="27" xfId="0" applyFont="1" applyFill="1" applyBorder="1" applyAlignment="1">
      <alignment vertical="center"/>
    </xf>
    <xf numFmtId="170" fontId="65" fillId="5" borderId="28" xfId="0" applyFont="1" applyFill="1" applyBorder="1" applyAlignment="1">
      <alignment vertical="center"/>
    </xf>
    <xf numFmtId="170" fontId="65" fillId="5" borderId="29" xfId="0" applyFont="1" applyFill="1" applyBorder="1" applyAlignment="1">
      <alignment vertical="center"/>
    </xf>
    <xf numFmtId="170" fontId="0" fillId="0" borderId="27" xfId="0" applyBorder="1" applyAlignment="1">
      <alignment vertical="center" wrapText="1"/>
    </xf>
    <xf numFmtId="170" fontId="0" fillId="0" borderId="28" xfId="0" applyBorder="1" applyAlignment="1">
      <alignment vertical="center" wrapText="1"/>
    </xf>
    <xf numFmtId="170" fontId="0" fillId="0" borderId="29" xfId="0" applyBorder="1" applyAlignment="1">
      <alignment vertical="center" wrapText="1"/>
    </xf>
    <xf numFmtId="170" fontId="58" fillId="0" borderId="0" xfId="0" applyFont="1" applyAlignment="1"/>
    <xf numFmtId="170" fontId="66" fillId="5" borderId="27" xfId="0" applyFont="1" applyFill="1" applyBorder="1" applyAlignment="1">
      <alignment vertical="center" wrapText="1"/>
    </xf>
    <xf numFmtId="170" fontId="132" fillId="5" borderId="27" xfId="0" applyFont="1" applyFill="1" applyBorder="1" applyAlignment="1">
      <alignment vertical="center"/>
    </xf>
    <xf numFmtId="170" fontId="17" fillId="0" borderId="27" xfId="0" applyFont="1" applyBorder="1" applyAlignment="1">
      <alignment vertical="center" wrapText="1"/>
    </xf>
    <xf numFmtId="170" fontId="17" fillId="0" borderId="28" xfId="0" applyFont="1" applyBorder="1" applyAlignment="1">
      <alignment vertical="center" wrapText="1"/>
    </xf>
    <xf numFmtId="170" fontId="65" fillId="5" borderId="27" xfId="0" applyFont="1" applyFill="1" applyBorder="1" applyAlignment="1">
      <alignment wrapText="1"/>
    </xf>
    <xf numFmtId="170" fontId="65" fillId="5" borderId="27" xfId="0" applyFont="1" applyFill="1" applyBorder="1" applyAlignment="1"/>
    <xf numFmtId="170" fontId="65" fillId="5" borderId="28" xfId="0" applyFont="1" applyFill="1" applyBorder="1" applyAlignment="1"/>
    <xf numFmtId="170" fontId="65" fillId="5" borderId="29" xfId="0" applyFont="1" applyFill="1" applyBorder="1" applyAlignment="1"/>
    <xf numFmtId="170" fontId="44" fillId="0" borderId="109" xfId="0" applyFont="1" applyBorder="1" applyAlignment="1">
      <alignment wrapText="1"/>
    </xf>
    <xf numFmtId="170" fontId="44" fillId="0" borderId="27" xfId="0" applyFont="1" applyBorder="1" applyAlignment="1">
      <alignment vertical="center" wrapText="1"/>
    </xf>
    <xf numFmtId="170" fontId="44" fillId="0" borderId="28" xfId="0" applyFont="1" applyBorder="1" applyAlignment="1">
      <alignment vertical="center" wrapText="1"/>
    </xf>
    <xf numFmtId="170" fontId="44" fillId="0" borderId="29" xfId="0" applyFont="1" applyBorder="1" applyAlignment="1">
      <alignment vertical="center" wrapText="1"/>
    </xf>
    <xf numFmtId="164" fontId="60" fillId="0" borderId="27" xfId="0" applyNumberFormat="1" applyFont="1" applyBorder="1" applyAlignment="1">
      <alignment vertical="center" wrapText="1"/>
    </xf>
    <xf numFmtId="170" fontId="91" fillId="0" borderId="111" xfId="0" applyFont="1" applyBorder="1" applyAlignment="1">
      <alignment vertical="center" wrapText="1"/>
    </xf>
    <xf numFmtId="170" fontId="91" fillId="0" borderId="27" xfId="0" applyFont="1" applyBorder="1" applyAlignment="1">
      <alignment vertical="center" wrapText="1"/>
    </xf>
    <xf numFmtId="170" fontId="91" fillId="0" borderId="28" xfId="0" applyFont="1" applyBorder="1" applyAlignment="1">
      <alignment vertical="center" wrapText="1"/>
    </xf>
    <xf numFmtId="170" fontId="91" fillId="0" borderId="29" xfId="0" applyFont="1" applyBorder="1" applyAlignment="1">
      <alignment vertical="center" wrapText="1"/>
    </xf>
    <xf numFmtId="164" fontId="60" fillId="0" borderId="109" xfId="0" applyNumberFormat="1" applyFont="1" applyBorder="1" applyAlignment="1">
      <alignment vertical="center" wrapText="1"/>
    </xf>
    <xf numFmtId="170" fontId="60" fillId="0" borderId="111" xfId="0" applyFont="1" applyBorder="1" applyAlignment="1">
      <alignment vertical="center" wrapText="1"/>
    </xf>
    <xf numFmtId="170" fontId="61" fillId="0" borderId="111" xfId="0" applyFont="1" applyBorder="1" applyAlignment="1">
      <alignment vertical="center" wrapText="1"/>
    </xf>
    <xf numFmtId="170" fontId="44" fillId="0" borderId="109" xfId="0" applyFont="1" applyBorder="1" applyAlignment="1">
      <alignment vertical="center" wrapText="1"/>
    </xf>
    <xf numFmtId="170" fontId="44" fillId="0" borderId="108" xfId="0" applyFont="1" applyBorder="1" applyAlignment="1">
      <alignment vertical="center" wrapText="1"/>
    </xf>
    <xf numFmtId="170" fontId="44" fillId="0" borderId="110" xfId="0" applyFont="1" applyBorder="1" applyAlignment="1">
      <alignment vertical="center" wrapText="1"/>
    </xf>
    <xf numFmtId="170" fontId="44" fillId="0" borderId="111" xfId="0" applyFont="1" applyBorder="1" applyAlignment="1">
      <alignment vertical="center" wrapText="1"/>
    </xf>
    <xf numFmtId="170" fontId="44" fillId="0" borderId="73" xfId="0" applyFont="1" applyBorder="1" applyAlignment="1">
      <alignment vertical="center" wrapText="1"/>
    </xf>
    <xf numFmtId="170" fontId="44" fillId="0" borderId="75" xfId="0" applyFont="1" applyBorder="1" applyAlignment="1">
      <alignment vertical="center" wrapText="1"/>
    </xf>
    <xf numFmtId="170" fontId="0" fillId="0" borderId="0" xfId="0" applyBorder="1" applyAlignment="1">
      <alignment wrapText="1"/>
    </xf>
    <xf numFmtId="170" fontId="59" fillId="6" borderId="27" xfId="0" applyFont="1" applyFill="1" applyBorder="1" applyAlignment="1"/>
    <xf numFmtId="170" fontId="59" fillId="6" borderId="28" xfId="0" applyFont="1" applyFill="1" applyBorder="1" applyAlignment="1"/>
    <xf numFmtId="170" fontId="59" fillId="6" borderId="29" xfId="0" applyFont="1" applyFill="1" applyBorder="1" applyAlignment="1"/>
    <xf numFmtId="170" fontId="0" fillId="0" borderId="0" xfId="0" applyBorder="1" applyAlignment="1"/>
    <xf numFmtId="170" fontId="61" fillId="0" borderId="27" xfId="0" applyFont="1" applyBorder="1" applyAlignment="1">
      <alignment vertical="center" wrapText="1"/>
    </xf>
    <xf numFmtId="164" fontId="10" fillId="14" borderId="0" xfId="12" applyFont="1" applyFill="1" applyAlignment="1" applyProtection="1">
      <alignment vertical="center"/>
    </xf>
    <xf numFmtId="170" fontId="59" fillId="9" borderId="27" xfId="0" applyFont="1" applyFill="1" applyBorder="1" applyAlignment="1"/>
    <xf numFmtId="170" fontId="59" fillId="9" borderId="28" xfId="0" applyFont="1" applyFill="1" applyBorder="1" applyAlignment="1"/>
    <xf numFmtId="170" fontId="59" fillId="9" borderId="29" xfId="0" applyFont="1" applyFill="1" applyBorder="1" applyAlignment="1"/>
    <xf numFmtId="9" fontId="61" fillId="0" borderId="27" xfId="19" applyFont="1" applyBorder="1" applyAlignment="1">
      <alignment vertical="center" wrapText="1"/>
    </xf>
    <xf numFmtId="170" fontId="0" fillId="0" borderId="108" xfId="0" applyBorder="1" applyAlignment="1">
      <alignment wrapText="1"/>
    </xf>
    <xf numFmtId="170" fontId="0" fillId="0" borderId="108" xfId="0" applyBorder="1" applyAlignment="1"/>
    <xf numFmtId="170" fontId="138" fillId="0" borderId="0" xfId="0" applyFont="1" applyAlignment="1" applyProtection="1">
      <alignment horizontal="left" vertical="center"/>
    </xf>
    <xf numFmtId="170" fontId="142" fillId="0" borderId="2" xfId="0" applyFont="1" applyBorder="1" applyAlignment="1" applyProtection="1">
      <alignment vertical="center" wrapText="1"/>
      <protection locked="0"/>
    </xf>
    <xf numFmtId="170" fontId="141" fillId="0" borderId="2" xfId="0" applyFont="1" applyFill="1" applyBorder="1" applyAlignment="1" applyProtection="1">
      <alignment vertical="center" wrapText="1"/>
      <protection locked="0"/>
    </xf>
    <xf numFmtId="170" fontId="141" fillId="18" borderId="2" xfId="0" applyFont="1" applyFill="1" applyBorder="1" applyAlignment="1" applyProtection="1">
      <alignment vertical="center" wrapText="1"/>
      <protection locked="0"/>
    </xf>
    <xf numFmtId="170" fontId="141" fillId="18" borderId="27" xfId="0" applyFont="1" applyFill="1" applyBorder="1" applyAlignment="1" applyProtection="1">
      <alignment vertical="center" wrapText="1"/>
      <protection locked="0"/>
    </xf>
    <xf numFmtId="170" fontId="26" fillId="25" borderId="0" xfId="0" applyFont="1" applyFill="1" applyBorder="1" applyAlignment="1">
      <alignment horizontal="center" vertical="center" textRotation="90"/>
    </xf>
    <xf numFmtId="0" fontId="91" fillId="18" borderId="27" xfId="0" applyNumberFormat="1" applyFont="1" applyFill="1" applyBorder="1" applyAlignment="1" applyProtection="1">
      <alignment vertical="center" wrapText="1"/>
      <protection locked="0"/>
    </xf>
    <xf numFmtId="170" fontId="91" fillId="18" borderId="27" xfId="0" applyFont="1" applyFill="1" applyBorder="1" applyAlignment="1" applyProtection="1">
      <alignment horizontal="left" vertical="center" wrapText="1"/>
      <protection locked="0"/>
    </xf>
    <xf numFmtId="2" fontId="0" fillId="0" borderId="0" xfId="0" applyNumberFormat="1" applyProtection="1"/>
    <xf numFmtId="2" fontId="0" fillId="0" borderId="0" xfId="0" applyNumberFormat="1" applyFill="1" applyProtection="1"/>
    <xf numFmtId="176" fontId="21" fillId="0" borderId="2" xfId="19" applyNumberFormat="1" applyFont="1" applyBorder="1" applyAlignment="1" applyProtection="1">
      <alignment horizontal="center" vertical="center" wrapText="1"/>
    </xf>
    <xf numFmtId="10" fontId="21" fillId="0" borderId="2" xfId="19" applyNumberFormat="1" applyFont="1" applyBorder="1" applyAlignment="1" applyProtection="1">
      <alignment horizontal="center" vertical="center" wrapText="1"/>
    </xf>
    <xf numFmtId="170" fontId="0" fillId="0" borderId="13" xfId="0" applyBorder="1" applyAlignment="1" applyProtection="1">
      <alignment horizontal="center"/>
    </xf>
    <xf numFmtId="170" fontId="85" fillId="0" borderId="0" xfId="0" applyFont="1" applyAlignment="1" applyProtection="1">
      <alignment horizontal="right"/>
    </xf>
    <xf numFmtId="170" fontId="85" fillId="0" borderId="0" xfId="0" applyFont="1" applyBorder="1" applyAlignment="1" applyProtection="1">
      <alignment horizontal="right"/>
    </xf>
    <xf numFmtId="164" fontId="17" fillId="6" borderId="25" xfId="20" applyFont="1" applyFill="1" applyBorder="1" applyAlignment="1" applyProtection="1">
      <alignment horizontal="center"/>
    </xf>
    <xf numFmtId="164" fontId="1" fillId="0" borderId="25" xfId="20" applyFont="1" applyBorder="1" applyAlignment="1" applyProtection="1">
      <alignment horizontal="right"/>
    </xf>
    <xf numFmtId="164" fontId="13" fillId="0" borderId="0" xfId="15" applyFont="1" applyFill="1" applyAlignment="1" applyProtection="1">
      <alignment horizontal="right" vertical="center"/>
    </xf>
    <xf numFmtId="171" fontId="17" fillId="6" borderId="25" xfId="20" applyNumberFormat="1" applyFont="1" applyFill="1" applyBorder="1" applyAlignment="1" applyProtection="1">
      <alignment horizontal="center"/>
    </xf>
    <xf numFmtId="164" fontId="21" fillId="0" borderId="0" xfId="0" applyNumberFormat="1" applyFont="1" applyAlignment="1" applyProtection="1">
      <alignment horizontal="right"/>
    </xf>
    <xf numFmtId="15" fontId="21" fillId="0" borderId="0" xfId="0" applyNumberFormat="1" applyFont="1" applyAlignment="1" applyProtection="1">
      <alignment horizontal="right"/>
    </xf>
    <xf numFmtId="164" fontId="7" fillId="0" borderId="0" xfId="0" applyNumberFormat="1" applyFont="1" applyAlignment="1" applyProtection="1">
      <alignment horizontal="center"/>
    </xf>
    <xf numFmtId="170" fontId="27" fillId="0" borderId="2" xfId="0" applyFont="1" applyBorder="1" applyAlignment="1" applyProtection="1">
      <alignment horizontal="center" vertical="center" wrapText="1"/>
    </xf>
    <xf numFmtId="9" fontId="0" fillId="0" borderId="0" xfId="19" applyFont="1" applyProtection="1"/>
    <xf numFmtId="170" fontId="23" fillId="3" borderId="27" xfId="0" applyFont="1" applyFill="1" applyBorder="1" applyAlignment="1" applyProtection="1"/>
    <xf numFmtId="168" fontId="148" fillId="3" borderId="2" xfId="0" applyNumberFormat="1" applyFont="1" applyFill="1" applyBorder="1" applyAlignment="1" applyProtection="1">
      <alignment horizontal="center"/>
    </xf>
    <xf numFmtId="168" fontId="148" fillId="0" borderId="2" xfId="0" applyNumberFormat="1" applyFont="1" applyBorder="1" applyAlignment="1" applyProtection="1">
      <alignment horizontal="center"/>
    </xf>
    <xf numFmtId="168" fontId="149" fillId="23" borderId="68" xfId="0" applyNumberFormat="1" applyFont="1" applyFill="1" applyBorder="1" applyAlignment="1" applyProtection="1">
      <alignment horizontal="center"/>
    </xf>
    <xf numFmtId="168" fontId="23" fillId="23" borderId="68" xfId="0" applyNumberFormat="1" applyFont="1" applyFill="1" applyBorder="1" applyAlignment="1" applyProtection="1">
      <alignment horizontal="center"/>
    </xf>
    <xf numFmtId="170" fontId="23" fillId="3" borderId="43" xfId="0" applyFont="1" applyFill="1" applyBorder="1" applyAlignment="1" applyProtection="1"/>
    <xf numFmtId="168" fontId="148" fillId="3" borderId="44" xfId="0" applyNumberFormat="1" applyFont="1" applyFill="1" applyBorder="1" applyAlignment="1" applyProtection="1">
      <alignment horizontal="center"/>
    </xf>
    <xf numFmtId="168" fontId="148" fillId="0" borderId="44" xfId="0" applyNumberFormat="1" applyFont="1" applyBorder="1" applyAlignment="1" applyProtection="1">
      <alignment horizontal="center"/>
    </xf>
    <xf numFmtId="14" fontId="0" fillId="0" borderId="2" xfId="0" applyNumberFormat="1" applyBorder="1" applyAlignment="1" applyProtection="1">
      <alignment horizontal="center"/>
    </xf>
    <xf numFmtId="49" fontId="0" fillId="0" borderId="2" xfId="0" applyNumberFormat="1" applyBorder="1" applyAlignment="1" applyProtection="1">
      <alignment horizontal="center"/>
    </xf>
    <xf numFmtId="49" fontId="106" fillId="24" borderId="2" xfId="0" applyNumberFormat="1" applyFont="1" applyFill="1" applyBorder="1" applyAlignment="1" applyProtection="1">
      <alignment horizontal="center"/>
    </xf>
    <xf numFmtId="49" fontId="56" fillId="0" borderId="2" xfId="0" applyNumberFormat="1" applyFont="1" applyBorder="1" applyAlignment="1" applyProtection="1">
      <alignment horizontal="center" wrapText="1"/>
    </xf>
    <xf numFmtId="170" fontId="8" fillId="0" borderId="0" xfId="0" applyFont="1" applyFill="1" applyProtection="1"/>
    <xf numFmtId="166" fontId="8" fillId="3" borderId="0" xfId="0" applyNumberFormat="1" applyFont="1" applyFill="1" applyProtection="1"/>
    <xf numFmtId="170" fontId="8" fillId="3" borderId="0" xfId="0" applyFont="1" applyFill="1" applyProtection="1"/>
    <xf numFmtId="165" fontId="25" fillId="2" borderId="45" xfId="0" applyNumberFormat="1" applyFont="1" applyFill="1" applyBorder="1" applyAlignment="1" applyProtection="1">
      <alignment horizontal="center"/>
    </xf>
    <xf numFmtId="165" fontId="25" fillId="2" borderId="46" xfId="0" applyNumberFormat="1" applyFont="1" applyFill="1" applyBorder="1" applyAlignment="1" applyProtection="1">
      <alignment horizontal="center"/>
    </xf>
    <xf numFmtId="165" fontId="25" fillId="0" borderId="47" xfId="0" applyNumberFormat="1" applyFont="1" applyFill="1" applyBorder="1" applyAlignment="1" applyProtection="1">
      <alignment horizontal="center"/>
    </xf>
    <xf numFmtId="170" fontId="14" fillId="0" borderId="0" xfId="0" applyFont="1" applyFill="1" applyProtection="1"/>
    <xf numFmtId="3" fontId="14" fillId="18" borderId="45" xfId="0" applyNumberFormat="1" applyFont="1" applyFill="1" applyBorder="1" applyAlignment="1" applyProtection="1"/>
    <xf numFmtId="170" fontId="14" fillId="0" borderId="0" xfId="0" applyNumberFormat="1" applyFont="1" applyFill="1" applyProtection="1"/>
    <xf numFmtId="165" fontId="25" fillId="0" borderId="0" xfId="0" applyNumberFormat="1" applyFont="1" applyFill="1" applyBorder="1" applyAlignment="1" applyProtection="1">
      <alignment horizontal="center"/>
    </xf>
    <xf numFmtId="164" fontId="21" fillId="0" borderId="0" xfId="0" applyNumberFormat="1" applyFont="1" applyFill="1" applyBorder="1" applyAlignment="1" applyProtection="1"/>
    <xf numFmtId="49" fontId="19" fillId="0" borderId="60" xfId="0" applyNumberFormat="1" applyFont="1" applyFill="1" applyBorder="1" applyAlignment="1" applyProtection="1">
      <alignment horizontal="justify" wrapText="1"/>
    </xf>
    <xf numFmtId="49" fontId="19" fillId="0" borderId="60" xfId="0" applyNumberFormat="1" applyFont="1" applyFill="1" applyBorder="1" applyAlignment="1" applyProtection="1">
      <alignment horizontal="justify"/>
    </xf>
    <xf numFmtId="170" fontId="19" fillId="0" borderId="60" xfId="0" applyFont="1" applyFill="1" applyBorder="1" applyAlignment="1" applyProtection="1">
      <alignment wrapText="1"/>
    </xf>
    <xf numFmtId="166" fontId="4" fillId="0" borderId="0" xfId="1" applyNumberFormat="1" applyFont="1" applyFill="1" applyBorder="1" applyAlignment="1" applyProtection="1"/>
    <xf numFmtId="166" fontId="4" fillId="0" borderId="0" xfId="1" applyNumberFormat="1" applyFont="1" applyFill="1" applyBorder="1" applyProtection="1"/>
    <xf numFmtId="170" fontId="80" fillId="0" borderId="0" xfId="0" applyFont="1" applyFill="1" applyBorder="1" applyAlignment="1" applyProtection="1">
      <alignment horizontal="left"/>
    </xf>
    <xf numFmtId="164" fontId="32" fillId="0" borderId="0" xfId="23" applyFont="1" applyFill="1" applyBorder="1" applyAlignment="1" applyProtection="1">
      <alignment horizontal="center" vertical="center"/>
    </xf>
    <xf numFmtId="170" fontId="0" fillId="0" borderId="0" xfId="0" applyFill="1" applyBorder="1" applyAlignment="1" applyProtection="1">
      <alignment horizontal="left" vertical="top"/>
    </xf>
    <xf numFmtId="15" fontId="0" fillId="0" borderId="0" xfId="0" applyNumberFormat="1" applyFill="1" applyBorder="1" applyAlignment="1" applyProtection="1">
      <alignment horizontal="center"/>
    </xf>
    <xf numFmtId="3" fontId="106" fillId="3" borderId="17" xfId="0" applyNumberFormat="1" applyFont="1" applyFill="1" applyBorder="1" applyAlignment="1" applyProtection="1">
      <alignment horizontal="center"/>
    </xf>
    <xf numFmtId="165" fontId="25" fillId="2" borderId="48" xfId="0" applyNumberFormat="1" applyFont="1" applyFill="1" applyBorder="1" applyAlignment="1" applyProtection="1">
      <alignment horizontal="center"/>
    </xf>
    <xf numFmtId="165" fontId="25" fillId="2" borderId="49" xfId="0" applyNumberFormat="1" applyFont="1" applyFill="1" applyBorder="1" applyAlignment="1" applyProtection="1">
      <alignment horizontal="center"/>
    </xf>
    <xf numFmtId="3" fontId="0" fillId="0" borderId="0" xfId="0" applyNumberFormat="1" applyFill="1" applyBorder="1" applyProtection="1"/>
    <xf numFmtId="170" fontId="21" fillId="0" borderId="23" xfId="0" applyFont="1" applyBorder="1" applyAlignment="1" applyProtection="1">
      <alignment horizontal="center" wrapText="1"/>
    </xf>
    <xf numFmtId="170" fontId="0" fillId="0" borderId="23" xfId="0" applyBorder="1" applyAlignment="1" applyProtection="1">
      <alignment horizontal="center" wrapText="1"/>
    </xf>
    <xf numFmtId="49" fontId="0" fillId="6" borderId="2" xfId="0" applyNumberFormat="1" applyFill="1" applyBorder="1" applyProtection="1"/>
    <xf numFmtId="170" fontId="0" fillId="6" borderId="2" xfId="0" applyNumberFormat="1" applyFill="1" applyBorder="1" applyProtection="1"/>
    <xf numFmtId="3" fontId="0" fillId="6" borderId="2" xfId="0" applyNumberFormat="1" applyFill="1" applyBorder="1" applyProtection="1"/>
    <xf numFmtId="170" fontId="0" fillId="6" borderId="2" xfId="0" applyNumberFormat="1" applyFill="1" applyBorder="1" applyAlignment="1" applyProtection="1">
      <alignment horizontal="center"/>
    </xf>
    <xf numFmtId="49" fontId="0" fillId="6" borderId="44" xfId="0" applyNumberFormat="1" applyFill="1" applyBorder="1" applyAlignment="1" applyProtection="1">
      <alignment horizontal="left"/>
    </xf>
    <xf numFmtId="170" fontId="0" fillId="6" borderId="44" xfId="0" applyNumberFormat="1" applyFill="1" applyBorder="1" applyProtection="1"/>
    <xf numFmtId="3" fontId="0" fillId="6" borderId="44" xfId="0" applyNumberFormat="1" applyFill="1" applyBorder="1" applyProtection="1"/>
    <xf numFmtId="170" fontId="0" fillId="6" borderId="44" xfId="0" applyNumberFormat="1" applyFill="1" applyBorder="1" applyAlignment="1" applyProtection="1">
      <alignment horizontal="center"/>
    </xf>
    <xf numFmtId="170" fontId="0" fillId="5" borderId="63" xfId="0" applyFill="1" applyBorder="1" applyProtection="1"/>
    <xf numFmtId="165" fontId="7" fillId="2" borderId="55" xfId="0" applyNumberFormat="1" applyFont="1" applyFill="1" applyBorder="1" applyAlignment="1" applyProtection="1">
      <alignment horizontal="center"/>
    </xf>
    <xf numFmtId="165" fontId="7" fillId="2" borderId="56" xfId="0" applyNumberFormat="1" applyFont="1" applyFill="1" applyBorder="1" applyAlignment="1" applyProtection="1">
      <alignment horizontal="center"/>
    </xf>
    <xf numFmtId="2" fontId="134" fillId="0" borderId="222" xfId="0" applyNumberFormat="1" applyFont="1" applyBorder="1" applyAlignment="1" applyProtection="1"/>
    <xf numFmtId="170" fontId="0" fillId="0" borderId="80" xfId="0" applyBorder="1" applyProtection="1"/>
    <xf numFmtId="4" fontId="14" fillId="9" borderId="100" xfId="1" applyNumberFormat="1" applyFont="1" applyFill="1" applyBorder="1" applyAlignment="1" applyProtection="1">
      <protection locked="0"/>
    </xf>
    <xf numFmtId="4" fontId="14" fillId="9" borderId="101" xfId="1" applyNumberFormat="1" applyFont="1" applyFill="1" applyBorder="1" applyProtection="1">
      <protection locked="0"/>
    </xf>
    <xf numFmtId="4" fontId="14" fillId="9" borderId="100" xfId="1" applyNumberFormat="1" applyFont="1" applyFill="1" applyBorder="1" applyProtection="1">
      <protection locked="0"/>
    </xf>
    <xf numFmtId="3" fontId="14" fillId="9" borderId="100" xfId="1" applyNumberFormat="1" applyFont="1" applyFill="1" applyBorder="1" applyAlignment="1" applyProtection="1">
      <protection locked="0"/>
    </xf>
    <xf numFmtId="3" fontId="14" fillId="9" borderId="101" xfId="1" applyNumberFormat="1" applyFont="1" applyFill="1" applyBorder="1" applyProtection="1">
      <protection locked="0"/>
    </xf>
    <xf numFmtId="3" fontId="14" fillId="9" borderId="2" xfId="1" quotePrefix="1" applyNumberFormat="1" applyFont="1" applyFill="1" applyBorder="1" applyProtection="1">
      <protection locked="0"/>
    </xf>
    <xf numFmtId="3" fontId="14" fillId="9" borderId="2" xfId="1" applyNumberFormat="1" applyFont="1" applyFill="1" applyBorder="1" applyAlignment="1" applyProtection="1">
      <protection locked="0"/>
    </xf>
    <xf numFmtId="4" fontId="14" fillId="9" borderId="2" xfId="1" applyNumberFormat="1" applyFont="1" applyFill="1" applyBorder="1" applyAlignment="1" applyProtection="1">
      <protection locked="0"/>
    </xf>
    <xf numFmtId="3" fontId="14" fillId="9" borderId="104" xfId="1" applyNumberFormat="1" applyFont="1" applyFill="1" applyBorder="1" applyAlignment="1" applyProtection="1">
      <protection locked="0"/>
    </xf>
    <xf numFmtId="1" fontId="106" fillId="9" borderId="2" xfId="0" applyNumberFormat="1" applyFont="1" applyFill="1" applyBorder="1" applyAlignment="1" applyProtection="1">
      <alignment horizontal="center"/>
      <protection locked="0"/>
    </xf>
    <xf numFmtId="1" fontId="106" fillId="9" borderId="38" xfId="0" applyNumberFormat="1" applyFont="1" applyFill="1" applyBorder="1" applyAlignment="1" applyProtection="1">
      <alignment horizontal="center"/>
      <protection locked="0"/>
    </xf>
    <xf numFmtId="1" fontId="106" fillId="9" borderId="52" xfId="0" applyNumberFormat="1" applyFont="1" applyFill="1" applyBorder="1" applyAlignment="1" applyProtection="1">
      <alignment horizontal="center"/>
      <protection locked="0"/>
    </xf>
    <xf numFmtId="1" fontId="106" fillId="9" borderId="105" xfId="0" applyNumberFormat="1" applyFont="1" applyFill="1" applyBorder="1" applyAlignment="1" applyProtection="1">
      <alignment horizontal="center"/>
      <protection locked="0"/>
    </xf>
    <xf numFmtId="1" fontId="14" fillId="6" borderId="2" xfId="0" applyNumberFormat="1" applyFont="1" applyFill="1" applyBorder="1" applyAlignment="1" applyProtection="1">
      <alignment horizontal="center"/>
      <protection locked="0"/>
    </xf>
    <xf numFmtId="1" fontId="14" fillId="6" borderId="31" xfId="0" applyNumberFormat="1" applyFont="1" applyFill="1" applyBorder="1" applyAlignment="1" applyProtection="1">
      <alignment horizontal="center"/>
      <protection locked="0"/>
    </xf>
    <xf numFmtId="3" fontId="106" fillId="6" borderId="31" xfId="0" applyNumberFormat="1" applyFont="1" applyFill="1" applyBorder="1" applyAlignment="1" applyProtection="1">
      <alignment horizontal="center"/>
      <protection locked="0"/>
    </xf>
    <xf numFmtId="3" fontId="106" fillId="6" borderId="17" xfId="0" applyNumberFormat="1" applyFont="1" applyFill="1" applyBorder="1" applyAlignment="1" applyProtection="1">
      <alignment horizontal="center"/>
      <protection locked="0"/>
    </xf>
    <xf numFmtId="1" fontId="106" fillId="6" borderId="2" xfId="0" applyNumberFormat="1" applyFont="1" applyFill="1" applyBorder="1" applyAlignment="1" applyProtection="1">
      <alignment horizontal="center"/>
      <protection locked="0"/>
    </xf>
    <xf numFmtId="1" fontId="106" fillId="6" borderId="31" xfId="0" applyNumberFormat="1" applyFont="1" applyFill="1" applyBorder="1" applyAlignment="1" applyProtection="1">
      <alignment horizontal="center"/>
      <protection locked="0"/>
    </xf>
    <xf numFmtId="3" fontId="106" fillId="6" borderId="2" xfId="0" applyNumberFormat="1" applyFont="1" applyFill="1" applyBorder="1" applyAlignment="1" applyProtection="1">
      <alignment horizontal="right" wrapText="1"/>
      <protection locked="0"/>
    </xf>
    <xf numFmtId="3" fontId="0" fillId="6" borderId="2" xfId="0" applyNumberFormat="1" applyFill="1" applyBorder="1" applyAlignment="1" applyProtection="1">
      <alignment horizontal="right" wrapText="1"/>
      <protection locked="0"/>
    </xf>
    <xf numFmtId="3" fontId="0" fillId="6" borderId="82" xfId="0" applyNumberFormat="1" applyFill="1" applyBorder="1" applyAlignment="1" applyProtection="1">
      <alignment horizontal="right" wrapText="1"/>
      <protection locked="0"/>
    </xf>
    <xf numFmtId="3" fontId="106" fillId="0" borderId="2" xfId="0" applyNumberFormat="1" applyFont="1" applyFill="1" applyBorder="1" applyProtection="1">
      <protection locked="0"/>
    </xf>
    <xf numFmtId="3" fontId="106" fillId="0" borderId="2" xfId="0" applyNumberFormat="1" applyFont="1" applyBorder="1" applyAlignment="1" applyProtection="1">
      <alignment horizontal="right" wrapText="1"/>
      <protection locked="0"/>
    </xf>
    <xf numFmtId="3" fontId="0" fillId="0" borderId="2" xfId="0" applyNumberFormat="1" applyBorder="1" applyAlignment="1" applyProtection="1">
      <alignment horizontal="right" wrapText="1"/>
      <protection locked="0"/>
    </xf>
    <xf numFmtId="3" fontId="106" fillId="0" borderId="82" xfId="0" applyNumberFormat="1" applyFont="1" applyBorder="1" applyAlignment="1" applyProtection="1">
      <alignment horizontal="right" wrapText="1"/>
      <protection locked="0"/>
    </xf>
    <xf numFmtId="3" fontId="106" fillId="0" borderId="44" xfId="0" applyNumberFormat="1" applyFont="1" applyFill="1" applyBorder="1" applyProtection="1">
      <protection locked="0"/>
    </xf>
    <xf numFmtId="3" fontId="106" fillId="0" borderId="44" xfId="0" applyNumberFormat="1" applyFont="1" applyBorder="1" applyAlignment="1" applyProtection="1">
      <alignment horizontal="right" wrapText="1"/>
      <protection locked="0"/>
    </xf>
    <xf numFmtId="3" fontId="0" fillId="0" borderId="44" xfId="0" applyNumberFormat="1" applyBorder="1" applyAlignment="1" applyProtection="1">
      <alignment horizontal="right" wrapText="1"/>
      <protection locked="0"/>
    </xf>
    <xf numFmtId="3" fontId="106" fillId="0" borderId="83" xfId="0" applyNumberFormat="1" applyFont="1" applyBorder="1" applyAlignment="1" applyProtection="1">
      <alignment horizontal="right" wrapText="1"/>
      <protection locked="0"/>
    </xf>
    <xf numFmtId="168" fontId="45" fillId="5" borderId="2" xfId="0" applyNumberFormat="1" applyFont="1" applyFill="1" applyBorder="1" applyAlignment="1" applyProtection="1">
      <alignment horizontal="center" vertical="center"/>
      <protection locked="0"/>
    </xf>
    <xf numFmtId="168" fontId="113" fillId="5" borderId="2" xfId="0" applyNumberFormat="1" applyFont="1" applyFill="1" applyBorder="1" applyAlignment="1" applyProtection="1">
      <alignment horizontal="center" vertical="center"/>
      <protection locked="0"/>
    </xf>
    <xf numFmtId="168" fontId="100" fillId="5" borderId="2" xfId="0" applyNumberFormat="1" applyFont="1" applyFill="1" applyBorder="1" applyAlignment="1" applyProtection="1">
      <alignment horizontal="center" vertical="center"/>
      <protection locked="0"/>
    </xf>
    <xf numFmtId="168" fontId="2" fillId="5" borderId="2" xfId="0" applyNumberFormat="1" applyFont="1" applyFill="1" applyBorder="1" applyAlignment="1" applyProtection="1">
      <alignment horizontal="center" vertical="center"/>
      <protection locked="0"/>
    </xf>
    <xf numFmtId="3" fontId="45" fillId="5" borderId="20" xfId="0" applyNumberFormat="1" applyFont="1" applyFill="1" applyBorder="1" applyAlignment="1" applyProtection="1">
      <alignment horizontal="center" vertical="center"/>
      <protection locked="0"/>
    </xf>
    <xf numFmtId="2" fontId="51" fillId="5" borderId="2" xfId="0" applyNumberFormat="1" applyFont="1" applyFill="1" applyBorder="1" applyAlignment="1" applyProtection="1">
      <alignment horizontal="center" vertical="center"/>
      <protection locked="0"/>
    </xf>
    <xf numFmtId="168" fontId="51" fillId="5" borderId="2" xfId="0" applyNumberFormat="1" applyFont="1" applyFill="1" applyBorder="1" applyAlignment="1" applyProtection="1">
      <alignment horizontal="center" vertical="center"/>
      <protection locked="0"/>
    </xf>
    <xf numFmtId="3" fontId="51" fillId="5" borderId="20" xfId="0" applyNumberFormat="1" applyFont="1" applyFill="1" applyBorder="1" applyAlignment="1" applyProtection="1">
      <alignment horizontal="center" vertical="center"/>
      <protection locked="0"/>
    </xf>
    <xf numFmtId="176" fontId="45" fillId="20" borderId="2" xfId="0" applyNumberFormat="1" applyFont="1" applyFill="1" applyBorder="1" applyAlignment="1" applyProtection="1">
      <alignment horizontal="center" vertical="center"/>
      <protection locked="0"/>
    </xf>
    <xf numFmtId="168" fontId="113" fillId="20" borderId="2" xfId="0" applyNumberFormat="1" applyFont="1" applyFill="1" applyBorder="1" applyAlignment="1" applyProtection="1">
      <alignment horizontal="center" vertical="center"/>
      <protection locked="0"/>
    </xf>
    <xf numFmtId="168" fontId="100" fillId="20" borderId="2" xfId="0" applyNumberFormat="1" applyFont="1" applyFill="1" applyBorder="1" applyAlignment="1" applyProtection="1">
      <alignment horizontal="center" vertical="center"/>
      <protection locked="0"/>
    </xf>
    <xf numFmtId="168" fontId="45" fillId="20" borderId="2" xfId="0" applyNumberFormat="1" applyFont="1" applyFill="1" applyBorder="1" applyAlignment="1" applyProtection="1">
      <alignment horizontal="center" vertical="center"/>
      <protection locked="0"/>
    </xf>
    <xf numFmtId="3" fontId="45" fillId="7" borderId="20" xfId="0" applyNumberFormat="1" applyFont="1" applyFill="1" applyBorder="1" applyAlignment="1" applyProtection="1">
      <alignment horizontal="center" vertical="center"/>
      <protection locked="0"/>
    </xf>
    <xf numFmtId="176" fontId="51" fillId="20" borderId="2" xfId="0" applyNumberFormat="1" applyFont="1" applyFill="1" applyBorder="1" applyAlignment="1" applyProtection="1">
      <alignment horizontal="center" vertical="center"/>
      <protection locked="0"/>
    </xf>
    <xf numFmtId="168" fontId="51" fillId="20" borderId="2" xfId="0" applyNumberFormat="1" applyFont="1" applyFill="1" applyBorder="1" applyAlignment="1" applyProtection="1">
      <alignment horizontal="center" vertical="center"/>
      <protection locked="0"/>
    </xf>
    <xf numFmtId="3" fontId="51" fillId="7" borderId="20" xfId="0" applyNumberFormat="1" applyFont="1" applyFill="1" applyBorder="1" applyAlignment="1" applyProtection="1">
      <alignment horizontal="center" vertical="center"/>
      <protection locked="0"/>
    </xf>
    <xf numFmtId="10" fontId="45" fillId="5" borderId="2" xfId="19" applyNumberFormat="1" applyFont="1" applyFill="1" applyBorder="1" applyAlignment="1" applyProtection="1">
      <alignment horizontal="center" vertical="center"/>
      <protection locked="0"/>
    </xf>
    <xf numFmtId="10" fontId="113" fillId="5" borderId="2" xfId="19" applyNumberFormat="1" applyFont="1" applyFill="1" applyBorder="1" applyAlignment="1" applyProtection="1">
      <alignment horizontal="center" vertical="center"/>
      <protection locked="0"/>
    </xf>
    <xf numFmtId="10" fontId="100" fillId="5" borderId="2" xfId="19" applyNumberFormat="1" applyFont="1" applyFill="1" applyBorder="1" applyAlignment="1" applyProtection="1">
      <alignment horizontal="center" vertical="center"/>
      <protection locked="0"/>
    </xf>
    <xf numFmtId="10" fontId="2" fillId="21" borderId="2" xfId="19" applyNumberFormat="1" applyFont="1" applyFill="1" applyBorder="1" applyAlignment="1" applyProtection="1">
      <alignment horizontal="center" vertical="center"/>
      <protection locked="0"/>
    </xf>
    <xf numFmtId="10" fontId="45" fillId="21" borderId="2" xfId="19" applyNumberFormat="1" applyFont="1" applyFill="1" applyBorder="1" applyAlignment="1" applyProtection="1">
      <alignment horizontal="center" vertical="center"/>
      <protection locked="0"/>
    </xf>
    <xf numFmtId="10" fontId="45" fillId="5" borderId="20" xfId="19" applyNumberFormat="1" applyFont="1" applyFill="1" applyBorder="1" applyAlignment="1" applyProtection="1">
      <alignment horizontal="center" vertical="center"/>
      <protection locked="0"/>
    </xf>
    <xf numFmtId="10" fontId="51" fillId="5" borderId="2" xfId="19" applyNumberFormat="1" applyFont="1" applyFill="1" applyBorder="1" applyAlignment="1" applyProtection="1">
      <alignment horizontal="center" vertical="center"/>
      <protection locked="0"/>
    </xf>
    <xf numFmtId="10" fontId="51" fillId="21" borderId="2" xfId="19" applyNumberFormat="1" applyFont="1" applyFill="1" applyBorder="1" applyAlignment="1" applyProtection="1">
      <alignment horizontal="center" vertical="center"/>
      <protection locked="0"/>
    </xf>
    <xf numFmtId="10" fontId="51" fillId="5" borderId="20" xfId="19" applyNumberFormat="1" applyFont="1" applyFill="1" applyBorder="1" applyAlignment="1" applyProtection="1">
      <alignment horizontal="center" vertical="center"/>
      <protection locked="0"/>
    </xf>
    <xf numFmtId="168" fontId="2" fillId="7" borderId="2" xfId="0" applyNumberFormat="1" applyFont="1" applyFill="1" applyBorder="1" applyAlignment="1" applyProtection="1">
      <alignment horizontal="center" vertical="center"/>
      <protection locked="0"/>
    </xf>
    <xf numFmtId="168" fontId="45" fillId="7" borderId="2" xfId="0" applyNumberFormat="1" applyFont="1" applyFill="1" applyBorder="1" applyAlignment="1" applyProtection="1">
      <alignment horizontal="center" vertical="center"/>
      <protection locked="0"/>
    </xf>
    <xf numFmtId="3" fontId="45" fillId="12" borderId="2" xfId="0" applyNumberFormat="1" applyFont="1" applyFill="1" applyBorder="1" applyAlignment="1" applyProtection="1">
      <alignment horizontal="center" vertical="center"/>
      <protection locked="0"/>
    </xf>
    <xf numFmtId="1" fontId="45" fillId="12" borderId="2" xfId="0" applyNumberFormat="1" applyFont="1" applyFill="1" applyBorder="1" applyAlignment="1" applyProtection="1">
      <alignment horizontal="center" vertical="center"/>
      <protection locked="0"/>
    </xf>
    <xf numFmtId="3" fontId="45" fillId="12" borderId="20" xfId="0" applyNumberFormat="1" applyFont="1" applyFill="1" applyBorder="1" applyAlignment="1" applyProtection="1">
      <alignment horizontal="center" vertical="center"/>
      <protection locked="0"/>
    </xf>
    <xf numFmtId="3" fontId="45" fillId="7" borderId="2" xfId="0" applyNumberFormat="1" applyFont="1" applyFill="1" applyBorder="1" applyAlignment="1" applyProtection="1">
      <alignment horizontal="center" vertical="center"/>
      <protection locked="0"/>
    </xf>
    <xf numFmtId="3" fontId="100" fillId="7" borderId="2" xfId="0" applyNumberFormat="1" applyFont="1" applyFill="1" applyBorder="1" applyAlignment="1" applyProtection="1">
      <alignment horizontal="center" vertical="center"/>
      <protection locked="0"/>
    </xf>
    <xf numFmtId="1" fontId="2" fillId="7" borderId="2" xfId="0" applyNumberFormat="1" applyFont="1" applyFill="1" applyBorder="1" applyAlignment="1" applyProtection="1">
      <alignment horizontal="center" vertical="center"/>
      <protection locked="0"/>
    </xf>
    <xf numFmtId="10" fontId="45" fillId="12" borderId="2" xfId="0" applyNumberFormat="1" applyFont="1" applyFill="1" applyBorder="1" applyAlignment="1" applyProtection="1">
      <alignment horizontal="center" vertical="center"/>
      <protection locked="0"/>
    </xf>
    <xf numFmtId="175" fontId="45" fillId="12" borderId="2" xfId="0" applyNumberFormat="1" applyFont="1" applyFill="1" applyBorder="1" applyAlignment="1" applyProtection="1">
      <alignment horizontal="center" vertical="center"/>
      <protection locked="0"/>
    </xf>
    <xf numFmtId="168" fontId="2" fillId="12" borderId="2" xfId="0" applyNumberFormat="1" applyFont="1" applyFill="1" applyBorder="1" applyAlignment="1" applyProtection="1">
      <alignment horizontal="center" vertical="center"/>
      <protection locked="0"/>
    </xf>
    <xf numFmtId="168" fontId="45" fillId="12" borderId="2" xfId="0" applyNumberFormat="1" applyFont="1" applyFill="1" applyBorder="1" applyAlignment="1" applyProtection="1">
      <alignment horizontal="center" vertical="center"/>
      <protection locked="0"/>
    </xf>
    <xf numFmtId="10" fontId="51" fillId="12" borderId="2" xfId="0" applyNumberFormat="1" applyFont="1" applyFill="1" applyBorder="1" applyAlignment="1" applyProtection="1">
      <alignment horizontal="center" vertical="center"/>
      <protection locked="0"/>
    </xf>
    <xf numFmtId="175" fontId="51" fillId="12" borderId="2" xfId="0" applyNumberFormat="1" applyFont="1" applyFill="1" applyBorder="1" applyAlignment="1" applyProtection="1">
      <alignment horizontal="center" vertical="center"/>
      <protection locked="0"/>
    </xf>
    <xf numFmtId="168" fontId="51" fillId="12" borderId="2" xfId="0" applyNumberFormat="1" applyFont="1" applyFill="1" applyBorder="1" applyAlignment="1" applyProtection="1">
      <alignment horizontal="center" vertical="center"/>
      <protection locked="0"/>
    </xf>
    <xf numFmtId="3" fontId="51" fillId="12" borderId="20" xfId="0" applyNumberFormat="1" applyFont="1" applyFill="1" applyBorder="1" applyAlignment="1" applyProtection="1">
      <alignment horizontal="center" vertical="center"/>
      <protection locked="0"/>
    </xf>
    <xf numFmtId="168" fontId="113" fillId="7" borderId="2" xfId="0" applyNumberFormat="1" applyFont="1" applyFill="1" applyBorder="1" applyAlignment="1" applyProtection="1">
      <alignment horizontal="right" vertical="center"/>
      <protection locked="0"/>
    </xf>
    <xf numFmtId="168" fontId="100" fillId="7" borderId="2" xfId="0" applyNumberFormat="1" applyFont="1" applyFill="1" applyBorder="1" applyAlignment="1" applyProtection="1">
      <alignment horizontal="right" vertical="center"/>
      <protection locked="0"/>
    </xf>
    <xf numFmtId="168" fontId="45" fillId="7" borderId="2" xfId="0" applyNumberFormat="1" applyFont="1" applyFill="1" applyBorder="1" applyAlignment="1" applyProtection="1">
      <alignment horizontal="right" vertical="center"/>
      <protection locked="0"/>
    </xf>
    <xf numFmtId="3" fontId="45" fillId="7" borderId="20" xfId="0" applyNumberFormat="1" applyFont="1" applyFill="1" applyBorder="1" applyAlignment="1" applyProtection="1">
      <alignment horizontal="right" vertical="center"/>
      <protection locked="0"/>
    </xf>
    <xf numFmtId="2" fontId="51" fillId="7" borderId="2" xfId="0" applyNumberFormat="1" applyFont="1" applyFill="1" applyBorder="1" applyAlignment="1" applyProtection="1">
      <alignment horizontal="center" vertical="center"/>
      <protection locked="0"/>
    </xf>
    <xf numFmtId="168" fontId="51" fillId="7" borderId="2" xfId="0" applyNumberFormat="1" applyFont="1" applyFill="1" applyBorder="1" applyAlignment="1" applyProtection="1">
      <alignment horizontal="right" vertical="center"/>
      <protection locked="0"/>
    </xf>
    <xf numFmtId="3" fontId="51" fillId="7" borderId="20" xfId="0" applyNumberFormat="1" applyFont="1" applyFill="1" applyBorder="1" applyAlignment="1" applyProtection="1">
      <alignment horizontal="right" vertical="center"/>
      <protection locked="0"/>
    </xf>
    <xf numFmtId="3" fontId="45" fillId="12" borderId="2" xfId="0" applyNumberFormat="1" applyFont="1" applyFill="1" applyBorder="1" applyAlignment="1" applyProtection="1">
      <alignment vertical="center"/>
      <protection locked="0"/>
    </xf>
    <xf numFmtId="3" fontId="45" fillId="12" borderId="2" xfId="0" applyNumberFormat="1" applyFont="1" applyFill="1" applyBorder="1" applyAlignment="1" applyProtection="1">
      <alignment horizontal="right" vertical="center"/>
      <protection locked="0"/>
    </xf>
    <xf numFmtId="3" fontId="45" fillId="12" borderId="20" xfId="0" applyNumberFormat="1" applyFont="1" applyFill="1" applyBorder="1" applyAlignment="1" applyProtection="1">
      <alignment vertical="center"/>
      <protection locked="0"/>
    </xf>
    <xf numFmtId="176" fontId="45" fillId="7" borderId="2" xfId="0" applyNumberFormat="1" applyFont="1" applyFill="1" applyBorder="1" applyAlignment="1" applyProtection="1">
      <alignment horizontal="center" vertical="center"/>
      <protection locked="0"/>
    </xf>
    <xf numFmtId="176" fontId="51" fillId="7" borderId="2" xfId="0" applyNumberFormat="1" applyFont="1" applyFill="1" applyBorder="1" applyAlignment="1" applyProtection="1">
      <alignment horizontal="center" vertical="center"/>
      <protection locked="0"/>
    </xf>
    <xf numFmtId="1" fontId="45" fillId="7" borderId="2" xfId="0" applyNumberFormat="1" applyFont="1" applyFill="1" applyBorder="1" applyAlignment="1" applyProtection="1">
      <alignment horizontal="center" vertical="center"/>
      <protection locked="0"/>
    </xf>
    <xf numFmtId="1" fontId="51" fillId="7" borderId="2" xfId="0" applyNumberFormat="1" applyFont="1" applyFill="1" applyBorder="1" applyAlignment="1" applyProtection="1">
      <alignment horizontal="center" vertical="center"/>
      <protection locked="0"/>
    </xf>
    <xf numFmtId="1" fontId="51" fillId="12" borderId="2" xfId="0" applyNumberFormat="1" applyFont="1" applyFill="1" applyBorder="1" applyAlignment="1" applyProtection="1">
      <alignment horizontal="center" vertical="center"/>
      <protection locked="0"/>
    </xf>
    <xf numFmtId="3" fontId="51" fillId="12" borderId="2" xfId="0" applyNumberFormat="1" applyFont="1" applyFill="1" applyBorder="1" applyAlignment="1" applyProtection="1">
      <alignment vertical="center"/>
      <protection locked="0"/>
    </xf>
    <xf numFmtId="3" fontId="51" fillId="12" borderId="2" xfId="0" applyNumberFormat="1" applyFont="1" applyFill="1" applyBorder="1" applyAlignment="1" applyProtection="1">
      <alignment horizontal="right" vertical="center"/>
      <protection locked="0"/>
    </xf>
    <xf numFmtId="3" fontId="51" fillId="12" borderId="20" xfId="0" applyNumberFormat="1" applyFont="1" applyFill="1" applyBorder="1" applyAlignment="1" applyProtection="1">
      <alignment vertical="center"/>
      <protection locked="0"/>
    </xf>
    <xf numFmtId="10" fontId="51" fillId="7" borderId="2" xfId="0" applyNumberFormat="1" applyFont="1" applyFill="1" applyBorder="1" applyAlignment="1" applyProtection="1">
      <alignment horizontal="center" vertical="center"/>
      <protection locked="0"/>
    </xf>
    <xf numFmtId="168" fontId="51" fillId="7" borderId="2" xfId="0" applyNumberFormat="1" applyFont="1" applyFill="1" applyBorder="1" applyAlignment="1" applyProtection="1">
      <alignment horizontal="center" vertical="center"/>
      <protection locked="0"/>
    </xf>
    <xf numFmtId="3" fontId="51" fillId="12" borderId="2" xfId="0" applyNumberFormat="1" applyFont="1" applyFill="1" applyBorder="1" applyAlignment="1" applyProtection="1">
      <alignment horizontal="center" vertical="center"/>
      <protection locked="0"/>
    </xf>
    <xf numFmtId="164" fontId="0" fillId="0" borderId="0" xfId="0" quotePrefix="1" applyNumberFormat="1" applyProtection="1"/>
    <xf numFmtId="164" fontId="0" fillId="0" borderId="0" xfId="0" applyNumberFormat="1" applyProtection="1"/>
    <xf numFmtId="164" fontId="9" fillId="0" borderId="0" xfId="13" applyFont="1" applyFill="1" applyAlignment="1" applyProtection="1">
      <alignment vertical="center"/>
    </xf>
    <xf numFmtId="170" fontId="23" fillId="5" borderId="0" xfId="0" applyFont="1" applyFill="1" applyBorder="1" applyAlignment="1" applyProtection="1">
      <alignment horizontal="left"/>
    </xf>
    <xf numFmtId="170" fontId="106" fillId="0" borderId="0" xfId="0" applyFont="1" applyBorder="1" applyAlignment="1" applyProtection="1">
      <alignment horizontal="left"/>
    </xf>
    <xf numFmtId="22" fontId="0" fillId="0" borderId="0" xfId="0" applyNumberFormat="1" applyProtection="1"/>
    <xf numFmtId="170" fontId="0" fillId="0" borderId="0" xfId="0" applyBorder="1" applyAlignment="1" applyProtection="1">
      <alignment horizontal="center"/>
    </xf>
    <xf numFmtId="2" fontId="104" fillId="0" borderId="0" xfId="20" applyNumberFormat="1" applyFill="1" applyBorder="1" applyAlignment="1" applyProtection="1">
      <alignment horizontal="center"/>
    </xf>
    <xf numFmtId="15" fontId="0" fillId="0" borderId="0" xfId="0" applyNumberFormat="1" applyFont="1" applyFill="1" applyBorder="1" applyAlignment="1" applyProtection="1">
      <alignment horizontal="center"/>
    </xf>
    <xf numFmtId="1" fontId="14" fillId="0" borderId="0" xfId="0" applyNumberFormat="1" applyFont="1" applyFill="1" applyBorder="1" applyAlignment="1" applyProtection="1">
      <alignment horizontal="center"/>
    </xf>
    <xf numFmtId="1" fontId="54" fillId="3" borderId="0" xfId="0" applyNumberFormat="1" applyFont="1" applyFill="1" applyBorder="1" applyAlignment="1" applyProtection="1">
      <alignment horizontal="center"/>
    </xf>
    <xf numFmtId="170" fontId="123" fillId="0" borderId="0" xfId="0" applyFont="1" applyProtection="1"/>
    <xf numFmtId="170" fontId="1" fillId="0" borderId="0" xfId="0" applyFont="1" applyBorder="1" applyAlignment="1" applyProtection="1"/>
    <xf numFmtId="170" fontId="1" fillId="0" borderId="0" xfId="0" applyFont="1" applyFill="1" applyBorder="1" applyAlignment="1" applyProtection="1"/>
    <xf numFmtId="170" fontId="55" fillId="0" borderId="0" xfId="0" applyFont="1" applyProtection="1"/>
    <xf numFmtId="170" fontId="21" fillId="0" borderId="0" xfId="0" applyFont="1" applyFill="1" applyBorder="1" applyAlignment="1" applyProtection="1">
      <alignment vertical="center" wrapText="1"/>
    </xf>
    <xf numFmtId="170" fontId="21" fillId="0" borderId="0" xfId="0" applyFont="1" applyFill="1" applyBorder="1" applyAlignment="1" applyProtection="1">
      <alignment horizontal="center"/>
    </xf>
    <xf numFmtId="170" fontId="0" fillId="3" borderId="0" xfId="0" applyFill="1" applyBorder="1" applyAlignment="1" applyProtection="1">
      <alignment horizontal="center"/>
    </xf>
    <xf numFmtId="164" fontId="9" fillId="0" borderId="0" xfId="4" applyFont="1" applyFill="1" applyAlignment="1" applyProtection="1">
      <alignment vertical="center"/>
    </xf>
    <xf numFmtId="170" fontId="124" fillId="0" borderId="0" xfId="0" applyFont="1" applyProtection="1"/>
    <xf numFmtId="170" fontId="126" fillId="5" borderId="0" xfId="0" applyFont="1" applyFill="1" applyBorder="1" applyAlignment="1" applyProtection="1">
      <alignment horizontal="left"/>
    </xf>
    <xf numFmtId="170" fontId="122" fillId="0" borderId="0" xfId="0" applyFont="1" applyProtection="1"/>
    <xf numFmtId="170" fontId="124" fillId="0" borderId="0" xfId="0" applyFont="1" applyBorder="1" applyAlignment="1" applyProtection="1">
      <alignment horizontal="left" wrapText="1"/>
    </xf>
    <xf numFmtId="170" fontId="27" fillId="0" borderId="0" xfId="0" applyFont="1" applyFill="1" applyAlignment="1" applyProtection="1">
      <alignment horizontal="left"/>
    </xf>
    <xf numFmtId="170" fontId="27" fillId="0" borderId="0" xfId="0" applyFont="1" applyFill="1" applyBorder="1" applyAlignment="1" applyProtection="1">
      <alignment horizontal="left"/>
    </xf>
    <xf numFmtId="170" fontId="136" fillId="0" borderId="0" xfId="0" applyFont="1" applyAlignment="1" applyProtection="1">
      <alignment horizontal="center" vertical="center"/>
    </xf>
    <xf numFmtId="170" fontId="106" fillId="0" borderId="0" xfId="0" applyFont="1" applyProtection="1"/>
    <xf numFmtId="171" fontId="21" fillId="0" borderId="0" xfId="0" applyNumberFormat="1" applyFont="1" applyProtection="1"/>
    <xf numFmtId="170" fontId="6" fillId="0" borderId="0" xfId="0" applyFont="1" applyProtection="1"/>
    <xf numFmtId="170" fontId="137" fillId="0" borderId="0" xfId="0" applyFont="1" applyAlignment="1" applyProtection="1">
      <alignment horizontal="center" vertical="center"/>
    </xf>
    <xf numFmtId="170" fontId="139" fillId="0" borderId="0" xfId="0" applyFont="1" applyProtection="1"/>
    <xf numFmtId="170" fontId="140" fillId="0" borderId="0" xfId="0" applyFont="1" applyAlignment="1" applyProtection="1">
      <alignment horizontal="center"/>
    </xf>
    <xf numFmtId="170" fontId="140" fillId="0" borderId="0" xfId="0" applyFont="1" applyProtection="1"/>
    <xf numFmtId="170" fontId="144" fillId="0" borderId="0" xfId="0" applyFont="1" applyProtection="1"/>
    <xf numFmtId="170" fontId="27" fillId="5" borderId="0" xfId="0" applyFont="1" applyFill="1" applyBorder="1" applyAlignment="1" applyProtection="1">
      <alignment horizontal="right" vertical="top" wrapText="1"/>
    </xf>
    <xf numFmtId="170" fontId="23" fillId="5" borderId="0" xfId="0" applyFont="1" applyFill="1" applyBorder="1" applyAlignment="1" applyProtection="1">
      <alignment horizontal="right" vertical="top" wrapText="1"/>
    </xf>
    <xf numFmtId="3" fontId="145" fillId="3" borderId="3" xfId="0" applyNumberFormat="1" applyFont="1" applyFill="1" applyBorder="1" applyAlignment="1" applyProtection="1">
      <alignment horizontal="right"/>
    </xf>
    <xf numFmtId="3" fontId="145" fillId="3" borderId="3" xfId="1" applyNumberFormat="1" applyFont="1" applyFill="1" applyBorder="1" applyProtection="1"/>
    <xf numFmtId="9" fontId="145" fillId="3" borderId="3" xfId="19" applyFont="1" applyFill="1" applyBorder="1" applyProtection="1"/>
    <xf numFmtId="170" fontId="145" fillId="0" borderId="0" xfId="0" applyFont="1" applyProtection="1"/>
    <xf numFmtId="170" fontId="146" fillId="0" borderId="0" xfId="0" applyFont="1" applyProtection="1"/>
    <xf numFmtId="2" fontId="136" fillId="0" borderId="0" xfId="0" applyNumberFormat="1" applyFont="1" applyAlignment="1" applyProtection="1">
      <alignment horizontal="center" vertical="center"/>
    </xf>
    <xf numFmtId="9" fontId="145" fillId="3" borderId="3" xfId="19" applyNumberFormat="1" applyFont="1" applyFill="1" applyBorder="1" applyProtection="1"/>
    <xf numFmtId="170" fontId="145" fillId="3" borderId="3" xfId="0" applyFont="1" applyFill="1" applyBorder="1" applyProtection="1"/>
    <xf numFmtId="9" fontId="145" fillId="3" borderId="3" xfId="19" applyFont="1" applyFill="1" applyBorder="1" applyAlignment="1" applyProtection="1">
      <alignment horizontal="center"/>
    </xf>
    <xf numFmtId="164" fontId="145" fillId="0" borderId="0" xfId="0" applyNumberFormat="1" applyFont="1" applyProtection="1"/>
    <xf numFmtId="170" fontId="14" fillId="3" borderId="3" xfId="0" applyFont="1" applyFill="1" applyBorder="1" applyProtection="1"/>
    <xf numFmtId="9" fontId="14" fillId="3" borderId="3" xfId="19" applyFont="1" applyFill="1" applyBorder="1" applyProtection="1"/>
    <xf numFmtId="170" fontId="143" fillId="0" borderId="0" xfId="0" applyFont="1" applyProtection="1"/>
    <xf numFmtId="164" fontId="10" fillId="13" borderId="0" xfId="4" applyFont="1" applyFill="1" applyBorder="1" applyAlignment="1">
      <alignment horizontal="center" vertical="center"/>
    </xf>
    <xf numFmtId="164" fontId="26" fillId="0" borderId="0" xfId="0" applyNumberFormat="1" applyFont="1" applyAlignment="1">
      <alignment horizontal="center"/>
    </xf>
    <xf numFmtId="170" fontId="0" fillId="0" borderId="0" xfId="0" applyAlignment="1"/>
    <xf numFmtId="170" fontId="98" fillId="0" borderId="0" xfId="0" applyFont="1" applyAlignment="1">
      <alignment horizontal="center"/>
    </xf>
    <xf numFmtId="170" fontId="99" fillId="0" borderId="0" xfId="0" applyFont="1" applyAlignment="1">
      <alignment horizontal="center"/>
    </xf>
    <xf numFmtId="170" fontId="26" fillId="25" borderId="126" xfId="0" applyFont="1" applyFill="1" applyBorder="1" applyAlignment="1">
      <alignment horizontal="center" vertical="center" textRotation="90"/>
    </xf>
    <xf numFmtId="0" fontId="45" fillId="27" borderId="2" xfId="0" applyNumberFormat="1" applyFont="1" applyFill="1" applyBorder="1" applyAlignment="1" applyProtection="1">
      <alignment horizontal="left" vertical="center" wrapText="1"/>
    </xf>
    <xf numFmtId="0" fontId="45" fillId="28" borderId="225" xfId="0" applyNumberFormat="1" applyFont="1" applyFill="1" applyBorder="1" applyAlignment="1" applyProtection="1">
      <alignment horizontal="center" vertical="center" wrapText="1"/>
    </xf>
    <xf numFmtId="0" fontId="45" fillId="28" borderId="224" xfId="0" applyNumberFormat="1" applyFont="1" applyFill="1" applyBorder="1" applyAlignment="1" applyProtection="1">
      <alignment horizontal="center" vertical="center" wrapText="1"/>
    </xf>
    <xf numFmtId="0" fontId="45" fillId="28" borderId="87" xfId="0" applyNumberFormat="1" applyFont="1" applyFill="1" applyBorder="1" applyAlignment="1" applyProtection="1">
      <alignment horizontal="center" vertical="center" wrapText="1"/>
    </xf>
    <xf numFmtId="0" fontId="45" fillId="28" borderId="74" xfId="0" applyNumberFormat="1" applyFont="1" applyFill="1" applyBorder="1" applyAlignment="1" applyProtection="1">
      <alignment horizontal="center" vertical="center" wrapText="1"/>
    </xf>
    <xf numFmtId="170" fontId="45" fillId="26" borderId="2" xfId="0" applyNumberFormat="1" applyFont="1" applyFill="1" applyBorder="1" applyAlignment="1" applyProtection="1">
      <alignment horizontal="left" vertical="center" wrapText="1"/>
    </xf>
    <xf numFmtId="170" fontId="45" fillId="26" borderId="225" xfId="0" applyNumberFormat="1" applyFont="1" applyFill="1" applyBorder="1" applyAlignment="1" applyProtection="1">
      <alignment horizontal="center" vertical="center" wrapText="1"/>
    </xf>
    <xf numFmtId="170" fontId="45" fillId="26" borderId="224" xfId="0" applyNumberFormat="1" applyFont="1" applyFill="1" applyBorder="1" applyAlignment="1" applyProtection="1">
      <alignment horizontal="center" vertical="center" wrapText="1"/>
    </xf>
    <xf numFmtId="170" fontId="45" fillId="26" borderId="87" xfId="0" applyNumberFormat="1" applyFont="1" applyFill="1" applyBorder="1" applyAlignment="1" applyProtection="1">
      <alignment horizontal="center" vertical="center" wrapText="1"/>
    </xf>
    <xf numFmtId="170" fontId="45" fillId="26" borderId="74" xfId="0" applyNumberFormat="1" applyFont="1" applyFill="1" applyBorder="1" applyAlignment="1" applyProtection="1">
      <alignment horizontal="center" vertical="center" wrapText="1"/>
    </xf>
    <xf numFmtId="164" fontId="42" fillId="14" borderId="0" xfId="4" applyFont="1" applyFill="1" applyAlignment="1" applyProtection="1">
      <alignment horizontal="center" vertical="center"/>
    </xf>
    <xf numFmtId="49" fontId="0" fillId="0" borderId="27" xfId="0" applyNumberFormat="1" applyBorder="1" applyAlignment="1" applyProtection="1">
      <alignment horizontal="center"/>
    </xf>
    <xf numFmtId="49" fontId="0" fillId="0" borderId="29" xfId="0" applyNumberFormat="1" applyBorder="1" applyAlignment="1" applyProtection="1">
      <alignment horizontal="center"/>
    </xf>
    <xf numFmtId="170" fontId="85" fillId="0" borderId="0" xfId="0" applyFont="1" applyAlignment="1" applyProtection="1">
      <alignment horizontal="right"/>
    </xf>
    <xf numFmtId="49" fontId="0" fillId="0" borderId="27" xfId="0" applyNumberFormat="1" applyBorder="1" applyAlignment="1" applyProtection="1">
      <alignment horizontal="justify" wrapText="1"/>
    </xf>
    <xf numFmtId="49" fontId="0" fillId="0" borderId="28" xfId="0" applyNumberFormat="1" applyBorder="1" applyAlignment="1" applyProtection="1">
      <alignment horizontal="justify" wrapText="1"/>
    </xf>
    <xf numFmtId="49" fontId="0" fillId="0" borderId="29" xfId="0" applyNumberFormat="1" applyBorder="1" applyAlignment="1" applyProtection="1">
      <alignment horizontal="justify" wrapText="1"/>
    </xf>
    <xf numFmtId="170" fontId="112" fillId="0" borderId="86" xfId="0" applyFont="1" applyFill="1" applyBorder="1" applyAlignment="1" applyProtection="1">
      <alignment horizontal="right" wrapText="1"/>
    </xf>
    <xf numFmtId="170" fontId="112" fillId="0" borderId="126" xfId="0" applyFont="1" applyFill="1" applyBorder="1" applyAlignment="1" applyProtection="1">
      <alignment horizontal="right" wrapText="1"/>
    </xf>
    <xf numFmtId="171" fontId="96" fillId="0" borderId="2" xfId="20" applyNumberFormat="1" applyFont="1" applyFill="1" applyBorder="1" applyAlignment="1" applyProtection="1">
      <alignment horizontal="center"/>
    </xf>
    <xf numFmtId="171" fontId="104" fillId="0" borderId="2" xfId="20" applyNumberFormat="1" applyFill="1" applyBorder="1" applyAlignment="1" applyProtection="1">
      <alignment horizontal="center"/>
    </xf>
    <xf numFmtId="170" fontId="85" fillId="0" borderId="86" xfId="0" applyFont="1" applyBorder="1" applyAlignment="1" applyProtection="1">
      <alignment horizontal="right"/>
    </xf>
    <xf numFmtId="172" fontId="106" fillId="0" borderId="27" xfId="0" applyNumberFormat="1" applyFont="1" applyFill="1" applyBorder="1" applyAlignment="1" applyProtection="1">
      <alignment horizontal="center"/>
    </xf>
    <xf numFmtId="172" fontId="106" fillId="0" borderId="29" xfId="0" applyNumberFormat="1" applyFont="1" applyFill="1" applyBorder="1" applyAlignment="1" applyProtection="1">
      <alignment horizontal="center"/>
    </xf>
    <xf numFmtId="49" fontId="109" fillId="0" borderId="2" xfId="0" applyNumberFormat="1" applyFont="1" applyBorder="1" applyAlignment="1" applyProtection="1">
      <alignment horizontal="center"/>
    </xf>
    <xf numFmtId="49" fontId="0" fillId="0" borderId="28" xfId="0" applyNumberFormat="1" applyBorder="1" applyAlignment="1" applyProtection="1">
      <alignment horizontal="center"/>
    </xf>
    <xf numFmtId="164" fontId="8" fillId="16" borderId="2" xfId="20" applyFont="1" applyFill="1" applyBorder="1" applyAlignment="1" applyProtection="1">
      <alignment horizontal="center"/>
    </xf>
    <xf numFmtId="49" fontId="7" fillId="0" borderId="15" xfId="0" applyNumberFormat="1" applyFont="1" applyBorder="1" applyAlignment="1" applyProtection="1">
      <alignment horizontal="center"/>
    </xf>
    <xf numFmtId="49" fontId="7" fillId="0" borderId="2" xfId="0" applyNumberFormat="1" applyFont="1" applyBorder="1" applyAlignment="1" applyProtection="1">
      <alignment horizontal="center"/>
    </xf>
    <xf numFmtId="170" fontId="51" fillId="0" borderId="120" xfId="0" applyFont="1" applyFill="1" applyBorder="1" applyAlignment="1" applyProtection="1">
      <alignment horizontal="center" vertical="center"/>
    </xf>
    <xf numFmtId="170" fontId="51" fillId="0" borderId="121" xfId="0" applyFont="1" applyFill="1" applyBorder="1" applyAlignment="1" applyProtection="1">
      <alignment horizontal="center" vertical="center"/>
    </xf>
    <xf numFmtId="170" fontId="51" fillId="0" borderId="122" xfId="0" applyFont="1" applyFill="1" applyBorder="1" applyAlignment="1" applyProtection="1">
      <alignment horizontal="center" vertical="center"/>
    </xf>
    <xf numFmtId="170" fontId="56" fillId="0" borderId="128" xfId="0" applyFont="1" applyBorder="1" applyAlignment="1" applyProtection="1">
      <alignment horizontal="right"/>
    </xf>
    <xf numFmtId="170" fontId="92" fillId="0" borderId="128" xfId="0" applyFont="1" applyBorder="1" applyAlignment="1" applyProtection="1"/>
    <xf numFmtId="164" fontId="7" fillId="0" borderId="129" xfId="0" applyNumberFormat="1" applyFont="1" applyBorder="1" applyAlignment="1" applyProtection="1">
      <alignment horizontal="center"/>
    </xf>
    <xf numFmtId="170" fontId="7" fillId="0" borderId="130" xfId="0" applyFont="1" applyBorder="1" applyAlignment="1" applyProtection="1">
      <alignment horizontal="center"/>
    </xf>
    <xf numFmtId="170" fontId="7" fillId="0" borderId="131" xfId="0" applyFont="1" applyBorder="1" applyAlignment="1" applyProtection="1">
      <alignment horizontal="center"/>
    </xf>
    <xf numFmtId="170" fontId="19" fillId="0" borderId="134" xfId="0" applyFont="1" applyBorder="1" applyAlignment="1" applyProtection="1">
      <alignment horizontal="center" wrapText="1"/>
    </xf>
    <xf numFmtId="170" fontId="19" fillId="0" borderId="135" xfId="0" applyFont="1" applyBorder="1" applyAlignment="1" applyProtection="1">
      <alignment horizontal="center" wrapText="1"/>
    </xf>
    <xf numFmtId="170" fontId="19" fillId="0" borderId="136" xfId="0" applyFont="1" applyBorder="1" applyAlignment="1" applyProtection="1">
      <alignment horizontal="center" wrapText="1"/>
    </xf>
    <xf numFmtId="170" fontId="0" fillId="5" borderId="27" xfId="0" applyFill="1" applyBorder="1" applyAlignment="1" applyProtection="1">
      <alignment horizontal="center"/>
    </xf>
    <xf numFmtId="170" fontId="0" fillId="5" borderId="29" xfId="0" applyFill="1" applyBorder="1" applyAlignment="1" applyProtection="1">
      <alignment horizontal="center"/>
    </xf>
    <xf numFmtId="0" fontId="45" fillId="26" borderId="2" xfId="0" applyNumberFormat="1" applyFont="1" applyFill="1" applyBorder="1" applyAlignment="1" applyProtection="1">
      <alignment vertical="center" wrapText="1"/>
    </xf>
    <xf numFmtId="170" fontId="85" fillId="0" borderId="0" xfId="0" applyFont="1" applyBorder="1" applyAlignment="1" applyProtection="1">
      <alignment horizontal="right"/>
    </xf>
    <xf numFmtId="170" fontId="85" fillId="0" borderId="126" xfId="0" applyFont="1" applyBorder="1" applyAlignment="1" applyProtection="1">
      <alignment horizontal="right"/>
    </xf>
    <xf numFmtId="49" fontId="0" fillId="0" borderId="2" xfId="0" applyNumberFormat="1" applyBorder="1" applyAlignment="1" applyProtection="1">
      <alignment horizontal="center"/>
    </xf>
    <xf numFmtId="49" fontId="45" fillId="0" borderId="132" xfId="0" applyNumberFormat="1" applyFont="1" applyFill="1" applyBorder="1" applyAlignment="1" applyProtection="1">
      <alignment horizontal="justify" vertical="center" wrapText="1"/>
    </xf>
    <xf numFmtId="49" fontId="45" fillId="0" borderId="108" xfId="0" applyNumberFormat="1" applyFont="1" applyFill="1" applyBorder="1" applyAlignment="1" applyProtection="1">
      <alignment horizontal="justify" vertical="center" wrapText="1"/>
    </xf>
    <xf numFmtId="49" fontId="45" fillId="0" borderId="133" xfId="0" applyNumberFormat="1" applyFont="1" applyFill="1" applyBorder="1" applyAlignment="1" applyProtection="1">
      <alignment horizontal="justify" vertical="center" wrapText="1"/>
    </xf>
    <xf numFmtId="49" fontId="45" fillId="0" borderId="72" xfId="0" applyNumberFormat="1" applyFont="1" applyFill="1" applyBorder="1" applyAlignment="1" applyProtection="1">
      <alignment horizontal="justify" vertical="center" wrapText="1"/>
    </xf>
    <xf numFmtId="49" fontId="45" fillId="0" borderId="73" xfId="0" applyNumberFormat="1" applyFont="1" applyFill="1" applyBorder="1" applyAlignment="1" applyProtection="1">
      <alignment horizontal="justify" vertical="center" wrapText="1"/>
    </xf>
    <xf numFmtId="49" fontId="45" fillId="0" borderId="77" xfId="0" applyNumberFormat="1" applyFont="1" applyFill="1" applyBorder="1" applyAlignment="1" applyProtection="1">
      <alignment horizontal="justify" vertical="center" wrapText="1"/>
    </xf>
    <xf numFmtId="0" fontId="45" fillId="10" borderId="119" xfId="0" applyNumberFormat="1" applyFont="1" applyFill="1" applyBorder="1" applyAlignment="1" applyProtection="1">
      <alignment horizontal="center" vertical="center" wrapText="1"/>
    </xf>
    <xf numFmtId="170" fontId="45" fillId="10" borderId="132" xfId="0" applyFont="1" applyFill="1" applyBorder="1" applyAlignment="1" applyProtection="1">
      <alignment horizontal="justify" vertical="center" wrapText="1"/>
    </xf>
    <xf numFmtId="170" fontId="45" fillId="10" borderId="108" xfId="0" applyFont="1" applyFill="1" applyBorder="1" applyAlignment="1" applyProtection="1">
      <alignment horizontal="justify" vertical="center" wrapText="1"/>
    </xf>
    <xf numFmtId="170" fontId="45" fillId="10" borderId="133" xfId="0" applyFont="1" applyFill="1" applyBorder="1" applyAlignment="1" applyProtection="1">
      <alignment horizontal="justify" vertical="center" wrapText="1"/>
    </xf>
    <xf numFmtId="170" fontId="45" fillId="10" borderId="72" xfId="0" applyFont="1" applyFill="1" applyBorder="1" applyAlignment="1" applyProtection="1">
      <alignment horizontal="justify" vertical="center" wrapText="1"/>
    </xf>
    <xf numFmtId="170" fontId="45" fillId="10" borderId="73" xfId="0" applyFont="1" applyFill="1" applyBorder="1" applyAlignment="1" applyProtection="1">
      <alignment horizontal="justify" vertical="center" wrapText="1"/>
    </xf>
    <xf numFmtId="170" fontId="45" fillId="10" borderId="77" xfId="0" applyFont="1" applyFill="1" applyBorder="1" applyAlignment="1" applyProtection="1">
      <alignment horizontal="justify" vertical="center" wrapText="1"/>
    </xf>
    <xf numFmtId="170" fontId="45" fillId="26" borderId="2" xfId="0" applyNumberFormat="1" applyFont="1" applyFill="1" applyBorder="1" applyAlignment="1" applyProtection="1">
      <alignment vertical="center" wrapText="1"/>
    </xf>
    <xf numFmtId="170" fontId="45" fillId="28" borderId="225" xfId="0" applyNumberFormat="1" applyFont="1" applyFill="1" applyBorder="1" applyAlignment="1" applyProtection="1">
      <alignment horizontal="center" vertical="center" wrapText="1"/>
    </xf>
    <xf numFmtId="170" fontId="45" fillId="28" borderId="226" xfId="0" applyNumberFormat="1" applyFont="1" applyFill="1" applyBorder="1" applyAlignment="1" applyProtection="1">
      <alignment horizontal="center" vertical="center" wrapText="1"/>
    </xf>
    <xf numFmtId="170" fontId="106" fillId="0" borderId="108" xfId="0" applyFont="1" applyFill="1" applyBorder="1" applyAlignment="1" applyProtection="1">
      <alignment horizontal="justify" vertical="center" wrapText="1"/>
    </xf>
    <xf numFmtId="170" fontId="106" fillId="0" borderId="133" xfId="0" applyFont="1" applyFill="1" applyBorder="1" applyAlignment="1" applyProtection="1">
      <alignment horizontal="justify" vertical="center" wrapText="1"/>
    </xf>
    <xf numFmtId="170" fontId="106" fillId="0" borderId="72" xfId="0" applyFont="1" applyFill="1" applyBorder="1" applyAlignment="1" applyProtection="1">
      <alignment horizontal="justify" vertical="center" wrapText="1"/>
    </xf>
    <xf numFmtId="170" fontId="106" fillId="0" borderId="73" xfId="0" applyFont="1" applyFill="1" applyBorder="1" applyAlignment="1" applyProtection="1">
      <alignment horizontal="justify" vertical="center" wrapText="1"/>
    </xf>
    <xf numFmtId="170" fontId="106" fillId="0" borderId="77" xfId="0" applyFont="1" applyFill="1" applyBorder="1" applyAlignment="1" applyProtection="1">
      <alignment horizontal="justify" vertical="center" wrapText="1"/>
    </xf>
    <xf numFmtId="170" fontId="45" fillId="0" borderId="115" xfId="0" applyFont="1" applyFill="1" applyBorder="1" applyAlignment="1" applyProtection="1">
      <alignment horizontal="center" vertical="center" wrapText="1"/>
    </xf>
    <xf numFmtId="170" fontId="45" fillId="0" borderId="219" xfId="0" applyFont="1" applyFill="1" applyBorder="1" applyAlignment="1" applyProtection="1">
      <alignment horizontal="center" vertical="center" wrapText="1"/>
    </xf>
    <xf numFmtId="0" fontId="45" fillId="0" borderId="87" xfId="0" applyNumberFormat="1" applyFont="1" applyFill="1" applyBorder="1" applyAlignment="1" applyProtection="1">
      <alignment horizontal="center" vertical="center" wrapText="1"/>
    </xf>
    <xf numFmtId="0" fontId="45" fillId="0" borderId="220" xfId="0" applyNumberFormat="1" applyFont="1" applyFill="1" applyBorder="1" applyAlignment="1" applyProtection="1">
      <alignment horizontal="center" vertical="center" wrapText="1"/>
    </xf>
    <xf numFmtId="170" fontId="45" fillId="26" borderId="227" xfId="0" applyNumberFormat="1" applyFont="1" applyFill="1" applyBorder="1" applyAlignment="1" applyProtection="1">
      <alignment horizontal="center" vertical="center" wrapText="1"/>
    </xf>
    <xf numFmtId="170" fontId="45" fillId="26" borderId="223" xfId="0" applyNumberFormat="1" applyFont="1" applyFill="1" applyBorder="1" applyAlignment="1" applyProtection="1">
      <alignment horizontal="center" vertical="center" wrapText="1"/>
    </xf>
    <xf numFmtId="170" fontId="45" fillId="10" borderId="29" xfId="0" applyFont="1" applyFill="1" applyBorder="1" applyAlignment="1" applyProtection="1">
      <alignment horizontal="center" vertical="center" wrapText="1"/>
    </xf>
    <xf numFmtId="170" fontId="45" fillId="0" borderId="29" xfId="0" applyFont="1" applyFill="1" applyBorder="1" applyAlignment="1" applyProtection="1">
      <alignment horizontal="center" vertical="center" wrapText="1"/>
    </xf>
    <xf numFmtId="0" fontId="45" fillId="0" borderId="119" xfId="0" applyNumberFormat="1" applyFont="1" applyFill="1" applyBorder="1" applyAlignment="1" applyProtection="1">
      <alignment horizontal="center" vertical="center" wrapText="1"/>
    </xf>
    <xf numFmtId="0" fontId="45" fillId="27" borderId="2" xfId="0" applyNumberFormat="1" applyFont="1" applyFill="1" applyBorder="1" applyAlignment="1" applyProtection="1">
      <alignment vertical="center" wrapText="1"/>
    </xf>
    <xf numFmtId="10" fontId="26" fillId="0" borderId="112" xfId="19" applyNumberFormat="1" applyFont="1" applyFill="1" applyBorder="1" applyAlignment="1" applyProtection="1">
      <alignment horizontal="center" vertical="center"/>
    </xf>
    <xf numFmtId="10" fontId="26" fillId="0" borderId="113" xfId="19" applyNumberFormat="1" applyFont="1" applyFill="1" applyBorder="1" applyAlignment="1" applyProtection="1">
      <alignment horizontal="center" vertical="center"/>
    </xf>
    <xf numFmtId="10" fontId="26" fillId="0" borderId="114" xfId="19" applyNumberFormat="1" applyFont="1" applyFill="1" applyBorder="1" applyAlignment="1" applyProtection="1">
      <alignment horizontal="center" vertical="center"/>
    </xf>
    <xf numFmtId="0" fontId="45" fillId="26" borderId="133" xfId="0" applyNumberFormat="1" applyFont="1" applyFill="1" applyBorder="1" applyAlignment="1" applyProtection="1">
      <alignment horizontal="center" vertical="center" wrapText="1"/>
    </xf>
    <xf numFmtId="0" fontId="45" fillId="26" borderId="77" xfId="0" applyNumberFormat="1" applyFont="1" applyFill="1" applyBorder="1" applyAlignment="1" applyProtection="1">
      <alignment horizontal="center" vertical="center" wrapText="1"/>
    </xf>
    <xf numFmtId="0" fontId="45" fillId="26" borderId="87" xfId="0" applyNumberFormat="1" applyFont="1" applyFill="1" applyBorder="1" applyAlignment="1" applyProtection="1">
      <alignment horizontal="center" vertical="center" wrapText="1"/>
    </xf>
    <xf numFmtId="0" fontId="45" fillId="26" borderId="74" xfId="0" applyNumberFormat="1" applyFont="1" applyFill="1" applyBorder="1" applyAlignment="1" applyProtection="1">
      <alignment horizontal="center" vertical="center" wrapText="1"/>
    </xf>
    <xf numFmtId="0" fontId="45" fillId="27" borderId="87" xfId="0" applyNumberFormat="1" applyFont="1" applyFill="1" applyBorder="1" applyAlignment="1" applyProtection="1">
      <alignment horizontal="center" vertical="center" wrapText="1"/>
    </xf>
    <xf numFmtId="0" fontId="45" fillId="27" borderId="74" xfId="0" applyNumberFormat="1" applyFont="1" applyFill="1" applyBorder="1" applyAlignment="1" applyProtection="1">
      <alignment horizontal="center" vertical="center" wrapText="1"/>
    </xf>
    <xf numFmtId="0" fontId="45" fillId="27" borderId="225" xfId="0" applyNumberFormat="1" applyFont="1" applyFill="1" applyBorder="1" applyAlignment="1" applyProtection="1">
      <alignment horizontal="center" vertical="center" wrapText="1"/>
    </xf>
    <xf numFmtId="0" fontId="45" fillId="27" borderId="224" xfId="0" applyNumberFormat="1" applyFont="1" applyFill="1" applyBorder="1" applyAlignment="1" applyProtection="1">
      <alignment horizontal="center" vertical="center" wrapText="1"/>
    </xf>
    <xf numFmtId="170" fontId="45" fillId="28" borderId="87" xfId="0" applyNumberFormat="1" applyFont="1" applyFill="1" applyBorder="1" applyAlignment="1" applyProtection="1">
      <alignment horizontal="center" vertical="center" wrapText="1"/>
    </xf>
    <xf numFmtId="170" fontId="45" fillId="28" borderId="228" xfId="0" applyNumberFormat="1" applyFont="1" applyFill="1" applyBorder="1" applyAlignment="1" applyProtection="1">
      <alignment horizontal="center" vertical="center" wrapText="1"/>
    </xf>
    <xf numFmtId="49" fontId="7" fillId="0" borderId="16" xfId="0" applyNumberFormat="1" applyFont="1" applyBorder="1" applyAlignment="1" applyProtection="1">
      <alignment horizontal="center"/>
    </xf>
    <xf numFmtId="49" fontId="7" fillId="0" borderId="31" xfId="0" applyNumberFormat="1" applyFont="1" applyBorder="1" applyAlignment="1" applyProtection="1">
      <alignment horizontal="center"/>
    </xf>
    <xf numFmtId="0" fontId="45" fillId="26" borderId="225" xfId="0" applyNumberFormat="1" applyFont="1" applyFill="1" applyBorder="1" applyAlignment="1" applyProtection="1">
      <alignment horizontal="center" vertical="center" wrapText="1"/>
    </xf>
    <xf numFmtId="0" fontId="45" fillId="26" borderId="224" xfId="0" applyNumberFormat="1" applyFont="1" applyFill="1" applyBorder="1" applyAlignment="1" applyProtection="1">
      <alignment horizontal="center" vertical="center" wrapText="1"/>
    </xf>
    <xf numFmtId="170" fontId="0" fillId="0" borderId="127" xfId="0" applyBorder="1" applyAlignment="1" applyProtection="1">
      <alignment horizontal="center"/>
    </xf>
    <xf numFmtId="170" fontId="0" fillId="0" borderId="13" xfId="0" applyBorder="1" applyAlignment="1" applyProtection="1">
      <alignment horizontal="center"/>
    </xf>
    <xf numFmtId="170" fontId="0" fillId="0" borderId="123" xfId="0" applyFill="1" applyBorder="1" applyAlignment="1" applyProtection="1">
      <alignment horizontal="center" vertical="center"/>
    </xf>
    <xf numFmtId="170" fontId="0" fillId="0" borderId="124" xfId="0" applyFill="1" applyBorder="1" applyAlignment="1" applyProtection="1">
      <alignment horizontal="center" vertical="center"/>
    </xf>
    <xf numFmtId="170" fontId="0" fillId="0" borderId="125" xfId="0" applyFill="1" applyBorder="1" applyAlignment="1" applyProtection="1">
      <alignment horizontal="center" vertical="center"/>
    </xf>
    <xf numFmtId="164" fontId="110" fillId="14" borderId="0" xfId="4" applyFont="1" applyFill="1" applyAlignment="1" applyProtection="1">
      <alignment horizontal="center" vertical="center"/>
    </xf>
    <xf numFmtId="164" fontId="17" fillId="6" borderId="25" xfId="20" applyFont="1" applyFill="1" applyBorder="1" applyAlignment="1" applyProtection="1">
      <alignment horizontal="center"/>
    </xf>
    <xf numFmtId="164" fontId="26" fillId="6" borderId="0" xfId="15" applyFont="1" applyFill="1" applyAlignment="1" applyProtection="1">
      <alignment horizontal="center" vertical="center" wrapText="1"/>
    </xf>
    <xf numFmtId="173" fontId="17" fillId="6" borderId="25" xfId="20" applyNumberFormat="1" applyFont="1" applyFill="1" applyBorder="1" applyAlignment="1" applyProtection="1">
      <alignment horizontal="center" vertical="center"/>
    </xf>
    <xf numFmtId="164" fontId="1" fillId="0" borderId="25" xfId="20" applyFont="1" applyBorder="1" applyAlignment="1" applyProtection="1">
      <alignment horizontal="right"/>
    </xf>
    <xf numFmtId="164" fontId="1" fillId="0" borderId="25" xfId="20" applyFont="1" applyFill="1" applyBorder="1" applyAlignment="1" applyProtection="1">
      <alignment horizontal="right"/>
    </xf>
    <xf numFmtId="164" fontId="13" fillId="0" borderId="0" xfId="15" applyFont="1" applyFill="1" applyAlignment="1" applyProtection="1">
      <alignment horizontal="right" vertical="center"/>
    </xf>
    <xf numFmtId="164" fontId="17" fillId="6" borderId="0" xfId="15" applyFont="1" applyFill="1" applyAlignment="1" applyProtection="1">
      <alignment horizontal="center" vertical="center" wrapText="1"/>
    </xf>
    <xf numFmtId="164" fontId="87" fillId="13" borderId="25" xfId="20" applyFont="1" applyFill="1" applyBorder="1" applyAlignment="1" applyProtection="1">
      <alignment horizontal="center"/>
    </xf>
    <xf numFmtId="164" fontId="1" fillId="0" borderId="25" xfId="20" applyFont="1" applyFill="1" applyBorder="1" applyAlignment="1" applyProtection="1">
      <alignment horizontal="right" wrapText="1"/>
    </xf>
    <xf numFmtId="171" fontId="17" fillId="6" borderId="25" xfId="20" applyNumberFormat="1" applyFont="1" applyFill="1" applyBorder="1" applyAlignment="1" applyProtection="1">
      <alignment horizontal="center"/>
    </xf>
    <xf numFmtId="171" fontId="0" fillId="0" borderId="25" xfId="0" applyNumberFormat="1" applyBorder="1" applyAlignment="1" applyProtection="1"/>
    <xf numFmtId="164" fontId="28" fillId="0" borderId="0" xfId="0" applyNumberFormat="1" applyFont="1" applyFill="1" applyAlignment="1" applyProtection="1">
      <alignment wrapText="1"/>
    </xf>
    <xf numFmtId="170" fontId="0" fillId="0" borderId="0" xfId="0" applyFill="1" applyAlignment="1" applyProtection="1">
      <alignment wrapText="1"/>
    </xf>
    <xf numFmtId="164" fontId="28" fillId="0" borderId="0" xfId="0" applyNumberFormat="1" applyFont="1" applyAlignment="1" applyProtection="1">
      <alignment wrapText="1"/>
    </xf>
    <xf numFmtId="170" fontId="0" fillId="0" borderId="0" xfId="0" applyAlignment="1" applyProtection="1">
      <alignment wrapText="1"/>
    </xf>
    <xf numFmtId="170" fontId="57" fillId="0" borderId="0" xfId="0" applyFont="1" applyAlignment="1" applyProtection="1">
      <alignment horizontal="left" wrapText="1"/>
    </xf>
    <xf numFmtId="170" fontId="23" fillId="5" borderId="27" xfId="0" applyFont="1" applyFill="1" applyBorder="1" applyAlignment="1" applyProtection="1">
      <alignment horizontal="justify" vertical="center" wrapText="1"/>
      <protection locked="0"/>
    </xf>
    <xf numFmtId="170" fontId="106" fillId="0" borderId="28" xfId="0" applyFont="1" applyBorder="1" applyAlignment="1" applyProtection="1">
      <alignment horizontal="justify" vertical="center" wrapText="1"/>
      <protection locked="0"/>
    </xf>
    <xf numFmtId="170" fontId="106" fillId="0" borderId="29" xfId="0" applyFont="1" applyBorder="1" applyAlignment="1" applyProtection="1">
      <alignment horizontal="justify" vertical="center" wrapText="1"/>
      <protection locked="0"/>
    </xf>
    <xf numFmtId="170" fontId="23" fillId="5" borderId="28" xfId="0" applyFont="1" applyFill="1" applyBorder="1" applyAlignment="1" applyProtection="1">
      <alignment horizontal="justify" vertical="center" wrapText="1"/>
      <protection locked="0"/>
    </xf>
    <xf numFmtId="170" fontId="23" fillId="5" borderId="29" xfId="0" applyFont="1" applyFill="1" applyBorder="1" applyAlignment="1" applyProtection="1">
      <alignment horizontal="justify" vertical="center" wrapText="1"/>
      <protection locked="0"/>
    </xf>
    <xf numFmtId="170" fontId="148" fillId="0" borderId="123" xfId="0" applyFont="1" applyFill="1" applyBorder="1" applyAlignment="1" applyProtection="1">
      <alignment horizontal="center" vertical="center"/>
    </xf>
    <xf numFmtId="170" fontId="148" fillId="0" borderId="124" xfId="0" applyFont="1" applyFill="1" applyBorder="1" applyAlignment="1" applyProtection="1">
      <alignment horizontal="center" vertical="center"/>
    </xf>
    <xf numFmtId="170" fontId="148" fillId="0" borderId="125" xfId="0" applyFont="1" applyFill="1" applyBorder="1" applyAlignment="1" applyProtection="1">
      <alignment horizontal="center" vertical="center"/>
    </xf>
    <xf numFmtId="164" fontId="7" fillId="0" borderId="0" xfId="0" applyNumberFormat="1" applyFont="1" applyAlignment="1" applyProtection="1">
      <alignment horizontal="center" wrapText="1"/>
    </xf>
    <xf numFmtId="170" fontId="0" fillId="0" borderId="0" xfId="0" applyBorder="1" applyAlignment="1" applyProtection="1">
      <alignment horizontal="center"/>
    </xf>
    <xf numFmtId="170" fontId="7" fillId="0" borderId="0" xfId="0" applyFont="1" applyBorder="1" applyAlignment="1" applyProtection="1">
      <alignment horizontal="center"/>
    </xf>
    <xf numFmtId="164" fontId="42" fillId="14" borderId="0" xfId="13" applyFont="1" applyFill="1" applyAlignment="1" applyProtection="1">
      <alignment horizontal="center" vertical="center"/>
    </xf>
    <xf numFmtId="164" fontId="8" fillId="13" borderId="0" xfId="20" applyFont="1" applyFill="1" applyBorder="1" applyAlignment="1" applyProtection="1">
      <alignment horizontal="center"/>
    </xf>
    <xf numFmtId="170" fontId="82" fillId="0" borderId="0" xfId="0" applyFont="1" applyAlignment="1" applyProtection="1">
      <alignment horizontal="center"/>
    </xf>
    <xf numFmtId="164" fontId="7" fillId="0" borderId="0" xfId="0" applyNumberFormat="1" applyFont="1" applyAlignment="1" applyProtection="1">
      <alignment horizontal="center"/>
    </xf>
    <xf numFmtId="164" fontId="21" fillId="0" borderId="0" xfId="0" applyNumberFormat="1" applyFont="1" applyAlignment="1" applyProtection="1">
      <alignment horizontal="right"/>
    </xf>
    <xf numFmtId="164" fontId="21" fillId="0" borderId="0" xfId="0" applyNumberFormat="1" applyFont="1" applyAlignment="1" applyProtection="1">
      <alignment horizontal="left"/>
    </xf>
    <xf numFmtId="15" fontId="21" fillId="0" borderId="0" xfId="0" applyNumberFormat="1" applyFont="1" applyAlignment="1" applyProtection="1">
      <alignment horizontal="right"/>
    </xf>
    <xf numFmtId="170" fontId="0" fillId="0" borderId="137" xfId="0" applyBorder="1" applyAlignment="1" applyProtection="1">
      <alignment horizontal="center"/>
    </xf>
    <xf numFmtId="170" fontId="0" fillId="0" borderId="42" xfId="0" applyBorder="1" applyAlignment="1" applyProtection="1">
      <alignment horizontal="center"/>
    </xf>
    <xf numFmtId="170" fontId="88" fillId="0" borderId="138" xfId="0" applyFont="1" applyFill="1" applyBorder="1" applyAlignment="1" applyProtection="1">
      <alignment horizontal="left" wrapText="1"/>
    </xf>
    <xf numFmtId="170" fontId="88" fillId="0" borderId="139" xfId="0" applyFont="1" applyFill="1" applyBorder="1" applyAlignment="1" applyProtection="1">
      <alignment horizontal="left" wrapText="1"/>
    </xf>
    <xf numFmtId="164" fontId="30" fillId="0" borderId="0" xfId="0" applyNumberFormat="1" applyFont="1" applyAlignment="1" applyProtection="1">
      <alignment wrapText="1"/>
    </xf>
    <xf numFmtId="170" fontId="0" fillId="0" borderId="0" xfId="0" applyAlignment="1" applyProtection="1"/>
    <xf numFmtId="170" fontId="88" fillId="0" borderId="140" xfId="0" applyFont="1" applyFill="1" applyBorder="1" applyAlignment="1" applyProtection="1">
      <alignment horizontal="left" wrapText="1"/>
    </xf>
    <xf numFmtId="170" fontId="88" fillId="0" borderId="68" xfId="0" applyFont="1" applyFill="1" applyBorder="1" applyAlignment="1" applyProtection="1">
      <alignment horizontal="left" wrapText="1"/>
    </xf>
    <xf numFmtId="164" fontId="30" fillId="0" borderId="0" xfId="0" applyNumberFormat="1" applyFont="1" applyBorder="1" applyAlignment="1" applyProtection="1">
      <alignment wrapText="1"/>
    </xf>
    <xf numFmtId="170" fontId="126" fillId="5" borderId="27" xfId="0" applyFont="1" applyFill="1" applyBorder="1" applyAlignment="1" applyProtection="1">
      <alignment horizontal="justify" vertical="center" wrapText="1"/>
      <protection locked="0"/>
    </xf>
    <xf numFmtId="170" fontId="126" fillId="5" borderId="28" xfId="0" applyFont="1" applyFill="1" applyBorder="1" applyAlignment="1" applyProtection="1">
      <alignment horizontal="justify" vertical="center" wrapText="1"/>
      <protection locked="0"/>
    </xf>
    <xf numFmtId="170" fontId="126" fillId="5" borderId="29" xfId="0" applyFont="1" applyFill="1" applyBorder="1" applyAlignment="1" applyProtection="1">
      <alignment horizontal="justify" vertical="center" wrapText="1"/>
      <protection locked="0"/>
    </xf>
    <xf numFmtId="164" fontId="81" fillId="0" borderId="116" xfId="0" applyNumberFormat="1" applyFont="1" applyBorder="1" applyAlignment="1" applyProtection="1">
      <alignment horizontal="center" vertical="center" wrapText="1"/>
    </xf>
    <xf numFmtId="164" fontId="81" fillId="0" borderId="117" xfId="0" applyNumberFormat="1" applyFont="1" applyBorder="1" applyAlignment="1" applyProtection="1">
      <alignment horizontal="center" vertical="center" wrapText="1"/>
    </xf>
    <xf numFmtId="164" fontId="81" fillId="0" borderId="118" xfId="0" applyNumberFormat="1" applyFont="1" applyBorder="1" applyAlignment="1" applyProtection="1">
      <alignment horizontal="center" vertical="center" wrapText="1"/>
    </xf>
    <xf numFmtId="170" fontId="124" fillId="0" borderId="28" xfId="0" applyFont="1" applyBorder="1" applyAlignment="1" applyProtection="1">
      <alignment horizontal="justify" vertical="center" wrapText="1"/>
      <protection locked="0"/>
    </xf>
    <xf numFmtId="170" fontId="124" fillId="0" borderId="29" xfId="0" applyFont="1" applyBorder="1" applyAlignment="1" applyProtection="1">
      <alignment horizontal="justify" vertical="center" wrapText="1"/>
      <protection locked="0"/>
    </xf>
    <xf numFmtId="170" fontId="130" fillId="5" borderId="27" xfId="0" applyFont="1" applyFill="1" applyBorder="1" applyAlignment="1" applyProtection="1">
      <alignment horizontal="justify" vertical="center" wrapText="1"/>
      <protection locked="0"/>
    </xf>
    <xf numFmtId="170" fontId="127" fillId="0" borderId="28" xfId="0" applyFont="1" applyBorder="1" applyAlignment="1" applyProtection="1">
      <alignment horizontal="justify" vertical="center" wrapText="1"/>
      <protection locked="0"/>
    </xf>
    <xf numFmtId="170" fontId="127" fillId="0" borderId="29" xfId="0" applyFont="1" applyBorder="1" applyAlignment="1" applyProtection="1">
      <alignment horizontal="justify" vertical="center" wrapText="1"/>
      <protection locked="0"/>
    </xf>
    <xf numFmtId="164" fontId="111" fillId="14" borderId="0" xfId="4" applyFont="1" applyFill="1" applyAlignment="1" applyProtection="1">
      <alignment horizontal="center" vertical="center"/>
    </xf>
    <xf numFmtId="170" fontId="83" fillId="0" borderId="28" xfId="0" applyFont="1" applyBorder="1" applyAlignment="1" applyProtection="1">
      <alignment horizontal="justify" vertical="center" wrapText="1"/>
    </xf>
    <xf numFmtId="174" fontId="83" fillId="0" borderId="28" xfId="0" applyNumberFormat="1" applyFont="1" applyBorder="1" applyAlignment="1" applyProtection="1">
      <alignment horizontal="justify" vertical="center" wrapText="1"/>
    </xf>
    <xf numFmtId="170" fontId="125" fillId="5" borderId="27" xfId="0" applyFont="1" applyFill="1" applyBorder="1" applyAlignment="1" applyProtection="1">
      <alignment horizontal="justify" vertical="top" wrapText="1"/>
      <protection locked="0"/>
    </xf>
    <xf numFmtId="170" fontId="125" fillId="5" borderId="28" xfId="0" applyFont="1" applyFill="1" applyBorder="1" applyAlignment="1" applyProtection="1">
      <alignment horizontal="justify" vertical="top" wrapText="1"/>
      <protection locked="0"/>
    </xf>
    <xf numFmtId="170" fontId="125" fillId="5" borderId="29" xfId="0" applyFont="1" applyFill="1" applyBorder="1" applyAlignment="1" applyProtection="1">
      <alignment horizontal="justify" vertical="top" wrapText="1"/>
      <protection locked="0"/>
    </xf>
    <xf numFmtId="170" fontId="129" fillId="0" borderId="28" xfId="0" applyFont="1" applyBorder="1" applyAlignment="1" applyProtection="1">
      <alignment horizontal="justify" vertical="top" wrapText="1"/>
      <protection locked="0"/>
    </xf>
    <xf numFmtId="170" fontId="129" fillId="0" borderId="29" xfId="0" applyFont="1" applyBorder="1" applyAlignment="1" applyProtection="1">
      <alignment horizontal="justify" vertical="top" wrapText="1"/>
      <protection locked="0"/>
    </xf>
    <xf numFmtId="164" fontId="82" fillId="0" borderId="0" xfId="0" applyNumberFormat="1" applyFont="1" applyAlignment="1" applyProtection="1">
      <alignment horizontal="center"/>
    </xf>
    <xf numFmtId="164" fontId="26" fillId="0" borderId="0" xfId="0" applyNumberFormat="1" applyFont="1" applyAlignment="1" applyProtection="1">
      <alignment horizontal="center"/>
    </xf>
    <xf numFmtId="164" fontId="8" fillId="13" borderId="0" xfId="21" applyFont="1" applyFill="1" applyBorder="1" applyAlignment="1" applyProtection="1">
      <alignment horizontal="center"/>
    </xf>
    <xf numFmtId="170" fontId="80" fillId="0" borderId="2" xfId="0" applyFont="1" applyBorder="1" applyAlignment="1" applyProtection="1">
      <alignment horizontal="justify" vertical="center" wrapText="1"/>
    </xf>
    <xf numFmtId="176" fontId="21" fillId="0" borderId="27" xfId="19" applyNumberFormat="1" applyFont="1" applyBorder="1" applyAlignment="1" applyProtection="1">
      <alignment horizontal="center" vertical="center" wrapText="1"/>
    </xf>
    <xf numFmtId="176" fontId="21" fillId="0" borderId="28" xfId="19" applyNumberFormat="1" applyFont="1" applyBorder="1" applyAlignment="1" applyProtection="1">
      <alignment horizontal="center" vertical="center" wrapText="1"/>
    </xf>
    <xf numFmtId="176" fontId="21" fillId="0" borderId="29" xfId="19" applyNumberFormat="1" applyFont="1" applyBorder="1" applyAlignment="1" applyProtection="1">
      <alignment horizontal="center" vertical="center" wrapText="1"/>
    </xf>
    <xf numFmtId="170" fontId="23" fillId="5" borderId="27" xfId="19" applyNumberFormat="1" applyFont="1" applyFill="1" applyBorder="1" applyAlignment="1" applyProtection="1">
      <alignment horizontal="justify" vertical="center" wrapText="1"/>
      <protection locked="0"/>
    </xf>
    <xf numFmtId="170" fontId="147" fillId="5" borderId="28" xfId="19" applyNumberFormat="1" applyFont="1" applyFill="1" applyBorder="1" applyAlignment="1" applyProtection="1">
      <alignment horizontal="justify" vertical="center" wrapText="1"/>
      <protection locked="0"/>
    </xf>
    <xf numFmtId="170" fontId="147" fillId="5" borderId="29" xfId="19" applyNumberFormat="1" applyFont="1" applyFill="1" applyBorder="1" applyAlignment="1" applyProtection="1">
      <alignment horizontal="justify" vertical="center" wrapText="1"/>
      <protection locked="0"/>
    </xf>
    <xf numFmtId="164" fontId="21" fillId="0" borderId="0" xfId="0" applyNumberFormat="1" applyFont="1" applyAlignment="1" applyProtection="1">
      <alignment horizontal="right" wrapText="1"/>
    </xf>
    <xf numFmtId="170" fontId="26" fillId="0" borderId="73" xfId="0" applyFont="1" applyBorder="1" applyAlignment="1" applyProtection="1">
      <alignment horizontal="center"/>
    </xf>
    <xf numFmtId="170" fontId="27" fillId="0" borderId="2" xfId="0" applyFont="1" applyBorder="1" applyAlignment="1" applyProtection="1">
      <alignment horizontal="center" vertical="center" wrapText="1"/>
    </xf>
    <xf numFmtId="170" fontId="27" fillId="0" borderId="27" xfId="0" applyFont="1" applyBorder="1" applyAlignment="1" applyProtection="1">
      <alignment horizontal="center" vertical="center"/>
    </xf>
    <xf numFmtId="170" fontId="27" fillId="0" borderId="28" xfId="0" applyFont="1" applyBorder="1" applyAlignment="1" applyProtection="1">
      <alignment horizontal="center" vertical="center"/>
    </xf>
    <xf numFmtId="170" fontId="27" fillId="0" borderId="29" xfId="0" applyFont="1" applyBorder="1" applyAlignment="1" applyProtection="1">
      <alignment horizontal="center" vertical="center"/>
    </xf>
    <xf numFmtId="9" fontId="23" fillId="5" borderId="2" xfId="19" applyFont="1" applyFill="1" applyBorder="1" applyAlignment="1" applyProtection="1">
      <alignment horizontal="justify" vertical="center" wrapText="1"/>
      <protection locked="0"/>
    </xf>
    <xf numFmtId="9" fontId="147" fillId="5" borderId="2" xfId="19" applyFont="1" applyFill="1" applyBorder="1" applyAlignment="1" applyProtection="1">
      <alignment horizontal="justify" vertical="center" wrapText="1"/>
      <protection locked="0"/>
    </xf>
    <xf numFmtId="9" fontId="30" fillId="15" borderId="27" xfId="19" applyFont="1" applyFill="1" applyBorder="1" applyAlignment="1" applyProtection="1">
      <alignment horizontal="center" vertical="center" wrapText="1"/>
    </xf>
    <xf numFmtId="9" fontId="30" fillId="15" borderId="29" xfId="19" applyFont="1" applyFill="1" applyBorder="1" applyAlignment="1" applyProtection="1">
      <alignment horizontal="center" vertical="center" wrapText="1"/>
    </xf>
    <xf numFmtId="9" fontId="30" fillId="17" borderId="27" xfId="19" applyFont="1" applyFill="1" applyBorder="1" applyAlignment="1" applyProtection="1">
      <alignment horizontal="center" vertical="center" wrapText="1"/>
    </xf>
    <xf numFmtId="9" fontId="30" fillId="17" borderId="29" xfId="19" applyFont="1" applyFill="1" applyBorder="1" applyAlignment="1" applyProtection="1">
      <alignment horizontal="center" vertical="center" wrapText="1"/>
    </xf>
    <xf numFmtId="9" fontId="128" fillId="5" borderId="2" xfId="19" applyFont="1" applyFill="1" applyBorder="1" applyAlignment="1" applyProtection="1">
      <alignment horizontal="justify" vertical="center" wrapText="1"/>
      <protection locked="0"/>
    </xf>
    <xf numFmtId="9" fontId="23" fillId="5" borderId="28" xfId="19" applyFont="1" applyFill="1" applyBorder="1" applyAlignment="1" applyProtection="1">
      <alignment horizontal="justify" vertical="center" wrapText="1"/>
      <protection locked="0"/>
    </xf>
    <xf numFmtId="9" fontId="23" fillId="5" borderId="29" xfId="19" applyFont="1" applyFill="1" applyBorder="1" applyAlignment="1" applyProtection="1">
      <alignment horizontal="justify" vertical="center" wrapText="1"/>
      <protection locked="0"/>
    </xf>
    <xf numFmtId="170" fontId="23" fillId="5" borderId="28" xfId="19" applyNumberFormat="1" applyFont="1" applyFill="1" applyBorder="1" applyAlignment="1" applyProtection="1">
      <alignment horizontal="justify" vertical="center" wrapText="1"/>
      <protection locked="0"/>
    </xf>
    <xf numFmtId="170" fontId="23" fillId="5" borderId="29" xfId="19" applyNumberFormat="1" applyFont="1" applyFill="1" applyBorder="1" applyAlignment="1" applyProtection="1">
      <alignment horizontal="justify" vertical="center" wrapText="1"/>
      <protection locked="0"/>
    </xf>
    <xf numFmtId="9" fontId="2" fillId="0" borderId="176" xfId="19" applyNumberFormat="1" applyFont="1" applyFill="1" applyBorder="1" applyAlignment="1" applyProtection="1">
      <alignment horizontal="justify" vertical="center" wrapText="1"/>
    </xf>
    <xf numFmtId="170" fontId="2" fillId="0" borderId="161" xfId="19" applyNumberFormat="1" applyFont="1" applyFill="1" applyBorder="1" applyAlignment="1" applyProtection="1">
      <alignment horizontal="justify" vertical="center" wrapText="1"/>
    </xf>
    <xf numFmtId="170" fontId="2" fillId="0" borderId="177" xfId="19" applyNumberFormat="1" applyFont="1" applyFill="1" applyBorder="1" applyAlignment="1" applyProtection="1">
      <alignment horizontal="justify" vertical="center" wrapText="1"/>
    </xf>
    <xf numFmtId="170" fontId="2" fillId="5" borderId="143" xfId="0" applyFont="1" applyFill="1" applyBorder="1" applyAlignment="1" applyProtection="1">
      <alignment horizontal="justify" vertical="top" wrapText="1"/>
      <protection locked="0"/>
    </xf>
    <xf numFmtId="170" fontId="106" fillId="0" borderId="80" xfId="0" applyFont="1" applyBorder="1" applyAlignment="1">
      <alignment horizontal="justify" vertical="top" wrapText="1"/>
    </xf>
    <xf numFmtId="170" fontId="106" fillId="0" borderId="144" xfId="0" applyFont="1" applyBorder="1" applyAlignment="1">
      <alignment horizontal="justify" vertical="top" wrapText="1"/>
    </xf>
    <xf numFmtId="170" fontId="2" fillId="5" borderId="216" xfId="0" applyFont="1" applyFill="1" applyBorder="1" applyAlignment="1" applyProtection="1">
      <alignment horizontal="justify" vertical="top" wrapText="1"/>
      <protection locked="0"/>
    </xf>
    <xf numFmtId="170" fontId="106" fillId="0" borderId="217" xfId="0" applyFont="1" applyBorder="1" applyAlignment="1">
      <alignment horizontal="justify" vertical="top" wrapText="1"/>
    </xf>
    <xf numFmtId="170" fontId="106" fillId="0" borderId="218" xfId="0" applyFont="1" applyBorder="1" applyAlignment="1">
      <alignment horizontal="justify" vertical="top" wrapText="1"/>
    </xf>
    <xf numFmtId="170" fontId="2" fillId="0" borderId="181" xfId="0" applyNumberFormat="1" applyFont="1" applyFill="1" applyBorder="1" applyAlignment="1" applyProtection="1">
      <alignment horizontal="justify" vertical="center" wrapText="1"/>
    </xf>
    <xf numFmtId="170" fontId="2" fillId="0" borderId="182" xfId="0" applyNumberFormat="1" applyFont="1" applyFill="1" applyBorder="1" applyAlignment="1" applyProtection="1">
      <alignment horizontal="justify" vertical="center" wrapText="1"/>
    </xf>
    <xf numFmtId="170" fontId="2" fillId="0" borderId="183" xfId="0" applyNumberFormat="1" applyFont="1" applyFill="1" applyBorder="1" applyAlignment="1" applyProtection="1">
      <alignment horizontal="justify" vertical="center" wrapText="1"/>
    </xf>
    <xf numFmtId="170" fontId="2" fillId="0" borderId="176" xfId="19" applyNumberFormat="1" applyFont="1" applyFill="1" applyBorder="1" applyAlignment="1" applyProtection="1">
      <alignment horizontal="justify" vertical="center" wrapText="1"/>
    </xf>
    <xf numFmtId="170" fontId="2" fillId="0" borderId="28" xfId="0" applyNumberFormat="1" applyFont="1" applyFill="1" applyBorder="1" applyAlignment="1" applyProtection="1">
      <alignment horizontal="justify" vertical="center" wrapText="1"/>
    </xf>
    <xf numFmtId="170" fontId="2" fillId="0" borderId="166" xfId="0" applyNumberFormat="1" applyFont="1" applyFill="1" applyBorder="1" applyAlignment="1" applyProtection="1">
      <alignment horizontal="justify" vertical="center" wrapText="1"/>
    </xf>
    <xf numFmtId="170" fontId="2" fillId="0" borderId="174" xfId="0" applyNumberFormat="1" applyFont="1" applyFill="1" applyBorder="1" applyAlignment="1" applyProtection="1">
      <alignment horizontal="justify" vertical="center" wrapText="1"/>
    </xf>
    <xf numFmtId="170" fontId="2" fillId="0" borderId="175" xfId="0" applyNumberFormat="1" applyFont="1" applyFill="1" applyBorder="1" applyAlignment="1" applyProtection="1">
      <alignment horizontal="justify" vertical="center" wrapText="1"/>
    </xf>
    <xf numFmtId="170" fontId="41" fillId="5" borderId="178" xfId="0" applyFont="1" applyFill="1" applyBorder="1" applyAlignment="1" applyProtection="1">
      <alignment horizontal="center" vertical="center"/>
    </xf>
    <xf numFmtId="170" fontId="41" fillId="5" borderId="179" xfId="0" applyFont="1" applyFill="1" applyBorder="1" applyAlignment="1" applyProtection="1">
      <alignment horizontal="center" vertical="center"/>
    </xf>
    <xf numFmtId="170" fontId="41" fillId="5" borderId="180" xfId="0" applyFont="1" applyFill="1" applyBorder="1" applyAlignment="1" applyProtection="1">
      <alignment horizontal="center" vertical="center"/>
    </xf>
    <xf numFmtId="170" fontId="2" fillId="6" borderId="150" xfId="0" applyFont="1" applyFill="1" applyBorder="1" applyAlignment="1" applyProtection="1">
      <alignment horizontal="center" vertical="center" wrapText="1"/>
      <protection locked="0"/>
    </xf>
    <xf numFmtId="170" fontId="2" fillId="6" borderId="151" xfId="0" applyFont="1" applyFill="1" applyBorder="1" applyAlignment="1" applyProtection="1">
      <alignment horizontal="center" vertical="center" wrapText="1"/>
      <protection locked="0"/>
    </xf>
    <xf numFmtId="170" fontId="2" fillId="6" borderId="152" xfId="0" applyFont="1" applyFill="1" applyBorder="1" applyAlignment="1" applyProtection="1">
      <alignment horizontal="center" vertical="center" wrapText="1"/>
      <protection locked="0"/>
    </xf>
    <xf numFmtId="170" fontId="2" fillId="6" borderId="153" xfId="0" applyFont="1" applyFill="1" applyBorder="1" applyAlignment="1" applyProtection="1">
      <alignment horizontal="center" vertical="center" wrapText="1"/>
      <protection locked="0"/>
    </xf>
    <xf numFmtId="170" fontId="2" fillId="6" borderId="154" xfId="0" applyFont="1" applyFill="1" applyBorder="1" applyAlignment="1" applyProtection="1">
      <alignment horizontal="center" vertical="center" wrapText="1"/>
      <protection locked="0"/>
    </xf>
    <xf numFmtId="170" fontId="2" fillId="6" borderId="155" xfId="0" applyFont="1" applyFill="1" applyBorder="1" applyAlignment="1" applyProtection="1">
      <alignment horizontal="center" vertical="center" wrapText="1"/>
      <protection locked="0"/>
    </xf>
    <xf numFmtId="170" fontId="2" fillId="6" borderId="156" xfId="0" applyFont="1" applyFill="1" applyBorder="1" applyAlignment="1" applyProtection="1">
      <alignment horizontal="center" vertical="center" wrapText="1"/>
      <protection locked="0"/>
    </xf>
    <xf numFmtId="170" fontId="2" fillId="6" borderId="157" xfId="0" applyFont="1" applyFill="1" applyBorder="1" applyAlignment="1" applyProtection="1">
      <alignment horizontal="center" vertical="center" wrapText="1"/>
      <protection locked="0"/>
    </xf>
    <xf numFmtId="170" fontId="2" fillId="6" borderId="158" xfId="0" applyFont="1" applyFill="1" applyBorder="1" applyAlignment="1" applyProtection="1">
      <alignment horizontal="center" vertical="center" wrapText="1"/>
      <protection locked="0"/>
    </xf>
    <xf numFmtId="170" fontId="117" fillId="0" borderId="0" xfId="0" applyFont="1" applyFill="1" applyBorder="1" applyAlignment="1" applyProtection="1">
      <alignment horizontal="center"/>
    </xf>
    <xf numFmtId="170" fontId="117" fillId="0" borderId="160" xfId="0" applyFont="1" applyFill="1" applyBorder="1" applyAlignment="1" applyProtection="1">
      <alignment horizontal="center"/>
    </xf>
    <xf numFmtId="170" fontId="2" fillId="0" borderId="145" xfId="0" applyNumberFormat="1" applyFont="1" applyFill="1" applyBorder="1" applyAlignment="1" applyProtection="1">
      <alignment horizontal="justify" vertical="center" wrapText="1"/>
    </xf>
    <xf numFmtId="170" fontId="2" fillId="0" borderId="146" xfId="0" applyNumberFormat="1" applyFont="1" applyFill="1" applyBorder="1" applyAlignment="1" applyProtection="1">
      <alignment horizontal="justify" vertical="center" wrapText="1"/>
    </xf>
    <xf numFmtId="170" fontId="53" fillId="2" borderId="4" xfId="0" applyFont="1" applyFill="1" applyBorder="1" applyAlignment="1" applyProtection="1">
      <alignment horizontal="center" vertical="center"/>
    </xf>
    <xf numFmtId="170" fontId="82" fillId="0" borderId="0" xfId="0" applyFont="1" applyBorder="1" applyAlignment="1" applyProtection="1">
      <alignment horizontal="center"/>
    </xf>
    <xf numFmtId="49" fontId="2" fillId="9" borderId="172" xfId="0" applyNumberFormat="1" applyFont="1" applyFill="1" applyBorder="1" applyAlignment="1" applyProtection="1">
      <alignment horizontal="center" vertical="center"/>
      <protection locked="0"/>
    </xf>
    <xf numFmtId="49" fontId="2" fillId="9" borderId="6" xfId="0" applyNumberFormat="1" applyFont="1" applyFill="1" applyBorder="1" applyAlignment="1" applyProtection="1">
      <alignment horizontal="center" vertical="center"/>
      <protection locked="0"/>
    </xf>
    <xf numFmtId="49" fontId="2" fillId="9" borderId="173" xfId="0" applyNumberFormat="1" applyFont="1" applyFill="1" applyBorder="1" applyAlignment="1" applyProtection="1">
      <alignment horizontal="center" vertical="center"/>
      <protection locked="0"/>
    </xf>
    <xf numFmtId="170" fontId="41" fillId="9" borderId="147" xfId="0" applyFont="1" applyFill="1" applyBorder="1" applyAlignment="1" applyProtection="1">
      <alignment horizontal="center" vertical="center"/>
    </xf>
    <xf numFmtId="170" fontId="41" fillId="9" borderId="148" xfId="0" applyFont="1" applyFill="1" applyBorder="1" applyAlignment="1" applyProtection="1">
      <alignment horizontal="center" vertical="center"/>
    </xf>
    <xf numFmtId="170" fontId="41" fillId="9" borderId="149" xfId="0" applyFont="1" applyFill="1" applyBorder="1" applyAlignment="1" applyProtection="1">
      <alignment horizontal="center" vertical="center"/>
    </xf>
    <xf numFmtId="170" fontId="117" fillId="0" borderId="159" xfId="0" applyFont="1" applyFill="1" applyBorder="1" applyAlignment="1" applyProtection="1">
      <alignment horizontal="center"/>
    </xf>
    <xf numFmtId="170" fontId="52" fillId="0" borderId="0" xfId="0" applyFont="1" applyFill="1" applyBorder="1" applyAlignment="1" applyProtection="1">
      <alignment horizontal="center"/>
    </xf>
    <xf numFmtId="170" fontId="52" fillId="0" borderId="159" xfId="0" applyFont="1" applyFill="1" applyBorder="1" applyAlignment="1" applyProtection="1">
      <alignment horizontal="center"/>
    </xf>
    <xf numFmtId="49" fontId="2" fillId="9" borderId="163" xfId="0" applyNumberFormat="1" applyFont="1" applyFill="1" applyBorder="1" applyAlignment="1" applyProtection="1">
      <alignment horizontal="center" vertical="center"/>
      <protection locked="0"/>
    </xf>
    <xf numFmtId="49" fontId="2" fillId="9" borderId="164" xfId="0" applyNumberFormat="1" applyFont="1" applyFill="1" applyBorder="1" applyAlignment="1" applyProtection="1">
      <alignment horizontal="center" vertical="center"/>
      <protection locked="0"/>
    </xf>
    <xf numFmtId="49" fontId="2" fillId="9" borderId="165" xfId="0" applyNumberFormat="1" applyFont="1" applyFill="1" applyBorder="1" applyAlignment="1" applyProtection="1">
      <alignment horizontal="center" vertical="center"/>
      <protection locked="0"/>
    </xf>
    <xf numFmtId="170" fontId="2" fillId="0" borderId="162" xfId="0" applyNumberFormat="1" applyFont="1" applyFill="1" applyBorder="1" applyAlignment="1" applyProtection="1">
      <alignment horizontal="justify" vertical="center" wrapText="1"/>
    </xf>
    <xf numFmtId="170" fontId="94" fillId="6" borderId="167" xfId="0" applyFont="1" applyFill="1" applyBorder="1" applyAlignment="1" applyProtection="1">
      <alignment horizontal="center" vertical="center"/>
    </xf>
    <xf numFmtId="170" fontId="94" fillId="6" borderId="168" xfId="0" applyFont="1" applyFill="1" applyBorder="1" applyAlignment="1" applyProtection="1">
      <alignment horizontal="center" vertical="center"/>
    </xf>
    <xf numFmtId="170" fontId="106" fillId="0" borderId="168" xfId="0" applyFont="1" applyBorder="1" applyAlignment="1">
      <alignment horizontal="center" vertical="center"/>
    </xf>
    <xf numFmtId="170" fontId="2" fillId="0" borderId="141" xfId="0" applyNumberFormat="1" applyFont="1" applyFill="1" applyBorder="1" applyAlignment="1" applyProtection="1">
      <alignment horizontal="justify" vertical="center" wrapText="1"/>
    </xf>
    <xf numFmtId="170" fontId="2" fillId="0" borderId="142" xfId="0" applyNumberFormat="1" applyFont="1" applyFill="1" applyBorder="1" applyAlignment="1" applyProtection="1">
      <alignment horizontal="justify" vertical="center" wrapText="1"/>
    </xf>
    <xf numFmtId="170" fontId="2" fillId="0" borderId="6" xfId="0" applyNumberFormat="1" applyFont="1" applyFill="1" applyBorder="1" applyAlignment="1" applyProtection="1">
      <alignment horizontal="justify" vertical="center" wrapText="1"/>
    </xf>
    <xf numFmtId="170" fontId="2" fillId="0" borderId="173" xfId="0" applyNumberFormat="1" applyFont="1" applyFill="1" applyBorder="1" applyAlignment="1" applyProtection="1">
      <alignment horizontal="justify" vertical="center" wrapText="1"/>
    </xf>
    <xf numFmtId="170" fontId="94" fillId="6" borderId="169" xfId="0" applyFont="1" applyFill="1" applyBorder="1" applyAlignment="1" applyProtection="1">
      <alignment horizontal="center" vertical="center"/>
    </xf>
    <xf numFmtId="170" fontId="94" fillId="6" borderId="170" xfId="0" applyFont="1" applyFill="1" applyBorder="1" applyAlignment="1" applyProtection="1">
      <alignment horizontal="center" vertical="center"/>
    </xf>
    <xf numFmtId="170" fontId="94" fillId="6" borderId="171" xfId="0" applyFont="1" applyFill="1" applyBorder="1" applyAlignment="1" applyProtection="1">
      <alignment horizontal="center" vertical="center"/>
    </xf>
    <xf numFmtId="170" fontId="106" fillId="5" borderId="109" xfId="0" applyFont="1" applyFill="1" applyBorder="1" applyAlignment="1" applyProtection="1">
      <alignment horizontal="justify" vertical="top" wrapText="1"/>
      <protection locked="0"/>
    </xf>
    <xf numFmtId="170" fontId="106" fillId="5" borderId="108" xfId="0" applyFont="1" applyFill="1" applyBorder="1" applyAlignment="1" applyProtection="1">
      <alignment horizontal="justify" vertical="top" wrapText="1"/>
      <protection locked="0"/>
    </xf>
    <xf numFmtId="170" fontId="106" fillId="5" borderId="110" xfId="0" applyFont="1" applyFill="1" applyBorder="1" applyAlignment="1" applyProtection="1">
      <alignment horizontal="justify" vertical="top" wrapText="1"/>
      <protection locked="0"/>
    </xf>
    <xf numFmtId="170" fontId="106" fillId="5" borderId="111" xfId="0" applyFont="1" applyFill="1" applyBorder="1" applyAlignment="1" applyProtection="1">
      <alignment horizontal="justify" vertical="top" wrapText="1"/>
      <protection locked="0"/>
    </xf>
    <xf numFmtId="170" fontId="106" fillId="5" borderId="73" xfId="0" applyFont="1" applyFill="1" applyBorder="1" applyAlignment="1" applyProtection="1">
      <alignment horizontal="justify" vertical="top" wrapText="1"/>
      <protection locked="0"/>
    </xf>
    <xf numFmtId="170" fontId="106" fillId="5" borderId="75" xfId="0" applyFont="1" applyFill="1" applyBorder="1" applyAlignment="1" applyProtection="1">
      <alignment horizontal="justify" vertical="top" wrapText="1"/>
      <protection locked="0"/>
    </xf>
    <xf numFmtId="170" fontId="51" fillId="4" borderId="5" xfId="18" applyNumberFormat="1" applyFont="1" applyFill="1" applyBorder="1" applyAlignment="1">
      <alignment horizontal="center" vertical="center" wrapText="1"/>
    </xf>
    <xf numFmtId="170" fontId="51" fillId="4" borderId="213" xfId="18" applyNumberFormat="1" applyFont="1" applyFill="1" applyBorder="1" applyAlignment="1">
      <alignment horizontal="center" vertical="center" wrapText="1"/>
    </xf>
    <xf numFmtId="170" fontId="51" fillId="4" borderId="203" xfId="18" applyNumberFormat="1" applyFont="1" applyFill="1" applyBorder="1" applyAlignment="1">
      <alignment horizontal="center" vertical="center" wrapText="1"/>
    </xf>
    <xf numFmtId="170" fontId="14" fillId="0" borderId="190" xfId="0" applyFont="1" applyFill="1" applyBorder="1" applyAlignment="1" applyProtection="1">
      <alignment horizontal="left"/>
      <protection locked="0"/>
    </xf>
    <xf numFmtId="170" fontId="14" fillId="0" borderId="184" xfId="0" applyFont="1" applyFill="1" applyBorder="1" applyAlignment="1" applyProtection="1">
      <alignment horizontal="left"/>
      <protection locked="0"/>
    </xf>
    <xf numFmtId="170" fontId="14" fillId="0" borderId="191" xfId="0" applyFont="1" applyFill="1" applyBorder="1" applyAlignment="1" applyProtection="1">
      <alignment horizontal="left"/>
      <protection locked="0"/>
    </xf>
    <xf numFmtId="170" fontId="14" fillId="0" borderId="192" xfId="0" applyFont="1" applyFill="1" applyBorder="1" applyAlignment="1" applyProtection="1">
      <alignment horizontal="left"/>
      <protection locked="0"/>
    </xf>
    <xf numFmtId="170" fontId="26" fillId="0" borderId="0" xfId="0" applyFont="1" applyAlignment="1">
      <alignment horizontal="center"/>
    </xf>
    <xf numFmtId="170" fontId="51" fillId="4" borderId="187" xfId="18" applyNumberFormat="1" applyFont="1" applyFill="1" applyBorder="1" applyAlignment="1">
      <alignment horizontal="center" vertical="center" wrapText="1"/>
    </xf>
    <xf numFmtId="170" fontId="51" fillId="4" borderId="188" xfId="18" applyNumberFormat="1" applyFont="1" applyFill="1" applyBorder="1" applyAlignment="1">
      <alignment horizontal="center" vertical="center" wrapText="1"/>
    </xf>
    <xf numFmtId="170" fontId="51" fillId="4" borderId="189" xfId="18" applyNumberFormat="1" applyFont="1" applyFill="1" applyBorder="1" applyAlignment="1">
      <alignment horizontal="center" vertical="center" wrapText="1"/>
    </xf>
    <xf numFmtId="170" fontId="14" fillId="0" borderId="184" xfId="0" applyFont="1" applyBorder="1" applyAlignment="1" applyProtection="1">
      <alignment horizontal="left"/>
      <protection locked="0"/>
    </xf>
    <xf numFmtId="164" fontId="42" fillId="14" borderId="0" xfId="13" applyFont="1" applyFill="1" applyAlignment="1">
      <alignment horizontal="center" vertical="center"/>
    </xf>
    <xf numFmtId="164" fontId="8" fillId="13" borderId="0" xfId="22" applyFont="1" applyFill="1" applyBorder="1" applyAlignment="1" applyProtection="1">
      <alignment horizontal="center"/>
      <protection locked="0"/>
    </xf>
    <xf numFmtId="170" fontId="14" fillId="0" borderId="22" xfId="0" applyFont="1" applyFill="1" applyBorder="1" applyAlignment="1" applyProtection="1">
      <alignment horizontal="left"/>
      <protection locked="0"/>
    </xf>
    <xf numFmtId="170" fontId="14" fillId="0" borderId="186" xfId="0" applyFont="1" applyFill="1" applyBorder="1" applyAlignment="1" applyProtection="1">
      <alignment horizontal="left"/>
      <protection locked="0"/>
    </xf>
    <xf numFmtId="170" fontId="14" fillId="0" borderId="185" xfId="0" applyFont="1" applyFill="1" applyBorder="1" applyAlignment="1" applyProtection="1">
      <alignment horizontal="left"/>
      <protection locked="0"/>
    </xf>
    <xf numFmtId="164" fontId="7" fillId="0" borderId="0" xfId="0" applyNumberFormat="1" applyFont="1" applyAlignment="1">
      <alignment horizontal="center"/>
    </xf>
    <xf numFmtId="164" fontId="21" fillId="0" borderId="0" xfId="0" applyNumberFormat="1" applyFont="1" applyAlignment="1">
      <alignment horizontal="right"/>
    </xf>
    <xf numFmtId="15" fontId="21" fillId="0" borderId="0" xfId="0" applyNumberFormat="1" applyFont="1" applyAlignment="1">
      <alignment horizontal="right"/>
    </xf>
    <xf numFmtId="170" fontId="82" fillId="0" borderId="0" xfId="0" applyFont="1" applyAlignment="1">
      <alignment horizontal="center"/>
    </xf>
    <xf numFmtId="164" fontId="21" fillId="0" borderId="0" xfId="0" applyNumberFormat="1" applyFont="1" applyAlignment="1">
      <alignment horizontal="left"/>
    </xf>
    <xf numFmtId="170" fontId="14" fillId="0" borderId="201" xfId="0" applyFont="1" applyBorder="1" applyAlignment="1" applyProtection="1">
      <alignment horizontal="left"/>
      <protection locked="0"/>
    </xf>
    <xf numFmtId="170" fontId="14" fillId="0" borderId="22" xfId="0" applyFont="1" applyBorder="1" applyAlignment="1" applyProtection="1">
      <alignment horizontal="left"/>
      <protection locked="0"/>
    </xf>
    <xf numFmtId="170" fontId="14" fillId="0" borderId="190" xfId="0" applyFont="1" applyBorder="1" applyAlignment="1" applyProtection="1">
      <alignment horizontal="left"/>
      <protection locked="0"/>
    </xf>
    <xf numFmtId="170" fontId="70" fillId="4" borderId="107" xfId="0" applyFont="1" applyFill="1" applyBorder="1" applyAlignment="1">
      <alignment horizontal="center" vertical="center" textRotation="90"/>
    </xf>
    <xf numFmtId="170" fontId="0" fillId="4" borderId="66" xfId="0" applyFill="1" applyBorder="1" applyAlignment="1">
      <alignment horizontal="center" vertical="center" textRotation="90"/>
    </xf>
    <xf numFmtId="170" fontId="0" fillId="4" borderId="76" xfId="0" applyFill="1" applyBorder="1" applyAlignment="1">
      <alignment horizontal="center" vertical="center" textRotation="90"/>
    </xf>
    <xf numFmtId="170" fontId="14" fillId="0" borderId="210" xfId="0" applyFont="1" applyFill="1" applyBorder="1" applyAlignment="1" applyProtection="1">
      <alignment horizontal="justify" vertical="center" wrapText="1"/>
      <protection locked="0"/>
    </xf>
    <xf numFmtId="170" fontId="14" fillId="0" borderId="207" xfId="0" applyFont="1" applyFill="1" applyBorder="1" applyAlignment="1" applyProtection="1">
      <alignment horizontal="justify" vertical="center" wrapText="1"/>
      <protection locked="0"/>
    </xf>
    <xf numFmtId="170" fontId="14" fillId="0" borderId="211" xfId="0" applyFont="1" applyFill="1" applyBorder="1" applyAlignment="1" applyProtection="1">
      <alignment horizontal="justify" vertical="center" wrapText="1"/>
      <protection locked="0"/>
    </xf>
    <xf numFmtId="170" fontId="14" fillId="0" borderId="212" xfId="0" applyFont="1" applyFill="1" applyBorder="1" applyAlignment="1" applyProtection="1">
      <alignment horizontal="justify" vertical="center" wrapText="1"/>
      <protection locked="0"/>
    </xf>
    <xf numFmtId="170" fontId="14" fillId="0" borderId="164" xfId="0" applyFont="1" applyFill="1" applyBorder="1" applyAlignment="1" applyProtection="1">
      <alignment horizontal="justify" vertical="center" wrapText="1"/>
      <protection locked="0"/>
    </xf>
    <xf numFmtId="170" fontId="14" fillId="0" borderId="200" xfId="0" applyFont="1" applyFill="1" applyBorder="1" applyAlignment="1" applyProtection="1">
      <alignment horizontal="justify" vertical="center" wrapText="1"/>
      <protection locked="0"/>
    </xf>
    <xf numFmtId="170" fontId="14" fillId="0" borderId="161" xfId="0" applyFont="1" applyFill="1" applyBorder="1" applyAlignment="1" applyProtection="1">
      <alignment horizontal="left" vertical="center" wrapText="1"/>
      <protection locked="0"/>
    </xf>
    <xf numFmtId="170" fontId="14" fillId="0" borderId="193" xfId="0" applyFont="1" applyFill="1" applyBorder="1" applyAlignment="1" applyProtection="1">
      <alignment horizontal="left" vertical="center" wrapText="1"/>
      <protection locked="0"/>
    </xf>
    <xf numFmtId="170" fontId="14" fillId="0" borderId="194" xfId="0" applyFont="1" applyFill="1" applyBorder="1" applyAlignment="1" applyProtection="1">
      <alignment horizontal="left" vertical="center" wrapText="1"/>
      <protection locked="0"/>
    </xf>
    <xf numFmtId="170" fontId="14" fillId="0" borderId="195" xfId="0" applyFont="1" applyFill="1" applyBorder="1" applyAlignment="1" applyProtection="1">
      <alignment horizontal="left" vertical="center" wrapText="1"/>
      <protection locked="0"/>
    </xf>
    <xf numFmtId="170" fontId="14" fillId="0" borderId="201" xfId="0" applyFont="1" applyFill="1" applyBorder="1" applyAlignment="1" applyProtection="1">
      <alignment horizontal="left"/>
      <protection locked="0"/>
    </xf>
    <xf numFmtId="170" fontId="14" fillId="0" borderId="214" xfId="0" applyFont="1" applyFill="1" applyBorder="1" applyAlignment="1" applyProtection="1">
      <alignment horizontal="justify" vertical="center" wrapText="1"/>
      <protection locked="0"/>
    </xf>
    <xf numFmtId="170" fontId="14" fillId="0" borderId="197" xfId="0" applyFont="1" applyFill="1" applyBorder="1" applyAlignment="1" applyProtection="1">
      <alignment horizontal="justify" vertical="center" wrapText="1"/>
      <protection locked="0"/>
    </xf>
    <xf numFmtId="170" fontId="14" fillId="0" borderId="198" xfId="0" applyFont="1" applyFill="1" applyBorder="1" applyAlignment="1" applyProtection="1">
      <alignment horizontal="justify" vertical="center" wrapText="1"/>
      <protection locked="0"/>
    </xf>
    <xf numFmtId="170" fontId="14" fillId="0" borderId="192" xfId="0" applyFont="1" applyBorder="1" applyAlignment="1" applyProtection="1">
      <alignment horizontal="left"/>
      <protection locked="0"/>
    </xf>
    <xf numFmtId="170" fontId="14" fillId="0" borderId="206" xfId="0" applyFont="1" applyFill="1" applyBorder="1" applyAlignment="1" applyProtection="1">
      <alignment horizontal="left" vertical="top" wrapText="1"/>
      <protection locked="0"/>
    </xf>
    <xf numFmtId="170" fontId="14" fillId="0" borderId="207" xfId="0" applyFont="1" applyFill="1" applyBorder="1" applyAlignment="1" applyProtection="1">
      <alignment horizontal="left" vertical="top" wrapText="1"/>
      <protection locked="0"/>
    </xf>
    <xf numFmtId="170" fontId="14" fillId="0" borderId="208" xfId="0" applyFont="1" applyFill="1" applyBorder="1" applyAlignment="1" applyProtection="1">
      <alignment horizontal="left" vertical="top" wrapText="1"/>
      <protection locked="0"/>
    </xf>
    <xf numFmtId="170" fontId="14" fillId="0" borderId="199" xfId="0" applyFont="1" applyFill="1" applyBorder="1" applyAlignment="1" applyProtection="1">
      <alignment horizontal="left" vertical="top" wrapText="1"/>
      <protection locked="0"/>
    </xf>
    <xf numFmtId="170" fontId="14" fillId="0" borderId="164" xfId="0" applyFont="1" applyFill="1" applyBorder="1" applyAlignment="1" applyProtection="1">
      <alignment horizontal="left" vertical="top" wrapText="1"/>
      <protection locked="0"/>
    </xf>
    <xf numFmtId="170" fontId="14" fillId="0" borderId="209" xfId="0" applyFont="1" applyFill="1" applyBorder="1" applyAlignment="1" applyProtection="1">
      <alignment horizontal="left" vertical="top" wrapText="1"/>
      <protection locked="0"/>
    </xf>
    <xf numFmtId="170" fontId="14" fillId="0" borderId="202" xfId="0" applyFont="1" applyFill="1" applyBorder="1" applyAlignment="1" applyProtection="1">
      <alignment horizontal="left"/>
      <protection locked="0"/>
    </xf>
    <xf numFmtId="170" fontId="14" fillId="0" borderId="185" xfId="0" applyFont="1" applyBorder="1" applyAlignment="1" applyProtection="1">
      <alignment horizontal="left"/>
      <protection locked="0"/>
    </xf>
    <xf numFmtId="170" fontId="14" fillId="0" borderId="202" xfId="0" applyFont="1" applyBorder="1" applyAlignment="1" applyProtection="1">
      <alignment horizontal="left"/>
      <protection locked="0"/>
    </xf>
    <xf numFmtId="170" fontId="14" fillId="0" borderId="186" xfId="0" applyFont="1" applyBorder="1" applyAlignment="1" applyProtection="1">
      <alignment horizontal="left"/>
      <protection locked="0"/>
    </xf>
    <xf numFmtId="170" fontId="14" fillId="0" borderId="204" xfId="0" applyFont="1" applyFill="1" applyBorder="1" applyAlignment="1" applyProtection="1">
      <alignment horizontal="left"/>
      <protection locked="0"/>
    </xf>
    <xf numFmtId="170" fontId="14" fillId="0" borderId="161" xfId="0" applyFont="1" applyFill="1" applyBorder="1" applyAlignment="1" applyProtection="1">
      <alignment horizontal="left"/>
      <protection locked="0"/>
    </xf>
    <xf numFmtId="170" fontId="14" fillId="0" borderId="193" xfId="0" applyFont="1" applyFill="1" applyBorder="1" applyAlignment="1" applyProtection="1">
      <alignment horizontal="left"/>
      <protection locked="0"/>
    </xf>
    <xf numFmtId="170" fontId="14" fillId="0" borderId="205" xfId="0" applyFont="1" applyFill="1" applyBorder="1" applyAlignment="1" applyProtection="1">
      <alignment horizontal="left"/>
      <protection locked="0"/>
    </xf>
    <xf numFmtId="170" fontId="14" fillId="0" borderId="194" xfId="0" applyFont="1" applyFill="1" applyBorder="1" applyAlignment="1" applyProtection="1">
      <alignment horizontal="left"/>
      <protection locked="0"/>
    </xf>
    <xf numFmtId="170" fontId="14" fillId="0" borderId="195" xfId="0" applyFont="1" applyFill="1" applyBorder="1" applyAlignment="1" applyProtection="1">
      <alignment horizontal="left"/>
      <protection locked="0"/>
    </xf>
    <xf numFmtId="170" fontId="14" fillId="0" borderId="191" xfId="0" applyFont="1" applyBorder="1" applyAlignment="1" applyProtection="1">
      <alignment horizontal="left"/>
      <protection locked="0"/>
    </xf>
    <xf numFmtId="170" fontId="14" fillId="0" borderId="196" xfId="0" applyFont="1" applyFill="1" applyBorder="1" applyAlignment="1" applyProtection="1">
      <alignment horizontal="left" vertical="top" wrapText="1"/>
      <protection locked="0"/>
    </xf>
    <xf numFmtId="170" fontId="14" fillId="0" borderId="197" xfId="0" applyFont="1" applyFill="1" applyBorder="1" applyAlignment="1" applyProtection="1">
      <alignment horizontal="left" vertical="top" wrapText="1"/>
      <protection locked="0"/>
    </xf>
    <xf numFmtId="170" fontId="14" fillId="0" borderId="198" xfId="0" applyFont="1" applyFill="1" applyBorder="1" applyAlignment="1" applyProtection="1">
      <alignment horizontal="left" vertical="top" wrapText="1"/>
      <protection locked="0"/>
    </xf>
    <xf numFmtId="170" fontId="14" fillId="0" borderId="200" xfId="0" applyFont="1" applyFill="1" applyBorder="1" applyAlignment="1" applyProtection="1">
      <alignment horizontal="left" vertical="top" wrapText="1"/>
      <protection locked="0"/>
    </xf>
    <xf numFmtId="164" fontId="10" fillId="14" borderId="0" xfId="4" applyFont="1" applyFill="1" applyAlignment="1">
      <alignment horizontal="center" vertical="center"/>
    </xf>
  </cellXfs>
  <cellStyles count="24">
    <cellStyle name="Comma" xfId="1" builtinId="3"/>
    <cellStyle name="Euro" xfId="2" xr:uid="{00000000-0005-0000-0000-000001000000}"/>
    <cellStyle name="Millares 2" xfId="3" xr:uid="{00000000-0005-0000-0000-000002000000}"/>
    <cellStyle name="Normal" xfId="0" builtinId="0"/>
    <cellStyle name="Normal 2" xfId="4" xr:uid="{00000000-0005-0000-0000-000004000000}"/>
    <cellStyle name="Normal 2 2" xfId="5" xr:uid="{00000000-0005-0000-0000-000005000000}"/>
    <cellStyle name="Normal 2 3" xfId="6" xr:uid="{00000000-0005-0000-0000-000006000000}"/>
    <cellStyle name="Normal 2 4" xfId="7" xr:uid="{00000000-0005-0000-0000-000007000000}"/>
    <cellStyle name="Normal 2 5" xfId="8" xr:uid="{00000000-0005-0000-0000-000008000000}"/>
    <cellStyle name="Normal 2 6" xfId="9" xr:uid="{00000000-0005-0000-0000-000009000000}"/>
    <cellStyle name="Normal 2 7" xfId="10" xr:uid="{00000000-0005-0000-0000-00000A000000}"/>
    <cellStyle name="Normal 2 8" xfId="11" xr:uid="{00000000-0005-0000-0000-00000B000000}"/>
    <cellStyle name="Normal 2_Dashboard ver 2.2 ES" xfId="12" xr:uid="{00000000-0005-0000-0000-00000C000000}"/>
    <cellStyle name="Normal 2_Prototipo" xfId="13" xr:uid="{00000000-0005-0000-0000-00000D000000}"/>
    <cellStyle name="Normal 3" xfId="14" xr:uid="{00000000-0005-0000-0000-00000E000000}"/>
    <cellStyle name="Normal 4" xfId="15" xr:uid="{00000000-0005-0000-0000-00000F000000}"/>
    <cellStyle name="Normal 5" xfId="16" xr:uid="{00000000-0005-0000-0000-000010000000}"/>
    <cellStyle name="Normal 6" xfId="17" xr:uid="{00000000-0005-0000-0000-000011000000}"/>
    <cellStyle name="Normal_TZ_R3HIV_Phase_2_21_August_08" xfId="18" xr:uid="{00000000-0005-0000-0000-000012000000}"/>
    <cellStyle name="Percent" xfId="19" builtinId="5"/>
    <cellStyle name="Título 3 3" xfId="20" xr:uid="{00000000-0005-0000-0000-000014000000}"/>
    <cellStyle name="Título 3 3_Prototipo" xfId="21" xr:uid="{00000000-0005-0000-0000-000015000000}"/>
    <cellStyle name="Título 3 3_PrototipoRep1" xfId="22" xr:uid="{00000000-0005-0000-0000-000016000000}"/>
    <cellStyle name="Título 3 7" xfId="23" xr:uid="{00000000-0005-0000-0000-000017000000}"/>
  </cellStyles>
  <dxfs count="58">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dxf>
    <dxf>
      <border diagonalUp="0" diagonalDown="0" outline="0">
        <left/>
        <right style="thin">
          <color indexed="64"/>
        </right>
        <top style="thin">
          <color indexed="64"/>
        </top>
        <bottom style="thin">
          <color indexed="64"/>
        </bottom>
      </border>
    </dxf>
    <dxf>
      <numFmt numFmtId="2" formatCode="0.0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outline="0">
        <left style="thin">
          <color indexed="64"/>
        </left>
        <right style="thin">
          <color indexed="64"/>
        </right>
        <top/>
        <bottom/>
      </border>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rgb="FFFF0000"/>
        </patternFill>
      </fill>
    </dxf>
    <dxf>
      <fill>
        <patternFill>
          <bgColor indexed="42"/>
        </patternFill>
      </fill>
    </dxf>
    <dxf>
      <fill>
        <patternFill>
          <bgColor indexed="42"/>
        </patternFill>
      </fill>
    </dxf>
  </dxfs>
  <tableStyles count="1" defaultTableStyle="TableStyleMedium9" defaultPivotStyle="PivotStyleLight16">
    <tableStyle name="Table Style 1" pivot="0" count="0" xr9:uid="{00000000-0011-0000-FFFF-FFFF00000000}"/>
  </tableStyles>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layout>
        <c:manualLayout>
          <c:xMode val="edge"/>
          <c:yMode val="edge"/>
          <c:x val="0.46549828178694158"/>
          <c:y val="0.4390243902439024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Calibri"/>
              <a:ea typeface="Calibri"/>
              <a:cs typeface="Calibri"/>
            </a:defRPr>
          </a:pPr>
          <a:endParaRPr lang="en-US"/>
        </a:p>
      </c:txPr>
    </c:title>
    <c:autoTitleDeleted val="0"/>
    <c:plotArea>
      <c:layout>
        <c:manualLayout>
          <c:layoutTarget val="inner"/>
          <c:xMode val="edge"/>
          <c:yMode val="edge"/>
          <c:x val="6.1440741526190806E-2"/>
          <c:y val="0.19565355846324767"/>
          <c:w val="0.86864496640476885"/>
          <c:h val="0.42029282929142131"/>
        </c:manualLayout>
      </c:layout>
      <c:barChart>
        <c:barDir val="bar"/>
        <c:grouping val="percentStacked"/>
        <c:varyColors val="0"/>
        <c:ser>
          <c:idx val="0"/>
          <c:order val="0"/>
          <c:tx>
            <c:strRef>
              <c:f>'Introducerea datelor'!$D$81</c:f>
              <c:strCache>
                <c:ptCount val="1"/>
                <c:pt idx="0">
                  <c:v>14</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dist="35921" dir="2700000" algn="br">
                <a:srgbClr val="000000"/>
              </a:outerShdw>
            </a:effectLst>
            <a:scene3d>
              <a:camera prst="orthographicFront">
                <a:rot lat="0" lon="0" rev="0"/>
              </a:camera>
              <a:lightRig rig="threePt" dir="t">
                <a:rot lat="0" lon="0" rev="1200000"/>
              </a:lightRig>
            </a:scene3d>
            <a:sp3d>
              <a:bevelT w="63500" h="25400"/>
            </a:sp3d>
          </c:spPr>
          <c:invertIfNegative val="0"/>
          <c:val>
            <c:numRef>
              <c:f>'Introducerea datelor'!$D$81:$D$82</c:f>
              <c:numCache>
                <c:formatCode>[$$-409]#,##0_);\([$$-409]#,##0\)</c:formatCode>
                <c:ptCount val="2"/>
                <c:pt idx="0" formatCode="#,##0">
                  <c:v>14</c:v>
                </c:pt>
              </c:numCache>
            </c:numRef>
          </c:val>
          <c:extLst>
            <c:ext xmlns:c16="http://schemas.microsoft.com/office/drawing/2014/chart" uri="{C3380CC4-5D6E-409C-BE32-E72D297353CC}">
              <c16:uniqueId val="{00000000-2C7A-43FD-B9FB-77E18F2F63C8}"/>
            </c:ext>
          </c:extLst>
        </c:ser>
        <c:dLbls>
          <c:showLegendKey val="0"/>
          <c:showVal val="0"/>
          <c:showCatName val="0"/>
          <c:showSerName val="0"/>
          <c:showPercent val="0"/>
          <c:showBubbleSize val="0"/>
        </c:dLbls>
        <c:gapWidth val="79"/>
        <c:overlap val="100"/>
        <c:axId val="805027288"/>
        <c:axId val="801251416"/>
      </c:barChart>
      <c:catAx>
        <c:axId val="805027288"/>
        <c:scaling>
          <c:orientation val="minMax"/>
        </c:scaling>
        <c:delete val="1"/>
        <c:axPos val="l"/>
        <c:numFmt formatCode="General" sourceLinked="1"/>
        <c:majorTickMark val="out"/>
        <c:minorTickMark val="none"/>
        <c:tickLblPos val="none"/>
        <c:crossAx val="801251416"/>
        <c:crosses val="autoZero"/>
        <c:auto val="1"/>
        <c:lblAlgn val="ctr"/>
        <c:lblOffset val="100"/>
        <c:noMultiLvlLbl val="0"/>
      </c:catAx>
      <c:valAx>
        <c:axId val="801251416"/>
        <c:scaling>
          <c:orientation val="minMax"/>
        </c:scaling>
        <c:delete val="0"/>
        <c:axPos val="t"/>
        <c:majorGridlines>
          <c:spPr>
            <a:ln w="3175" cap="flat" cmpd="sng" algn="ctr">
              <a:solidFill>
                <a:srgbClr val="000000"/>
              </a:solidFill>
              <a:prstDash val="solid"/>
              <a:round/>
            </a:ln>
            <a:effectLst/>
          </c:spPr>
        </c:majorGridlines>
        <c:numFmt formatCode="0%" sourceLinked="1"/>
        <c:majorTickMark val="out"/>
        <c:minorTickMark val="none"/>
        <c:tickLblPos val="low"/>
        <c:spPr>
          <a:noFill/>
          <a:ln w="3175"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en-US"/>
          </a:p>
        </c:txPr>
        <c:crossAx val="805027288"/>
        <c:crosses val="max"/>
        <c:crossBetween val="between"/>
      </c:valAx>
      <c:spPr>
        <a:solidFill>
          <a:schemeClr val="bg1"/>
        </a:solidFill>
        <a:ln>
          <a:noFill/>
        </a:ln>
        <a:effectLst/>
      </c:spPr>
    </c:plotArea>
    <c:legend>
      <c:legendPos val="r"/>
      <c:legendEntry>
        <c:idx val="0"/>
        <c:delete val="1"/>
      </c:legendEntry>
      <c:layout>
        <c:manualLayout>
          <c:xMode val="edge"/>
          <c:yMode val="edge"/>
          <c:x val="0.30275211732554053"/>
          <c:y val="0.83656680110108184"/>
          <c:w val="0.19477771464133992"/>
          <c:h val="0.13942769348953335"/>
        </c:manualLayout>
      </c:layout>
      <c:overlay val="0"/>
      <c:spPr>
        <a:noFill/>
        <a:ln w="25400">
          <a:noFill/>
        </a:ln>
        <a:effectLst/>
      </c:spPr>
      <c:txPr>
        <a:bodyPr rot="0" spcFirstLastPara="1" vertOverflow="ellipsis" vert="horz" wrap="square" anchor="ctr" anchorCtr="1"/>
        <a:lstStyle/>
        <a:p>
          <a:pPr>
            <a:defRPr sz="620" b="0" i="0" u="none" strike="noStrike" kern="1200" baseline="0">
              <a:solidFill>
                <a:srgbClr val="000000"/>
              </a:solidFill>
              <a:latin typeface="Calibri"/>
              <a:ea typeface="Calibri"/>
              <a:cs typeface="Calibri"/>
            </a:defRPr>
          </a:pPr>
          <a:endParaRPr lang="en-US"/>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33" r="0.75000000000000133"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62090845239282E-2"/>
          <c:y val="8.9552622711734767E-2"/>
          <c:w val="0.86769737300832794"/>
          <c:h val="0.59287564443779373"/>
        </c:manualLayout>
      </c:layout>
      <c:barChart>
        <c:barDir val="col"/>
        <c:grouping val="clustered"/>
        <c:varyColors val="0"/>
        <c:ser>
          <c:idx val="1"/>
          <c:order val="0"/>
          <c:tx>
            <c:strRef>
              <c:f>'Introducerea datelor'!$G$123</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52EC-4BDC-81F0-2E469D21FB7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datelor'!$H$123:$S$123</c:f>
              <c:numCache>
                <c:formatCode>0.00%</c:formatCode>
                <c:ptCount val="12"/>
                <c:pt idx="0">
                  <c:v>3.0599999999999999E-2</c:v>
                </c:pt>
              </c:numCache>
            </c:numRef>
          </c:val>
          <c:extLst>
            <c:ext xmlns:c16="http://schemas.microsoft.com/office/drawing/2014/chart" uri="{C3380CC4-5D6E-409C-BE32-E72D297353CC}">
              <c16:uniqueId val="{00000002-52EC-4BDC-81F0-2E469D21FB78}"/>
            </c:ext>
          </c:extLst>
        </c:ser>
        <c:ser>
          <c:idx val="2"/>
          <c:order val="1"/>
          <c:tx>
            <c:strRef>
              <c:f>'Introducerea datelor'!$G$124</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4-52EC-4BDC-81F0-2E469D21FB7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datelor'!$H$124:$S$124</c:f>
              <c:numCache>
                <c:formatCode>0.00%</c:formatCode>
                <c:ptCount val="12"/>
                <c:pt idx="0">
                  <c:v>3.5999999999999997E-2</c:v>
                </c:pt>
              </c:numCache>
            </c:numRef>
          </c:val>
          <c:extLst>
            <c:ext xmlns:c16="http://schemas.microsoft.com/office/drawing/2014/chart" uri="{C3380CC4-5D6E-409C-BE32-E72D297353CC}">
              <c16:uniqueId val="{00000005-52EC-4BDC-81F0-2E469D21FB78}"/>
            </c:ext>
          </c:extLst>
        </c:ser>
        <c:dLbls>
          <c:dLblPos val="outEnd"/>
          <c:showLegendKey val="0"/>
          <c:showVal val="1"/>
          <c:showCatName val="0"/>
          <c:showSerName val="0"/>
          <c:showPercent val="0"/>
          <c:showBubbleSize val="0"/>
        </c:dLbls>
        <c:gapWidth val="100"/>
        <c:overlap val="-24"/>
        <c:axId val="807840856"/>
        <c:axId val="807841248"/>
      </c:barChart>
      <c:catAx>
        <c:axId val="8078408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7841248"/>
        <c:crosses val="autoZero"/>
        <c:auto val="1"/>
        <c:lblAlgn val="ctr"/>
        <c:lblOffset val="100"/>
        <c:tickLblSkip val="1"/>
        <c:tickMarkSkip val="1"/>
        <c:noMultiLvlLbl val="0"/>
      </c:catAx>
      <c:valAx>
        <c:axId val="807841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7840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0127403454859"/>
          <c:y val="9.6912773925248705E-2"/>
          <c:w val="0.80237576277309963"/>
          <c:h val="0.59287564443779373"/>
        </c:manualLayout>
      </c:layout>
      <c:barChart>
        <c:barDir val="col"/>
        <c:grouping val="clustered"/>
        <c:varyColors val="0"/>
        <c:ser>
          <c:idx val="0"/>
          <c:order val="0"/>
          <c:tx>
            <c:strRef>
              <c:f>'Introducerea datelor'!$G$118</c:f>
              <c:strCache>
                <c:ptCount val="1"/>
              </c:strCache>
            </c:strRef>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'Introducerea datelor'!$H$118:$S$118</c:f>
              <c:numCache>
                <c:formatCode>"Q"#,##0_);[Red]\("Q"#,##0\)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A-ED6C-4DE1-9468-E65DE69FFA0B}"/>
            </c:ext>
          </c:extLst>
        </c:ser>
        <c:ser>
          <c:idx val="1"/>
          <c:order val="1"/>
          <c:tx>
            <c:strRef>
              <c:f>'Introducerea datelor'!$G$119</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spPr>
              <a:solidFill>
                <a:schemeClr val="accent3">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4-ED6C-4DE1-9468-E65DE69FFA0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'Introducerea datelor'!$H$119:$S$119</c:f>
              <c:numCache>
                <c:formatCode>0.0</c:formatCode>
                <c:ptCount val="12"/>
                <c:pt idx="0">
                  <c:v>8.6999999999999993</c:v>
                </c:pt>
              </c:numCache>
            </c:numRef>
          </c:val>
          <c:extLst>
            <c:ext xmlns:c16="http://schemas.microsoft.com/office/drawing/2014/chart" uri="{C3380CC4-5D6E-409C-BE32-E72D297353CC}">
              <c16:uniqueId val="{0000000B-ED6C-4DE1-9468-E65DE69FFA0B}"/>
            </c:ext>
          </c:extLst>
        </c:ser>
        <c:ser>
          <c:idx val="2"/>
          <c:order val="2"/>
          <c:tx>
            <c:strRef>
              <c:f>'Introducerea datelor'!$G$120</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'Introducerea datelor'!$H$120:$S$120</c:f>
              <c:numCache>
                <c:formatCode>0.0</c:formatCode>
                <c:ptCount val="12"/>
                <c:pt idx="0" formatCode="0.00">
                  <c:v>7.94</c:v>
                </c:pt>
              </c:numCache>
            </c:numRef>
          </c:val>
          <c:extLst>
            <c:ext xmlns:c16="http://schemas.microsoft.com/office/drawing/2014/chart" uri="{C3380CC4-5D6E-409C-BE32-E72D297353CC}">
              <c16:uniqueId val="{00000002-53B1-4744-BBDB-7F8F6A129AAC}"/>
            </c:ext>
          </c:extLst>
        </c:ser>
        <c:dLbls>
          <c:dLblPos val="outEnd"/>
          <c:showLegendKey val="0"/>
          <c:showVal val="1"/>
          <c:showCatName val="0"/>
          <c:showSerName val="0"/>
          <c:showPercent val="0"/>
          <c:showBubbleSize val="0"/>
        </c:dLbls>
        <c:gapWidth val="100"/>
        <c:overlap val="-24"/>
        <c:axId val="646584552"/>
        <c:axId val="646584944"/>
      </c:barChart>
      <c:catAx>
        <c:axId val="64658455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6584944"/>
        <c:crosses val="autoZero"/>
        <c:auto val="1"/>
        <c:lblAlgn val="ctr"/>
        <c:lblOffset val="100"/>
        <c:tickLblSkip val="1"/>
        <c:tickMarkSkip val="1"/>
        <c:noMultiLvlLbl val="0"/>
      </c:catAx>
      <c:valAx>
        <c:axId val="646584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6584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133" r="0.75000000000000133"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62090845239282E-2"/>
          <c:y val="8.9552622711734767E-2"/>
          <c:w val="0.86769737300832794"/>
          <c:h val="0.59287564443779373"/>
        </c:manualLayout>
      </c:layout>
      <c:barChart>
        <c:barDir val="col"/>
        <c:grouping val="clustered"/>
        <c:varyColors val="0"/>
        <c:ser>
          <c:idx val="1"/>
          <c:order val="0"/>
          <c:tx>
            <c:strRef>
              <c:f>'Introducerea datelor'!$G$127</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AB67-4507-9DCD-77920C14C07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datelor'!$H$127:$S$127</c:f>
              <c:numCache>
                <c:formatCode>#,##0</c:formatCode>
                <c:ptCount val="12"/>
                <c:pt idx="0">
                  <c:v>0</c:v>
                </c:pt>
              </c:numCache>
            </c:numRef>
          </c:val>
          <c:extLst>
            <c:ext xmlns:c16="http://schemas.microsoft.com/office/drawing/2014/chart" uri="{C3380CC4-5D6E-409C-BE32-E72D297353CC}">
              <c16:uniqueId val="{00000002-AB67-4507-9DCD-77920C14C072}"/>
            </c:ext>
          </c:extLst>
        </c:ser>
        <c:ser>
          <c:idx val="2"/>
          <c:order val="1"/>
          <c:tx>
            <c:strRef>
              <c:f>'Introducerea datelor'!$G$128</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4-AB67-4507-9DCD-77920C14C07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datelor'!$H$128:$S$128</c:f>
              <c:numCache>
                <c:formatCode>#,##0</c:formatCode>
                <c:ptCount val="12"/>
                <c:pt idx="0">
                  <c:v>0</c:v>
                </c:pt>
              </c:numCache>
            </c:numRef>
          </c:val>
          <c:extLst>
            <c:ext xmlns:c16="http://schemas.microsoft.com/office/drawing/2014/chart" uri="{C3380CC4-5D6E-409C-BE32-E72D297353CC}">
              <c16:uniqueId val="{00000005-AB67-4507-9DCD-77920C14C072}"/>
            </c:ext>
          </c:extLst>
        </c:ser>
        <c:dLbls>
          <c:dLblPos val="outEnd"/>
          <c:showLegendKey val="0"/>
          <c:showVal val="1"/>
          <c:showCatName val="0"/>
          <c:showSerName val="0"/>
          <c:showPercent val="0"/>
          <c:showBubbleSize val="0"/>
        </c:dLbls>
        <c:gapWidth val="100"/>
        <c:overlap val="-24"/>
        <c:axId val="646585728"/>
        <c:axId val="523898240"/>
      </c:barChart>
      <c:catAx>
        <c:axId val="6465857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3898240"/>
        <c:crosses val="autoZero"/>
        <c:auto val="1"/>
        <c:lblAlgn val="ctr"/>
        <c:lblOffset val="100"/>
        <c:tickLblSkip val="1"/>
        <c:tickMarkSkip val="1"/>
        <c:noMultiLvlLbl val="0"/>
      </c:catAx>
      <c:valAx>
        <c:axId val="5238982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6585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62090845239282E-2"/>
          <c:y val="8.9552622711734767E-2"/>
          <c:w val="0.86769737300832794"/>
          <c:h val="0.59287564443779373"/>
        </c:manualLayout>
      </c:layout>
      <c:barChart>
        <c:barDir val="col"/>
        <c:grouping val="clustered"/>
        <c:varyColors val="0"/>
        <c:ser>
          <c:idx val="1"/>
          <c:order val="0"/>
          <c:tx>
            <c:strRef>
              <c:f>'Introducerea datelor'!$G$129</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4350-409D-B5E1-D06548E981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datelor'!$H$129:$S$129</c:f>
              <c:numCache>
                <c:formatCode>#,##0</c:formatCode>
                <c:ptCount val="12"/>
                <c:pt idx="0">
                  <c:v>0</c:v>
                </c:pt>
              </c:numCache>
            </c:numRef>
          </c:val>
          <c:extLst>
            <c:ext xmlns:c16="http://schemas.microsoft.com/office/drawing/2014/chart" uri="{C3380CC4-5D6E-409C-BE32-E72D297353CC}">
              <c16:uniqueId val="{00000002-4350-409D-B5E1-D06548E981D0}"/>
            </c:ext>
          </c:extLst>
        </c:ser>
        <c:ser>
          <c:idx val="2"/>
          <c:order val="1"/>
          <c:tx>
            <c:strRef>
              <c:f>'Introducerea datelor'!$G$130</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4-4350-409D-B5E1-D06548E981D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datelor'!$H$130:$S$130</c:f>
              <c:numCache>
                <c:formatCode>#,##0</c:formatCode>
                <c:ptCount val="12"/>
                <c:pt idx="0">
                  <c:v>0</c:v>
                </c:pt>
              </c:numCache>
            </c:numRef>
          </c:val>
          <c:extLst>
            <c:ext xmlns:c16="http://schemas.microsoft.com/office/drawing/2014/chart" uri="{C3380CC4-5D6E-409C-BE32-E72D297353CC}">
              <c16:uniqueId val="{00000005-4350-409D-B5E1-D06548E981D0}"/>
            </c:ext>
          </c:extLst>
        </c:ser>
        <c:dLbls>
          <c:dLblPos val="outEnd"/>
          <c:showLegendKey val="0"/>
          <c:showVal val="1"/>
          <c:showCatName val="0"/>
          <c:showSerName val="0"/>
          <c:showPercent val="0"/>
          <c:showBubbleSize val="0"/>
        </c:dLbls>
        <c:gapWidth val="100"/>
        <c:overlap val="-24"/>
        <c:axId val="523899024"/>
        <c:axId val="523899416"/>
      </c:barChart>
      <c:catAx>
        <c:axId val="52389902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3899416"/>
        <c:crosses val="autoZero"/>
        <c:auto val="1"/>
        <c:lblAlgn val="ctr"/>
        <c:lblOffset val="100"/>
        <c:tickLblSkip val="1"/>
        <c:tickMarkSkip val="1"/>
        <c:noMultiLvlLbl val="0"/>
      </c:catAx>
      <c:valAx>
        <c:axId val="5238994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38990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62090845239282E-2"/>
          <c:y val="8.9552622711734767E-2"/>
          <c:w val="0.86769737300832794"/>
          <c:h val="0.59287564443779373"/>
        </c:manualLayout>
      </c:layout>
      <c:barChart>
        <c:barDir val="col"/>
        <c:grouping val="clustered"/>
        <c:varyColors val="0"/>
        <c:ser>
          <c:idx val="1"/>
          <c:order val="0"/>
          <c:tx>
            <c:strRef>
              <c:f>'Introducerea datelor'!$G$125</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4-45E1-4BA1-8735-4FFEBDCD01F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datelor'!$H$125:$S$125</c:f>
              <c:numCache>
                <c:formatCode>0.0</c:formatCode>
                <c:ptCount val="12"/>
                <c:pt idx="0">
                  <c:v>0</c:v>
                </c:pt>
              </c:numCache>
            </c:numRef>
          </c:val>
          <c:extLst>
            <c:ext xmlns:c16="http://schemas.microsoft.com/office/drawing/2014/chart" uri="{C3380CC4-5D6E-409C-BE32-E72D297353CC}">
              <c16:uniqueId val="{00000005-45E1-4BA1-8735-4FFEBDCD01F4}"/>
            </c:ext>
          </c:extLst>
        </c:ser>
        <c:ser>
          <c:idx val="2"/>
          <c:order val="1"/>
          <c:tx>
            <c:strRef>
              <c:f>'Introducerea datelor'!$G$126</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7-45E1-4BA1-8735-4FFEBDCD01F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datelor'!$H$126:$S$126</c:f>
              <c:numCache>
                <c:formatCode>0.0</c:formatCode>
                <c:ptCount val="12"/>
                <c:pt idx="0">
                  <c:v>0</c:v>
                </c:pt>
              </c:numCache>
            </c:numRef>
          </c:val>
          <c:extLst>
            <c:ext xmlns:c16="http://schemas.microsoft.com/office/drawing/2014/chart" uri="{C3380CC4-5D6E-409C-BE32-E72D297353CC}">
              <c16:uniqueId val="{00000008-45E1-4BA1-8735-4FFEBDCD01F4}"/>
            </c:ext>
          </c:extLst>
        </c:ser>
        <c:dLbls>
          <c:dLblPos val="outEnd"/>
          <c:showLegendKey val="0"/>
          <c:showVal val="1"/>
          <c:showCatName val="0"/>
          <c:showSerName val="0"/>
          <c:showPercent val="0"/>
          <c:showBubbleSize val="0"/>
        </c:dLbls>
        <c:gapWidth val="100"/>
        <c:overlap val="-24"/>
        <c:axId val="149082608"/>
        <c:axId val="149083000"/>
      </c:barChart>
      <c:catAx>
        <c:axId val="1490826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083000"/>
        <c:crosses val="autoZero"/>
        <c:auto val="1"/>
        <c:lblAlgn val="ctr"/>
        <c:lblOffset val="100"/>
        <c:tickLblSkip val="1"/>
        <c:tickMarkSkip val="1"/>
        <c:noMultiLvlLbl val="0"/>
      </c:catAx>
      <c:valAx>
        <c:axId val="1490830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082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Buget Cumulativ</c:v>
                </c:pt>
              </c:strCache>
            </c:strRef>
          </c:tx>
          <c:spPr>
            <a:solidFill>
              <a:srgbClr val="339966"/>
            </a:solidFill>
            <a:ln w="12700">
              <a:solidFill>
                <a:srgbClr val="0000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datelor'!$C$33:$M$33</c:f>
              <c:numCache>
                <c:formatCode>#,##0</c:formatCode>
                <c:ptCount val="11"/>
                <c:pt idx="0">
                  <c:v>2030552.71</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73F6-427C-8045-4E5D2B1805E3}"/>
            </c:ext>
          </c:extLst>
        </c:ser>
        <c:ser>
          <c:idx val="1"/>
          <c:order val="1"/>
          <c:tx>
            <c:strRef>
              <c:f>'Introducerea datelor'!$B$34</c:f>
              <c:strCache>
                <c:ptCount val="1"/>
                <c:pt idx="0">
                  <c:v>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datelor'!$C$34:$M$34</c:f>
              <c:numCache>
                <c:formatCode>#,##0</c:formatCode>
                <c:ptCount val="11"/>
                <c:pt idx="0">
                  <c:v>2829411.8</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73F6-427C-8045-4E5D2B1805E3}"/>
            </c:ext>
          </c:extLst>
        </c:ser>
        <c:dLbls>
          <c:showLegendKey val="0"/>
          <c:showVal val="0"/>
          <c:showCatName val="0"/>
          <c:showSerName val="0"/>
          <c:showPercent val="0"/>
          <c:showBubbleSize val="0"/>
        </c:dLbls>
        <c:dropLines>
          <c:spPr>
            <a:ln w="3175">
              <a:solidFill>
                <a:srgbClr val="000000"/>
              </a:solidFill>
              <a:prstDash val="solid"/>
            </a:ln>
          </c:spPr>
        </c:dropLines>
        <c:axId val="149083784"/>
        <c:axId val="149084176"/>
      </c:areaChart>
      <c:catAx>
        <c:axId val="149083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149084176"/>
        <c:crosses val="autoZero"/>
        <c:auto val="1"/>
        <c:lblAlgn val="ctr"/>
        <c:lblOffset val="100"/>
        <c:tickLblSkip val="8"/>
        <c:tickMarkSkip val="1"/>
        <c:noMultiLvlLbl val="0"/>
      </c:catAx>
      <c:valAx>
        <c:axId val="149084176"/>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49083784"/>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spPr>
            <a:solidFill>
              <a:schemeClr val="accent3"/>
            </a:solidFill>
            <a:ln>
              <a:noFill/>
            </a:ln>
            <a:effectLst>
              <a:outerShdw dist="35921" dir="2700000" algn="br">
                <a:srgbClr val="000000"/>
              </a:outerShdw>
            </a:effectLst>
          </c:spPr>
          <c:invertIfNegative val="0"/>
          <c:dLbls>
            <c:spPr>
              <a:noFill/>
              <a:ln w="25400">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datelor'!$C$86</c:f>
              <c:numCache>
                <c:formatCode>#,##0</c:formatCode>
                <c:ptCount val="1"/>
                <c:pt idx="0">
                  <c:v>2</c:v>
                </c:pt>
              </c:numCache>
            </c:numRef>
          </c:val>
          <c:extLst>
            <c:ext xmlns:c16="http://schemas.microsoft.com/office/drawing/2014/chart" uri="{C3380CC4-5D6E-409C-BE32-E72D297353CC}">
              <c16:uniqueId val="{00000000-32D2-41E1-8750-812F849F4568}"/>
            </c:ext>
          </c:extLst>
        </c:ser>
        <c:dLbls>
          <c:showLegendKey val="0"/>
          <c:showVal val="0"/>
          <c:showCatName val="0"/>
          <c:showSerName val="0"/>
          <c:showPercent val="0"/>
          <c:showBubbleSize val="0"/>
        </c:dLbls>
        <c:gapWidth val="150"/>
        <c:overlap val="-20"/>
        <c:axId val="801250240"/>
        <c:axId val="644324304"/>
      </c:barChart>
      <c:catAx>
        <c:axId val="801250240"/>
        <c:scaling>
          <c:orientation val="minMax"/>
        </c:scaling>
        <c:delete val="0"/>
        <c:axPos val="b"/>
        <c:majorTickMark val="none"/>
        <c:minorTickMark val="none"/>
        <c:tickLblPos val="none"/>
        <c:spPr>
          <a:noFill/>
          <a:ln w="3175"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en-US"/>
          </a:p>
        </c:txPr>
        <c:crossAx val="644324304"/>
        <c:crosses val="autoZero"/>
        <c:auto val="0"/>
        <c:lblAlgn val="ctr"/>
        <c:lblOffset val="100"/>
        <c:tickMarkSkip val="1"/>
        <c:noMultiLvlLbl val="0"/>
      </c:catAx>
      <c:valAx>
        <c:axId val="644324304"/>
        <c:scaling>
          <c:orientation val="minMax"/>
        </c:scaling>
        <c:delete val="0"/>
        <c:axPos val="l"/>
        <c:numFmt formatCode="#,##0" sourceLinked="1"/>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801250240"/>
        <c:crosses val="autoZero"/>
        <c:crossBetween val="between"/>
      </c:valAx>
      <c:spPr>
        <a:noFill/>
        <a:ln w="25400">
          <a:noFill/>
        </a:ln>
        <a:effectLst/>
      </c:spPr>
    </c:plotArea>
    <c:legend>
      <c:legendPos val="r"/>
      <c:layout>
        <c:manualLayout>
          <c:xMode val="edge"/>
          <c:yMode val="edge"/>
          <c:x val="7.7323741939664972E-2"/>
          <c:y val="0.79538490678355922"/>
          <c:w val="0.85290509056738295"/>
          <c:h val="8.8396244283897502E-2"/>
        </c:manualLayout>
      </c:layout>
      <c:overlay val="0"/>
      <c:spPr>
        <a:noFill/>
        <a:ln w="25400">
          <a:noFill/>
        </a:ln>
        <a:effectLst/>
      </c:spPr>
      <c:txPr>
        <a:bodyPr rot="0" spcFirstLastPara="1" vertOverflow="ellipsis" vert="horz" wrap="square" anchor="ctr" anchorCtr="1"/>
        <a:lstStyle/>
        <a:p>
          <a:pPr>
            <a:defRPr sz="620" b="0" i="0" u="none" strike="noStrike" kern="1200" baseline="0">
              <a:solidFill>
                <a:srgbClr val="000000"/>
              </a:solidFill>
              <a:latin typeface="Arial"/>
              <a:ea typeface="Arial"/>
              <a:cs typeface="Arial"/>
            </a:defRPr>
          </a:pPr>
          <a:endParaRPr lang="en-US"/>
        </a:p>
      </c:txPr>
    </c:legend>
    <c:plotVisOnly val="1"/>
    <c:dispBlanksAs val="gap"/>
    <c:showDLblsOverMax val="0"/>
  </c:chart>
  <c:spPr>
    <a:noFill/>
    <a:ln w="9525" cap="flat" cmpd="sng" algn="ctr">
      <a:noFill/>
      <a:prstDash val="solid"/>
      <a:roun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256292906178489"/>
          <c:y val="5.4421768707482956E-2"/>
          <c:w val="0.67505720823798665"/>
          <c:h val="0.55782312925170052"/>
        </c:manualLayout>
      </c:layout>
      <c:barChart>
        <c:barDir val="bar"/>
        <c:grouping val="percentStacked"/>
        <c:varyColors val="0"/>
        <c:ser>
          <c:idx val="0"/>
          <c:order val="0"/>
          <c:tx>
            <c:strRef>
              <c:f>'Introducerea datelor'!$D$73</c:f>
              <c:strCache>
                <c:ptCount val="1"/>
                <c:pt idx="0">
                  <c:v>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datelor'!$B$74:$B$75</c:f>
              <c:strCache>
                <c:ptCount val="2"/>
                <c:pt idx="0">
                  <c:v>Condiții Precedente (CP)</c:v>
                </c:pt>
                <c:pt idx="1">
                  <c:v>Acțiuni Prestabilite în Timp (TBA)</c:v>
                </c:pt>
              </c:strCache>
            </c:strRef>
          </c:cat>
          <c:val>
            <c:numRef>
              <c:f>'Introducerea datelor'!$D$74:$D$75</c:f>
              <c:numCache>
                <c:formatCode>0</c:formatCode>
                <c:ptCount val="2"/>
              </c:numCache>
            </c:numRef>
          </c:val>
          <c:extLst>
            <c:ext xmlns:c16="http://schemas.microsoft.com/office/drawing/2014/chart" uri="{C3380CC4-5D6E-409C-BE32-E72D297353CC}">
              <c16:uniqueId val="{00000000-D08E-42FA-87E5-9BAD02454A53}"/>
            </c:ext>
          </c:extLst>
        </c:ser>
        <c:ser>
          <c:idx val="1"/>
          <c:order val="1"/>
          <c:tx>
            <c:strRef>
              <c:f>'Introducerea datelor'!$E$73</c:f>
              <c:strCache>
                <c:ptCount val="1"/>
                <c:pt idx="0">
                  <c:v>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datelor'!$B$74:$B$75</c:f>
              <c:strCache>
                <c:ptCount val="2"/>
                <c:pt idx="0">
                  <c:v>Condiții Precedente (CP)</c:v>
                </c:pt>
                <c:pt idx="1">
                  <c:v>Acțiuni Prestabilite în Timp (TBA)</c:v>
                </c:pt>
              </c:strCache>
            </c:strRef>
          </c:cat>
          <c:val>
            <c:numRef>
              <c:f>'Introducerea datelor'!$E$74:$E$75</c:f>
              <c:numCache>
                <c:formatCode>0</c:formatCode>
                <c:ptCount val="2"/>
                <c:pt idx="0">
                  <c:v>2</c:v>
                </c:pt>
              </c:numCache>
            </c:numRef>
          </c:val>
          <c:extLst>
            <c:ext xmlns:c16="http://schemas.microsoft.com/office/drawing/2014/chart" uri="{C3380CC4-5D6E-409C-BE32-E72D297353CC}">
              <c16:uniqueId val="{00000001-D08E-42FA-87E5-9BAD02454A53}"/>
            </c:ext>
          </c:extLst>
        </c:ser>
        <c:ser>
          <c:idx val="2"/>
          <c:order val="2"/>
          <c:tx>
            <c:strRef>
              <c:f>'Introducerea datelor'!$F$73</c:f>
              <c:strCache>
                <c:ptCount val="1"/>
                <c:pt idx="0">
                  <c:v>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datelor'!$B$74:$B$75</c:f>
              <c:strCache>
                <c:ptCount val="2"/>
                <c:pt idx="0">
                  <c:v>Condiții Precedente (CP)</c:v>
                </c:pt>
                <c:pt idx="1">
                  <c:v>Acțiuni Prestabilite în Timp (TBA)</c:v>
                </c:pt>
              </c:strCache>
            </c:strRef>
          </c:cat>
          <c:val>
            <c:numRef>
              <c:f>'Introducerea datelor'!$F$74:$F$75</c:f>
              <c:numCache>
                <c:formatCode>0</c:formatCode>
                <c:ptCount val="2"/>
              </c:numCache>
            </c:numRef>
          </c:val>
          <c:extLst>
            <c:ext xmlns:c16="http://schemas.microsoft.com/office/drawing/2014/chart" uri="{C3380CC4-5D6E-409C-BE32-E72D297353CC}">
              <c16:uniqueId val="{00000002-D08E-42FA-87E5-9BAD02454A53}"/>
            </c:ext>
          </c:extLst>
        </c:ser>
        <c:dLbls>
          <c:showLegendKey val="0"/>
          <c:showVal val="0"/>
          <c:showCatName val="0"/>
          <c:showSerName val="0"/>
          <c:showPercent val="0"/>
          <c:showBubbleSize val="0"/>
        </c:dLbls>
        <c:gapWidth val="70"/>
        <c:overlap val="100"/>
        <c:axId val="644324696"/>
        <c:axId val="530742616"/>
      </c:barChart>
      <c:catAx>
        <c:axId val="64432469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0742616"/>
        <c:crosses val="autoZero"/>
        <c:auto val="1"/>
        <c:lblAlgn val="ctr"/>
        <c:lblOffset val="100"/>
        <c:tickLblSkip val="1"/>
        <c:tickMarkSkip val="1"/>
        <c:noMultiLvlLbl val="0"/>
      </c:catAx>
      <c:valAx>
        <c:axId val="530742616"/>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44324696"/>
        <c:crosses val="autoZero"/>
        <c:crossBetween val="between"/>
      </c:valAx>
      <c:spPr>
        <a:noFill/>
        <a:ln w="25400">
          <a:noFill/>
        </a:ln>
      </c:spPr>
    </c:plotArea>
    <c:legend>
      <c:legendPos val="r"/>
      <c:layout>
        <c:manualLayout>
          <c:xMode val="edge"/>
          <c:yMode val="edge"/>
          <c:x val="2.7404217493408298E-2"/>
          <c:y val="0.81891549270626884"/>
          <c:w val="0.95229751887421399"/>
          <c:h val="0.16057207134822438"/>
        </c:manualLayout>
      </c:layout>
      <c:overlay val="0"/>
      <c:spPr>
        <a:noFill/>
        <a:ln w="25400">
          <a:noFill/>
        </a:ln>
      </c:spPr>
      <c:txPr>
        <a:bodyPr/>
        <a:lstStyle/>
        <a:p>
          <a:pPr>
            <a:defRPr sz="6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8791869184631896"/>
          <c:y val="0.12154728922244371"/>
          <c:w val="0.65390610983753616"/>
          <c:h val="0.5524876782838356"/>
        </c:manualLayout>
      </c:layout>
      <c:barChart>
        <c:barDir val="bar"/>
        <c:grouping val="percentStacked"/>
        <c:varyColors val="0"/>
        <c:ser>
          <c:idx val="1"/>
          <c:order val="0"/>
          <c:tx>
            <c:strRef>
              <c:f>'Introducerea datelor'!$D$90</c:f>
              <c:strCache>
                <c:ptCount val="1"/>
                <c:pt idx="0">
                  <c:v>#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datelor'!$B$91:$B$92</c:f>
              <c:strCache>
                <c:ptCount val="2"/>
                <c:pt idx="0">
                  <c:v>SSR către SR</c:v>
                </c:pt>
                <c:pt idx="1">
                  <c:v>SR către RP</c:v>
                </c:pt>
              </c:strCache>
            </c:strRef>
          </c:cat>
          <c:val>
            <c:numRef>
              <c:f>'Introducerea datelor'!$D$91:$D$92</c:f>
              <c:numCache>
                <c:formatCode>0</c:formatCode>
                <c:ptCount val="2"/>
                <c:pt idx="0">
                  <c:v>8</c:v>
                </c:pt>
                <c:pt idx="1">
                  <c:v>4</c:v>
                </c:pt>
              </c:numCache>
            </c:numRef>
          </c:val>
          <c:extLst>
            <c:ext xmlns:c16="http://schemas.microsoft.com/office/drawing/2014/chart" uri="{C3380CC4-5D6E-409C-BE32-E72D297353CC}">
              <c16:uniqueId val="{00000000-0579-471F-8EB0-B16F21AC51C8}"/>
            </c:ext>
          </c:extLst>
        </c:ser>
        <c:ser>
          <c:idx val="2"/>
          <c:order val="1"/>
          <c:tx>
            <c:strRef>
              <c:f>'Introducerea datelor'!$E$90</c:f>
              <c:strCache>
                <c:ptCount val="1"/>
                <c:pt idx="0">
                  <c:v>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datelor'!$B$91:$B$92</c:f>
              <c:strCache>
                <c:ptCount val="2"/>
                <c:pt idx="0">
                  <c:v>SSR către SR</c:v>
                </c:pt>
                <c:pt idx="1">
                  <c:v>SR către RP</c:v>
                </c:pt>
              </c:strCache>
            </c:strRef>
          </c:cat>
          <c:val>
            <c:numRef>
              <c:f>'Introducerea datelor'!$E$91:$E$92</c:f>
              <c:numCache>
                <c:formatCode>#,##0</c:formatCode>
                <c:ptCount val="2"/>
                <c:pt idx="0" formatCode="0">
                  <c:v>0</c:v>
                </c:pt>
                <c:pt idx="1">
                  <c:v>0</c:v>
                </c:pt>
              </c:numCache>
            </c:numRef>
          </c:val>
          <c:extLst>
            <c:ext xmlns:c16="http://schemas.microsoft.com/office/drawing/2014/chart" uri="{C3380CC4-5D6E-409C-BE32-E72D297353CC}">
              <c16:uniqueId val="{00000001-0579-471F-8EB0-B16F21AC51C8}"/>
            </c:ext>
          </c:extLst>
        </c:ser>
        <c:dLbls>
          <c:showLegendKey val="0"/>
          <c:showVal val="0"/>
          <c:showCatName val="0"/>
          <c:showSerName val="0"/>
          <c:showPercent val="0"/>
          <c:showBubbleSize val="0"/>
        </c:dLbls>
        <c:gapWidth val="101"/>
        <c:overlap val="100"/>
        <c:axId val="656996352"/>
        <c:axId val="656996744"/>
      </c:barChart>
      <c:catAx>
        <c:axId val="6569963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656996744"/>
        <c:crosses val="autoZero"/>
        <c:auto val="1"/>
        <c:lblAlgn val="ctr"/>
        <c:lblOffset val="100"/>
        <c:noMultiLvlLbl val="0"/>
      </c:catAx>
      <c:valAx>
        <c:axId val="656996744"/>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656996352"/>
        <c:crosses val="max"/>
        <c:crossBetween val="between"/>
      </c:valAx>
    </c:plotArea>
    <c:legend>
      <c:legendPos val="r"/>
      <c:legendEntry>
        <c:idx val="0"/>
        <c:txPr>
          <a:bodyPr/>
          <a:lstStyle/>
          <a:p>
            <a:pPr>
              <a:defRPr sz="620" b="0" i="0" u="none" strike="noStrike" baseline="0">
                <a:solidFill>
                  <a:srgbClr val="000000"/>
                </a:solidFill>
                <a:latin typeface="Calibri"/>
                <a:ea typeface="Calibri"/>
                <a:cs typeface="Calibri"/>
              </a:defRPr>
            </a:pPr>
            <a:endParaRPr lang="en-US"/>
          </a:p>
        </c:txPr>
      </c:legendEntry>
      <c:legendEntry>
        <c:idx val="1"/>
        <c:txPr>
          <a:bodyPr/>
          <a:lstStyle/>
          <a:p>
            <a:pPr>
              <a:defRPr sz="620" b="0" i="0" u="none" strike="noStrike" baseline="0">
                <a:solidFill>
                  <a:srgbClr val="000000"/>
                </a:solidFill>
                <a:latin typeface="Calibri"/>
                <a:ea typeface="Calibri"/>
                <a:cs typeface="Calibri"/>
              </a:defRPr>
            </a:pPr>
            <a:endParaRPr lang="en-US"/>
          </a:p>
        </c:txPr>
      </c:legendEntry>
      <c:layout>
        <c:manualLayout>
          <c:xMode val="edge"/>
          <c:yMode val="edge"/>
          <c:x val="0.31858431758530192"/>
          <c:y val="0.8001257250251127"/>
          <c:w val="0.35517857142857157"/>
          <c:h val="0.13243446421049224"/>
        </c:manualLayout>
      </c:layout>
      <c:overlay val="0"/>
      <c:spPr>
        <a:noFill/>
        <a:ln w="25400">
          <a:noFill/>
        </a:ln>
      </c:spPr>
      <c:txPr>
        <a:bodyPr/>
        <a:lstStyle/>
        <a:p>
          <a:pPr>
            <a:defRPr sz="6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33" r="0.750000000000001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994068730875009"/>
          <c:y val="0.10989010989011004"/>
          <c:w val="0.7977232881383729"/>
          <c:h val="0.4182988352683446"/>
        </c:manualLayout>
      </c:layout>
      <c:barChart>
        <c:barDir val="col"/>
        <c:grouping val="clustered"/>
        <c:varyColors val="0"/>
        <c:ser>
          <c:idx val="0"/>
          <c:order val="0"/>
          <c:tx>
            <c:strRef>
              <c:f>'Introducerea datelor'!$B$100</c:f>
              <c:strCache>
                <c:ptCount val="1"/>
                <c:pt idx="0">
                  <c:v>Buget Aprobat cumulativ*</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datelor'!$C$96:$N$96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datelor'!$C$100:$N$100</c:f>
              <c:numCache>
                <c:formatCode>#,##0</c:formatCode>
                <c:ptCount val="12"/>
                <c:pt idx="0">
                  <c:v>1160869.74</c:v>
                </c:pt>
              </c:numCache>
            </c:numRef>
          </c:val>
          <c:extLst>
            <c:ext xmlns:c16="http://schemas.microsoft.com/office/drawing/2014/chart" uri="{C3380CC4-5D6E-409C-BE32-E72D297353CC}">
              <c16:uniqueId val="{00000000-C2BB-4102-AC1C-6C02FD33FD2D}"/>
            </c:ext>
          </c:extLst>
        </c:ser>
        <c:ser>
          <c:idx val="1"/>
          <c:order val="1"/>
          <c:tx>
            <c:strRef>
              <c:f>'Introducerea datelor'!$B$101</c:f>
              <c:strCache>
                <c:ptCount val="1"/>
                <c:pt idx="0">
                  <c:v>Obligațiuni cumulative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datelor'!$C$96:$N$96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datelor'!$C$101:$N$101</c:f>
              <c:numCache>
                <c:formatCode>#,##0</c:formatCode>
                <c:ptCount val="12"/>
                <c:pt idx="0">
                  <c:v>1079919</c:v>
                </c:pt>
              </c:numCache>
            </c:numRef>
          </c:val>
          <c:extLst>
            <c:ext xmlns:c16="http://schemas.microsoft.com/office/drawing/2014/chart" uri="{C3380CC4-5D6E-409C-BE32-E72D297353CC}">
              <c16:uniqueId val="{00000001-C2BB-4102-AC1C-6C02FD33FD2D}"/>
            </c:ext>
          </c:extLst>
        </c:ser>
        <c:ser>
          <c:idx val="2"/>
          <c:order val="2"/>
          <c:tx>
            <c:strRef>
              <c:f>'Introducerea datelor'!$B$102</c:f>
              <c:strCache>
                <c:ptCount val="1"/>
                <c:pt idx="0">
                  <c:v>Cheltuieli cumulative</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datelor'!$C$96:$N$96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datelor'!$C$102:$N$102</c:f>
              <c:numCache>
                <c:formatCode>#,##0</c:formatCode>
                <c:ptCount val="12"/>
                <c:pt idx="0">
                  <c:v>693006.73</c:v>
                </c:pt>
              </c:numCache>
            </c:numRef>
          </c:val>
          <c:extLst>
            <c:ext xmlns:c16="http://schemas.microsoft.com/office/drawing/2014/chart" uri="{C3380CC4-5D6E-409C-BE32-E72D297353CC}">
              <c16:uniqueId val="{00000002-C2BB-4102-AC1C-6C02FD33FD2D}"/>
            </c:ext>
          </c:extLst>
        </c:ser>
        <c:dLbls>
          <c:showLegendKey val="0"/>
          <c:showVal val="0"/>
          <c:showCatName val="0"/>
          <c:showSerName val="0"/>
          <c:showPercent val="0"/>
          <c:showBubbleSize val="0"/>
        </c:dLbls>
        <c:gapWidth val="100"/>
        <c:overlap val="-24"/>
        <c:axId val="527714528"/>
        <c:axId val="527714920"/>
      </c:barChart>
      <c:catAx>
        <c:axId val="5277145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714920"/>
        <c:crosses val="autoZero"/>
        <c:auto val="1"/>
        <c:lblAlgn val="ctr"/>
        <c:lblOffset val="100"/>
        <c:noMultiLvlLbl val="0"/>
      </c:catAx>
      <c:valAx>
        <c:axId val="5277149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714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133" r="0.75000000000000133" t="1" header="0.5" footer="0.5"/>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75"/>
          <c:y val="5.4825991939292121E-2"/>
          <c:w val="0.84029484029484192"/>
          <c:h val="0.57374537387847457"/>
        </c:manualLayout>
      </c:layout>
      <c:barChart>
        <c:barDir val="col"/>
        <c:grouping val="clustered"/>
        <c:varyColors val="0"/>
        <c:ser>
          <c:idx val="0"/>
          <c:order val="0"/>
          <c:tx>
            <c:strRef>
              <c:f>'Introducerea datelor'!$B$33</c:f>
              <c:strCache>
                <c:ptCount val="1"/>
                <c:pt idx="0">
                  <c:v>Buget Cumulativ</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datelor'!$C$30:$N$30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datelor'!$C$33:$N$33</c:f>
              <c:numCache>
                <c:formatCode>#,##0</c:formatCode>
                <c:ptCount val="12"/>
                <c:pt idx="0">
                  <c:v>2030552.71</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5E33-4D7D-98B5-0C828C153590}"/>
            </c:ext>
          </c:extLst>
        </c:ser>
        <c:ser>
          <c:idx val="1"/>
          <c:order val="1"/>
          <c:tx>
            <c:strRef>
              <c:f>'Introducerea datelor'!$B$34</c:f>
              <c:strCache>
                <c:ptCount val="1"/>
                <c:pt idx="0">
                  <c:v>Debursări cumulative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'Introducerea datelor'!$C$30:$N$30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'Introducerea datelor'!$C$34:$N$34</c:f>
              <c:numCache>
                <c:formatCode>#,##0</c:formatCode>
                <c:ptCount val="12"/>
                <c:pt idx="0">
                  <c:v>2829411.8</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5E33-4D7D-98B5-0C828C153590}"/>
            </c:ext>
          </c:extLst>
        </c:ser>
        <c:dLbls>
          <c:showLegendKey val="0"/>
          <c:showVal val="0"/>
          <c:showCatName val="0"/>
          <c:showSerName val="0"/>
          <c:showPercent val="0"/>
          <c:showBubbleSize val="0"/>
        </c:dLbls>
        <c:gapWidth val="100"/>
        <c:overlap val="-24"/>
        <c:axId val="527715704"/>
        <c:axId val="527716096"/>
      </c:barChart>
      <c:catAx>
        <c:axId val="52771570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716096"/>
        <c:crosses val="autoZero"/>
        <c:auto val="1"/>
        <c:lblAlgn val="ctr"/>
        <c:lblOffset val="100"/>
        <c:tickMarkSkip val="1"/>
        <c:noMultiLvlLbl val="0"/>
      </c:catAx>
      <c:valAx>
        <c:axId val="5277160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71570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548273983362867"/>
          <c:y val="7.5694006617564286E-2"/>
          <c:w val="0.74366824572258583"/>
          <c:h val="0.58032078788797015"/>
        </c:manualLayout>
      </c:layout>
      <c:barChart>
        <c:barDir val="col"/>
        <c:grouping val="stacked"/>
        <c:varyColors val="0"/>
        <c:ser>
          <c:idx val="0"/>
          <c:order val="0"/>
          <c:tx>
            <c:strRef>
              <c:f>'Introducerea datelor'!$C$53</c:f>
              <c:strCache>
                <c:ptCount val="1"/>
                <c:pt idx="0">
                  <c:v>Către perioada de raportare</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xmlns:c15="http://schemas.microsoft.com/office/drawing/2012/chart" uri="{02D57815-91ED-43cb-92C2-25804820EDAC}">
                  <c15:fullRef>
                    <c15:sqref>'Introducerea datelor'!$B$53:$B$57</c15:sqref>
                  </c15:fullRef>
                </c:ext>
              </c:extLst>
              <c:f>'Introducerea datelor'!$B$54:$B$57</c:f>
              <c:strCache>
                <c:ptCount val="4"/>
                <c:pt idx="0">
                  <c:v>Debursat de către Fondul Global</c:v>
                </c:pt>
                <c:pt idx="1">
                  <c:v>Cheltuielile și debursările RP </c:v>
                </c:pt>
                <c:pt idx="2">
                  <c:v>Debursări către SR</c:v>
                </c:pt>
                <c:pt idx="3">
                  <c:v>Cheltuielile SR</c:v>
                </c:pt>
              </c:strCache>
            </c:strRef>
          </c:cat>
          <c:val>
            <c:numRef>
              <c:extLst>
                <c:ext xmlns:c15="http://schemas.microsoft.com/office/drawing/2012/chart" uri="{02D57815-91ED-43cb-92C2-25804820EDAC}">
                  <c15:fullRef>
                    <c15:sqref>'Introducerea datelor'!$C$53:$C$57</c15:sqref>
                  </c15:fullRef>
                </c:ext>
              </c:extLst>
              <c:f>'Introducerea datelor'!$C$54:$C$57</c:f>
              <c:numCache>
                <c:formatCode>#,##0</c:formatCode>
                <c:ptCount val="4"/>
              </c:numCache>
            </c:numRef>
          </c:val>
          <c:extLst>
            <c:ext xmlns:c16="http://schemas.microsoft.com/office/drawing/2014/chart" uri="{C3380CC4-5D6E-409C-BE32-E72D297353CC}">
              <c16:uniqueId val="{00000000-C369-4708-87A9-A84FC531C4BE}"/>
            </c:ext>
          </c:extLst>
        </c:ser>
        <c:ser>
          <c:idx val="1"/>
          <c:order val="1"/>
          <c:tx>
            <c:strRef>
              <c:f>'Introducerea datelor'!$D$53</c:f>
              <c:strCache>
                <c:ptCount val="1"/>
                <c:pt idx="0">
                  <c:v>Perioada de raportare curentă</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xmlns:c15="http://schemas.microsoft.com/office/drawing/2012/chart" uri="{02D57815-91ED-43cb-92C2-25804820EDAC}">
                  <c15:fullRef>
                    <c15:sqref>'Introducerea datelor'!$B$53:$B$57</c15:sqref>
                  </c15:fullRef>
                </c:ext>
              </c:extLst>
              <c:f>'Introducerea datelor'!$B$54:$B$57</c:f>
              <c:strCache>
                <c:ptCount val="4"/>
                <c:pt idx="0">
                  <c:v>Debursat de către Fondul Global</c:v>
                </c:pt>
                <c:pt idx="1">
                  <c:v>Cheltuielile și debursările RP </c:v>
                </c:pt>
                <c:pt idx="2">
                  <c:v>Debursări către SR</c:v>
                </c:pt>
                <c:pt idx="3">
                  <c:v>Cheltuielile SR</c:v>
                </c:pt>
              </c:strCache>
            </c:strRef>
          </c:cat>
          <c:val>
            <c:numRef>
              <c:extLst>
                <c:ext xmlns:c15="http://schemas.microsoft.com/office/drawing/2012/chart" uri="{02D57815-91ED-43cb-92C2-25804820EDAC}">
                  <c15:fullRef>
                    <c15:sqref>'Introducerea datelor'!$D$53:$D$57</c15:sqref>
                  </c15:fullRef>
                </c:ext>
              </c:extLst>
              <c:f>'Introducerea datelor'!$D$54:$D$57</c:f>
              <c:numCache>
                <c:formatCode>#,##0</c:formatCode>
                <c:ptCount val="4"/>
                <c:pt idx="0">
                  <c:v>2829411.8</c:v>
                </c:pt>
                <c:pt idx="1" formatCode="#,##0.00">
                  <c:v>1566294.48</c:v>
                </c:pt>
                <c:pt idx="2">
                  <c:v>237737.87</c:v>
                </c:pt>
                <c:pt idx="3">
                  <c:v>227452.2</c:v>
                </c:pt>
              </c:numCache>
            </c:numRef>
          </c:val>
          <c:extLst>
            <c:ext xmlns:c16="http://schemas.microsoft.com/office/drawing/2014/chart" uri="{C3380CC4-5D6E-409C-BE32-E72D297353CC}">
              <c16:uniqueId val="{00000001-C369-4708-87A9-A84FC531C4BE}"/>
            </c:ext>
          </c:extLst>
        </c:ser>
        <c:dLbls>
          <c:showLegendKey val="0"/>
          <c:showVal val="0"/>
          <c:showCatName val="0"/>
          <c:showSerName val="0"/>
          <c:showPercent val="0"/>
          <c:showBubbleSize val="0"/>
        </c:dLbls>
        <c:gapWidth val="100"/>
        <c:overlap val="-24"/>
        <c:axId val="527592400"/>
        <c:axId val="527592792"/>
      </c:barChart>
      <c:catAx>
        <c:axId val="52759240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592792"/>
        <c:crossesAt val="0"/>
        <c:auto val="1"/>
        <c:lblAlgn val="ctr"/>
        <c:lblOffset val="100"/>
        <c:noMultiLvlLbl val="0"/>
      </c:catAx>
      <c:valAx>
        <c:axId val="5275927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75924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133" r="0.75000000000000133"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75"/>
          <c:y val="5.4825991939292121E-2"/>
          <c:w val="0.84029484029484192"/>
          <c:h val="0.57374537387847457"/>
        </c:manualLayout>
      </c:layout>
      <c:barChart>
        <c:barDir val="col"/>
        <c:grouping val="clustered"/>
        <c:varyColors val="0"/>
        <c:ser>
          <c:idx val="0"/>
          <c:order val="0"/>
          <c:tx>
            <c:strRef>
              <c:f>'Introducerea datelor'!$C$38</c:f>
              <c:strCache>
                <c:ptCount val="1"/>
                <c:pt idx="0">
                  <c:v>Bugetul Cumulativ (în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xmlns:c15="http://schemas.microsoft.com/office/drawing/2012/chart" uri="{02D57815-91ED-43cb-92C2-25804820EDAC}">
                  <c15:fullRef>
                    <c15:sqref>'Introducerea datelor'!$B$38:$B$45</c15:sqref>
                  </c15:fullRef>
                </c:ext>
              </c:extLst>
              <c:f>'Introducerea datelor'!$B$39:$B$45</c:f>
              <c:strCache>
                <c:ptCount val="7"/>
                <c:pt idx="0">
                  <c:v>Asigurarea accesului universal la diagnosticul la timp şi de calitate al tuturor formelor de tuberculoză, inclusiv celor cu TB-M/EDR</c:v>
                </c:pt>
                <c:pt idx="1">
                  <c:v>Asigurarea accesului universal la tratamentul calitativ pentru toate formele de TB, inclusiv cu TB-M/EDR</c:v>
                </c:pt>
                <c:pt idx="2">
                  <c:v>Consolidarea managementului, coordonării, monitorizării și evaluării Programului Național de control al tuberculozei</c:v>
                </c:pt>
                <c:pt idx="3">
                  <c:v>Sporirea accesului la servicii de prevenire a infecției HIV, pe bază de dovezi</c:v>
                </c:pt>
                <c:pt idx="4">
                  <c:v>Asigurarea accesului universal la servicii de tratament, îngrijire și suport comprehensiv al infecției HIV</c:v>
                </c:pt>
                <c:pt idx="5">
                  <c:v>Consolidarea capacităţii comunităților si asigurarea durabilităţii programului </c:v>
                </c:pt>
                <c:pt idx="6">
                  <c:v>Fortificarea managementului Programului</c:v>
                </c:pt>
              </c:strCache>
            </c:strRef>
          </c:cat>
          <c:val>
            <c:numRef>
              <c:extLst>
                <c:ext xmlns:c15="http://schemas.microsoft.com/office/drawing/2012/chart" uri="{02D57815-91ED-43cb-92C2-25804820EDAC}">
                  <c15:fullRef>
                    <c15:sqref>'Introducerea datelor'!$C$38:$C$45</c15:sqref>
                  </c15:fullRef>
                </c:ext>
              </c:extLst>
              <c:f>'Introducerea datelor'!$C$39:$C$45</c:f>
              <c:numCache>
                <c:formatCode>#,##0.00</c:formatCode>
                <c:ptCount val="7"/>
                <c:pt idx="0">
                  <c:v>81306.37</c:v>
                </c:pt>
                <c:pt idx="1">
                  <c:v>603188.44999999995</c:v>
                </c:pt>
                <c:pt idx="2">
                  <c:v>26193.29</c:v>
                </c:pt>
                <c:pt idx="3">
                  <c:v>803124.29</c:v>
                </c:pt>
                <c:pt idx="4">
                  <c:v>296554.33</c:v>
                </c:pt>
                <c:pt idx="5">
                  <c:v>35499</c:v>
                </c:pt>
                <c:pt idx="6">
                  <c:v>184686.98</c:v>
                </c:pt>
              </c:numCache>
            </c:numRef>
          </c:val>
          <c:extLst>
            <c:ext xmlns:c16="http://schemas.microsoft.com/office/drawing/2014/chart" uri="{C3380CC4-5D6E-409C-BE32-E72D297353CC}">
              <c16:uniqueId val="{00000000-508A-4635-A6E2-88ADAD0856AB}"/>
            </c:ext>
          </c:extLst>
        </c:ser>
        <c:ser>
          <c:idx val="1"/>
          <c:order val="1"/>
          <c:tx>
            <c:strRef>
              <c:f>'Introducerea datelor'!$D$38</c:f>
              <c:strCache>
                <c:ptCount val="1"/>
                <c:pt idx="0">
                  <c:v>Cheltuielile Cumulative (în €)</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extLst>
                <c:ext xmlns:c15="http://schemas.microsoft.com/office/drawing/2012/chart" uri="{02D57815-91ED-43cb-92C2-25804820EDAC}">
                  <c15:fullRef>
                    <c15:sqref>'Introducerea datelor'!$B$38:$B$45</c15:sqref>
                  </c15:fullRef>
                </c:ext>
              </c:extLst>
              <c:f>'Introducerea datelor'!$B$39:$B$45</c:f>
              <c:strCache>
                <c:ptCount val="7"/>
                <c:pt idx="0">
                  <c:v>Asigurarea accesului universal la diagnosticul la timp şi de calitate al tuturor formelor de tuberculoză, inclusiv celor cu TB-M/EDR</c:v>
                </c:pt>
                <c:pt idx="1">
                  <c:v>Asigurarea accesului universal la tratamentul calitativ pentru toate formele de TB, inclusiv cu TB-M/EDR</c:v>
                </c:pt>
                <c:pt idx="2">
                  <c:v>Consolidarea managementului, coordonării, monitorizării și evaluării Programului Național de control al tuberculozei</c:v>
                </c:pt>
                <c:pt idx="3">
                  <c:v>Sporirea accesului la servicii de prevenire a infecției HIV, pe bază de dovezi</c:v>
                </c:pt>
                <c:pt idx="4">
                  <c:v>Asigurarea accesului universal la servicii de tratament, îngrijire și suport comprehensiv al infecției HIV</c:v>
                </c:pt>
                <c:pt idx="5">
                  <c:v>Consolidarea capacităţii comunităților si asigurarea durabilităţii programului </c:v>
                </c:pt>
                <c:pt idx="6">
                  <c:v>Fortificarea managementului Programului</c:v>
                </c:pt>
              </c:strCache>
            </c:strRef>
          </c:cat>
          <c:val>
            <c:numRef>
              <c:extLst>
                <c:ext xmlns:c15="http://schemas.microsoft.com/office/drawing/2012/chart" uri="{02D57815-91ED-43cb-92C2-25804820EDAC}">
                  <c15:fullRef>
                    <c15:sqref>'Introducerea datelor'!$D$38:$D$45</c15:sqref>
                  </c15:fullRef>
                </c:ext>
              </c:extLst>
              <c:f>'Introducerea datelor'!$D$39:$D$45</c:f>
              <c:numCache>
                <c:formatCode>#,##0.00</c:formatCode>
                <c:ptCount val="7"/>
                <c:pt idx="0">
                  <c:v>44967.38</c:v>
                </c:pt>
                <c:pt idx="1">
                  <c:v>212685.9</c:v>
                </c:pt>
                <c:pt idx="2">
                  <c:v>21408.23</c:v>
                </c:pt>
                <c:pt idx="3">
                  <c:v>577492.89</c:v>
                </c:pt>
                <c:pt idx="4">
                  <c:v>479609.59999999998</c:v>
                </c:pt>
                <c:pt idx="5">
                  <c:v>31779.45</c:v>
                </c:pt>
                <c:pt idx="6">
                  <c:v>190541.05</c:v>
                </c:pt>
              </c:numCache>
            </c:numRef>
          </c:val>
          <c:extLst>
            <c:ext xmlns:c16="http://schemas.microsoft.com/office/drawing/2014/chart" uri="{C3380CC4-5D6E-409C-BE32-E72D297353CC}">
              <c16:uniqueId val="{00000001-508A-4635-A6E2-88ADAD0856AB}"/>
            </c:ext>
          </c:extLst>
        </c:ser>
        <c:dLbls>
          <c:showLegendKey val="0"/>
          <c:showVal val="0"/>
          <c:showCatName val="0"/>
          <c:showSerName val="0"/>
          <c:showPercent val="0"/>
          <c:showBubbleSize val="0"/>
        </c:dLbls>
        <c:gapWidth val="100"/>
        <c:overlap val="-24"/>
        <c:axId val="656997528"/>
        <c:axId val="799551880"/>
      </c:barChart>
      <c:catAx>
        <c:axId val="6569975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9551880"/>
        <c:crosses val="autoZero"/>
        <c:auto val="1"/>
        <c:lblAlgn val="ctr"/>
        <c:lblOffset val="100"/>
        <c:tickMarkSkip val="1"/>
        <c:noMultiLvlLbl val="0"/>
      </c:catAx>
      <c:valAx>
        <c:axId val="7995518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699752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133" r="0.75000000000000133"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30127403454859"/>
          <c:y val="9.6912773925248705E-2"/>
          <c:w val="0.80237576277309963"/>
          <c:h val="0.59287564443779373"/>
        </c:manualLayout>
      </c:layout>
      <c:barChart>
        <c:barDir val="col"/>
        <c:grouping val="clustered"/>
        <c:varyColors val="0"/>
        <c:ser>
          <c:idx val="1"/>
          <c:order val="0"/>
          <c:tx>
            <c:strRef>
              <c:f>'Introducerea datelor'!$G$121</c:f>
              <c:strCache>
                <c:ptCount val="1"/>
                <c:pt idx="0">
                  <c:v>Ținta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DCD8-4C81-A46D-B0AFC1EAE6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datelor'!$H$121:$S$121</c:f>
              <c:numCache>
                <c:formatCode>0.0</c:formatCode>
                <c:ptCount val="12"/>
                <c:pt idx="0" formatCode="0.0%">
                  <c:v>0.20499999999999999</c:v>
                </c:pt>
              </c:numCache>
            </c:numRef>
          </c:val>
          <c:extLst>
            <c:ext xmlns:c16="http://schemas.microsoft.com/office/drawing/2014/chart" uri="{C3380CC4-5D6E-409C-BE32-E72D297353CC}">
              <c16:uniqueId val="{00000002-DCD8-4C81-A46D-B0AFC1EAE687}"/>
            </c:ext>
          </c:extLst>
        </c:ser>
        <c:ser>
          <c:idx val="2"/>
          <c:order val="1"/>
          <c:tx>
            <c:strRef>
              <c:f>'Introducerea datelor'!$G$122</c:f>
              <c:strCache>
                <c:ptCount val="1"/>
                <c:pt idx="0">
                  <c:v>Rezultat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5-DCD8-4C81-A46D-B0AFC1EAE6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'Introducerea datelor'!$H$118:$S$118</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datelor'!$H$122:$S$122</c:f>
              <c:numCache>
                <c:formatCode>0.0</c:formatCode>
                <c:ptCount val="12"/>
                <c:pt idx="0" formatCode="0.0%">
                  <c:v>0.26600000000000001</c:v>
                </c:pt>
              </c:numCache>
            </c:numRef>
          </c:val>
          <c:extLst>
            <c:ext xmlns:c16="http://schemas.microsoft.com/office/drawing/2014/chart" uri="{C3380CC4-5D6E-409C-BE32-E72D297353CC}">
              <c16:uniqueId val="{00000006-DCD8-4C81-A46D-B0AFC1EAE687}"/>
            </c:ext>
          </c:extLst>
        </c:ser>
        <c:dLbls>
          <c:dLblPos val="outEnd"/>
          <c:showLegendKey val="0"/>
          <c:showVal val="1"/>
          <c:showCatName val="0"/>
          <c:showSerName val="0"/>
          <c:showPercent val="0"/>
          <c:showBubbleSize val="0"/>
        </c:dLbls>
        <c:gapWidth val="100"/>
        <c:overlap val="-24"/>
        <c:axId val="799553056"/>
        <c:axId val="807840072"/>
      </c:barChart>
      <c:catAx>
        <c:axId val="79955305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7840072"/>
        <c:crosses val="autoZero"/>
        <c:auto val="1"/>
        <c:lblAlgn val="ctr"/>
        <c:lblOffset val="100"/>
        <c:tickLblSkip val="1"/>
        <c:tickMarkSkip val="1"/>
        <c:noMultiLvlLbl val="0"/>
      </c:catAx>
      <c:valAx>
        <c:axId val="8078400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9553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txPr>
    <a:bodyPr/>
    <a:lstStyle/>
    <a:p>
      <a:pPr>
        <a:defRPr/>
      </a:pPr>
      <a:endParaRPr lang="en-US"/>
    </a:p>
  </c:txPr>
  <c:printSettings>
    <c:headerFooter alignWithMargins="0"/>
    <c:pageMargins b="1" l="0.75000000000000133" r="0.75000000000000133" t="1" header="0.5" footer="0.5"/>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withinLinear" id="16">
  <a:schemeClr val="accent3"/>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26">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tx1"/>
    </cs:fontRef>
  </cs:dataPoint>
  <cs:dataPoint3D>
    <cs:lnRef idx="0"/>
    <cs:fillRef idx="3">
      <cs:styleClr val="auto"/>
    </cs:fillRef>
    <cs:effectRef idx="3">
      <a:schemeClr val="dk1"/>
    </cs:effectRef>
    <cs:fontRef idx="minor">
      <a:schemeClr val="tx1"/>
    </cs:fontRef>
  </cs:dataPoint3D>
  <cs:dataPointLine>
    <cs:lnRef idx="1">
      <cs:styleClr val="auto"/>
    </cs:lnRef>
    <cs:lineWidthScale>7</cs:lineWidthScale>
    <cs:fillRef idx="0"/>
    <cs:effectRef idx="0"/>
    <cs:fontRef idx="minor">
      <a:schemeClr val="tx1"/>
    </cs:fontRef>
    <cs:spPr>
      <a:ln cap="rnd">
        <a:round/>
      </a:ln>
    </cs:spPr>
  </cs:dataPointLine>
  <cs:dataPointMarker>
    <cs:lnRef idx="1">
      <cs:styleClr val="auto"/>
    </cs:lnRef>
    <cs:fillRef idx="3">
      <cs:styleClr val="auto"/>
    </cs:fillRef>
    <cs:effectRef idx="3">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a:schemeClr val="dk1">
        <a:tint val="95000"/>
      </a:schemeClr>
    </cs:fillRef>
    <cs:effectRef idx="3">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a:schemeClr val="dk1">
        <a:tint val="5000"/>
      </a:schemeClr>
    </cs:fillRef>
    <cs:effectRef idx="3">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hyperlink" Target="#Actions!A1"/><Relationship Id="rId13" Type="http://schemas.openxmlformats.org/officeDocument/2006/relationships/image" Target="../media/image4.png"/><Relationship Id="rId3" Type="http://schemas.openxmlformats.org/officeDocument/2006/relationships/hyperlink" Target="#Management!Print_Area"/><Relationship Id="rId7" Type="http://schemas.openxmlformats.org/officeDocument/2006/relationships/hyperlink" Target="#Actiuni!R1C1"/><Relationship Id="rId12"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andari!R1C1"/><Relationship Id="rId11" Type="http://schemas.openxmlformats.org/officeDocument/2006/relationships/hyperlink" Target="#'Introducerea datelor'!R1C1"/><Relationship Id="rId5" Type="http://schemas.openxmlformats.org/officeDocument/2006/relationships/hyperlink" Target="#Programatic!R1C1"/><Relationship Id="rId10" Type="http://schemas.openxmlformats.org/officeDocument/2006/relationships/hyperlink" Target="#'Lista Indicatorilor'!R1C1"/><Relationship Id="rId4" Type="http://schemas.openxmlformats.org/officeDocument/2006/relationships/hyperlink" Target="#Financiar!R1C1"/><Relationship Id="rId9" Type="http://schemas.openxmlformats.org/officeDocument/2006/relationships/hyperlink" Target="#'Detail despre Grant'!R1C1"/><Relationship Id="rId14" Type="http://schemas.openxmlformats.org/officeDocument/2006/relationships/image" Target="../media/image5.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hyperlink" Target="#Meniu!R1C1"/></Relationships>
</file>

<file path=xl/drawings/_rels/drawing3.xml.rels><?xml version="1.0" encoding="UTF-8" standalone="yes"?>
<Relationships xmlns="http://schemas.openxmlformats.org/package/2006/relationships"><Relationship Id="rId1" Type="http://schemas.openxmlformats.org/officeDocument/2006/relationships/hyperlink" Target="#Meniu!R1C1"/></Relationships>
</file>

<file path=xl/drawings/_rels/drawing4.xml.rels><?xml version="1.0" encoding="UTF-8" standalone="yes"?>
<Relationships xmlns="http://schemas.openxmlformats.org/package/2006/relationships"><Relationship Id="rId2" Type="http://schemas.openxmlformats.org/officeDocument/2006/relationships/hyperlink" Target="#Meniu!R1C1"/><Relationship Id="rId1" Type="http://schemas.openxmlformats.org/officeDocument/2006/relationships/hyperlink" Target="https://www.crwflags.com/fotw/images/m/md.gif"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Meniu!R1C1"/><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hyperlink" Target="#Meniu!R1C1"/><Relationship Id="rId1" Type="http://schemas.openxmlformats.org/officeDocument/2006/relationships/chart" Target="../charts/chart6.xml"/><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hyperlink" Target="#Meniu!R1C1"/><Relationship Id="rId1" Type="http://schemas.openxmlformats.org/officeDocument/2006/relationships/chart" Target="../charts/chart9.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iu!R1C1"/></Relationships>
</file>

<file path=xl/drawings/_rels/drawing9.xml.rels><?xml version="1.0" encoding="UTF-8" standalone="yes"?>
<Relationships xmlns="http://schemas.openxmlformats.org/package/2006/relationships"><Relationship Id="rId2" Type="http://schemas.openxmlformats.org/officeDocument/2006/relationships/hyperlink" Target="#Meniu!R1C1"/><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2800246" name="Picture 2">
          <a:extLst>
            <a:ext uri="{FF2B5EF4-FFF2-40B4-BE49-F238E27FC236}">
              <a16:creationId xmlns:a16="http://schemas.microsoft.com/office/drawing/2014/main" id="{00000000-0008-0000-0000-000076BA2A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38100" y="1381125"/>
          <a:ext cx="7648575" cy="281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2800247" name="Picture 824">
          <a:extLst>
            <a:ext uri="{FF2B5EF4-FFF2-40B4-BE49-F238E27FC236}">
              <a16:creationId xmlns:a16="http://schemas.microsoft.com/office/drawing/2014/main" id="{00000000-0008-0000-0000-000077BA2A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1857375"/>
          <a:ext cx="2257425" cy="219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2800248" name="AutoShape 27">
          <a:extLst>
            <a:ext uri="{FF2B5EF4-FFF2-40B4-BE49-F238E27FC236}">
              <a16:creationId xmlns:a16="http://schemas.microsoft.com/office/drawing/2014/main" id="{00000000-0008-0000-0000-000078BA2A00}"/>
            </a:ext>
          </a:extLst>
        </xdr:cNvPr>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309562</xdr:colOff>
      <xdr:row>10</xdr:row>
      <xdr:rowOff>47625</xdr:rowOff>
    </xdr:from>
    <xdr:to>
      <xdr:col>6</xdr:col>
      <xdr:colOff>557212</xdr:colOff>
      <xdr:row>12</xdr:row>
      <xdr:rowOff>38100</xdr:rowOff>
    </xdr:to>
    <xdr:grpSp>
      <xdr:nvGrpSpPr>
        <xdr:cNvPr id="2800249" name="Group 25">
          <a:hlinkClick xmlns:r="http://schemas.openxmlformats.org/officeDocument/2006/relationships" r:id="rId3"/>
          <a:extLst>
            <a:ext uri="{FF2B5EF4-FFF2-40B4-BE49-F238E27FC236}">
              <a16:creationId xmlns:a16="http://schemas.microsoft.com/office/drawing/2014/main" id="{00000000-0008-0000-0000-000079BA2A00}"/>
            </a:ext>
          </a:extLst>
        </xdr:cNvPr>
        <xdr:cNvGrpSpPr>
          <a:grpSpLocks/>
        </xdr:cNvGrpSpPr>
      </xdr:nvGrpSpPr>
      <xdr:grpSpPr bwMode="auto">
        <a:xfrm>
          <a:off x="3436937" y="2436813"/>
          <a:ext cx="1009650" cy="371475"/>
          <a:chOff x="1200" y="1912"/>
          <a:chExt cx="3456" cy="774"/>
        </a:xfrm>
      </xdr:grpSpPr>
      <xdr:sp macro="" textlink="">
        <xdr:nvSpPr>
          <xdr:cNvPr id="2800293" name="AutoShape 26">
            <a:extLst>
              <a:ext uri="{FF2B5EF4-FFF2-40B4-BE49-F238E27FC236}">
                <a16:creationId xmlns:a16="http://schemas.microsoft.com/office/drawing/2014/main" id="{00000000-0008-0000-0000-0000A5BA2A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2" name="AutoShape 27">
            <a:hlinkClick xmlns:r="http://schemas.openxmlformats.org/officeDocument/2006/relationships" r:id="rId4"/>
            <a:extLst>
              <a:ext uri="{FF2B5EF4-FFF2-40B4-BE49-F238E27FC236}">
                <a16:creationId xmlns:a16="http://schemas.microsoft.com/office/drawing/2014/main" id="{00000000-0008-0000-0000-000016000000}"/>
              </a:ext>
            </a:extLst>
          </xdr:cNvPr>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id="{00000000-0008-0000-0000-000017000000}"/>
              </a:ext>
            </a:extLst>
          </xdr:cNvPr>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280987</xdr:colOff>
      <xdr:row>15</xdr:row>
      <xdr:rowOff>171450</xdr:rowOff>
    </xdr:from>
    <xdr:to>
      <xdr:col>6</xdr:col>
      <xdr:colOff>585787</xdr:colOff>
      <xdr:row>17</xdr:row>
      <xdr:rowOff>161925</xdr:rowOff>
    </xdr:to>
    <xdr:grpSp>
      <xdr:nvGrpSpPr>
        <xdr:cNvPr id="2800250" name="Group 25">
          <a:hlinkClick xmlns:r="http://schemas.openxmlformats.org/officeDocument/2006/relationships" r:id="rId5"/>
          <a:extLst>
            <a:ext uri="{FF2B5EF4-FFF2-40B4-BE49-F238E27FC236}">
              <a16:creationId xmlns:a16="http://schemas.microsoft.com/office/drawing/2014/main" id="{00000000-0008-0000-0000-00007ABA2A00}"/>
            </a:ext>
          </a:extLst>
        </xdr:cNvPr>
        <xdr:cNvGrpSpPr>
          <a:grpSpLocks/>
        </xdr:cNvGrpSpPr>
      </xdr:nvGrpSpPr>
      <xdr:grpSpPr bwMode="auto">
        <a:xfrm>
          <a:off x="3408362" y="3513138"/>
          <a:ext cx="1066800" cy="371475"/>
          <a:chOff x="1200" y="1912"/>
          <a:chExt cx="3456" cy="774"/>
        </a:xfrm>
      </xdr:grpSpPr>
      <xdr:sp macro="" textlink="">
        <xdr:nvSpPr>
          <xdr:cNvPr id="2800290" name="AutoShape 26">
            <a:extLst>
              <a:ext uri="{FF2B5EF4-FFF2-40B4-BE49-F238E27FC236}">
                <a16:creationId xmlns:a16="http://schemas.microsoft.com/office/drawing/2014/main" id="{00000000-0008-0000-0000-0000A2BA2A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6" name="AutoShape 27">
            <a:extLst>
              <a:ext uri="{FF2B5EF4-FFF2-40B4-BE49-F238E27FC236}">
                <a16:creationId xmlns:a16="http://schemas.microsoft.com/office/drawing/2014/main" id="{00000000-0008-0000-0000-00001A000000}"/>
              </a:ext>
            </a:extLst>
          </xdr:cNvPr>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id="{00000000-0008-0000-0000-00001B000000}"/>
              </a:ext>
            </a:extLst>
          </xdr:cNvPr>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280987</xdr:colOff>
      <xdr:row>13</xdr:row>
      <xdr:rowOff>9525</xdr:rowOff>
    </xdr:from>
    <xdr:to>
      <xdr:col>6</xdr:col>
      <xdr:colOff>585787</xdr:colOff>
      <xdr:row>15</xdr:row>
      <xdr:rowOff>0</xdr:rowOff>
    </xdr:to>
    <xdr:grpSp>
      <xdr:nvGrpSpPr>
        <xdr:cNvPr id="2800251" name="Group 25">
          <a:hlinkClick xmlns:r="http://schemas.openxmlformats.org/officeDocument/2006/relationships" r:id="rId4"/>
          <a:extLst>
            <a:ext uri="{FF2B5EF4-FFF2-40B4-BE49-F238E27FC236}">
              <a16:creationId xmlns:a16="http://schemas.microsoft.com/office/drawing/2014/main" id="{00000000-0008-0000-0000-00007BBA2A00}"/>
            </a:ext>
          </a:extLst>
        </xdr:cNvPr>
        <xdr:cNvGrpSpPr>
          <a:grpSpLocks/>
        </xdr:cNvGrpSpPr>
      </xdr:nvGrpSpPr>
      <xdr:grpSpPr bwMode="auto">
        <a:xfrm>
          <a:off x="3408362" y="2970213"/>
          <a:ext cx="1066800" cy="371475"/>
          <a:chOff x="1200" y="1912"/>
          <a:chExt cx="3456" cy="774"/>
        </a:xfrm>
      </xdr:grpSpPr>
      <xdr:sp macro="" textlink="">
        <xdr:nvSpPr>
          <xdr:cNvPr id="2800287" name="AutoShape 26">
            <a:extLst>
              <a:ext uri="{FF2B5EF4-FFF2-40B4-BE49-F238E27FC236}">
                <a16:creationId xmlns:a16="http://schemas.microsoft.com/office/drawing/2014/main" id="{00000000-0008-0000-0000-00009FBA2A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07941" name="AutoShape 27">
            <a:extLst>
              <a:ext uri="{FF2B5EF4-FFF2-40B4-BE49-F238E27FC236}">
                <a16:creationId xmlns:a16="http://schemas.microsoft.com/office/drawing/2014/main" id="{00000000-0008-0000-0000-0000452C0300}"/>
              </a:ext>
            </a:extLst>
          </xdr:cNvPr>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id="{00000000-0008-0000-0000-0000462C0300}"/>
              </a:ext>
            </a:extLst>
          </xdr:cNvPr>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a:extLst>
            <a:ext uri="{FF2B5EF4-FFF2-40B4-BE49-F238E27FC236}">
              <a16:creationId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2800253" name="Group 832">
          <a:hlinkClick xmlns:r="http://schemas.openxmlformats.org/officeDocument/2006/relationships" r:id="rId6"/>
          <a:extLst>
            <a:ext uri="{FF2B5EF4-FFF2-40B4-BE49-F238E27FC236}">
              <a16:creationId xmlns:a16="http://schemas.microsoft.com/office/drawing/2014/main" id="{00000000-0008-0000-0000-00007DBA2A00}"/>
            </a:ext>
          </a:extLst>
        </xdr:cNvPr>
        <xdr:cNvGrpSpPr>
          <a:grpSpLocks/>
        </xdr:cNvGrpSpPr>
      </xdr:nvGrpSpPr>
      <xdr:grpSpPr bwMode="auto">
        <a:xfrm>
          <a:off x="5708650" y="2579688"/>
          <a:ext cx="1501775" cy="409575"/>
          <a:chOff x="599" y="262"/>
          <a:chExt cx="158" cy="43"/>
        </a:xfrm>
      </xdr:grpSpPr>
      <xdr:sp macro="" textlink="">
        <xdr:nvSpPr>
          <xdr:cNvPr id="2800283" name="AutoShape 30">
            <a:extLst>
              <a:ext uri="{FF2B5EF4-FFF2-40B4-BE49-F238E27FC236}">
                <a16:creationId xmlns:a16="http://schemas.microsoft.com/office/drawing/2014/main" id="{00000000-0008-0000-0000-00009BBA2A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84" name="13 Grupo">
            <a:extLst>
              <a:ext uri="{FF2B5EF4-FFF2-40B4-BE49-F238E27FC236}">
                <a16:creationId xmlns:a16="http://schemas.microsoft.com/office/drawing/2014/main" id="{00000000-0008-0000-0000-00009CBA2A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id="{00000000-0008-0000-0000-000027130000}"/>
                </a:ext>
              </a:extLst>
            </xdr:cNvPr>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2800286" name="Freeform 32">
              <a:extLst>
                <a:ext uri="{FF2B5EF4-FFF2-40B4-BE49-F238E27FC236}">
                  <a16:creationId xmlns:a16="http://schemas.microsoft.com/office/drawing/2014/main" id="{00000000-0008-0000-0000-00009EBA2A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2800254" name="Group 830">
          <a:extLst>
            <a:ext uri="{FF2B5EF4-FFF2-40B4-BE49-F238E27FC236}">
              <a16:creationId xmlns:a16="http://schemas.microsoft.com/office/drawing/2014/main" id="{00000000-0008-0000-0000-00007EBA2A00}"/>
            </a:ext>
          </a:extLst>
        </xdr:cNvPr>
        <xdr:cNvGrpSpPr>
          <a:grpSpLocks/>
        </xdr:cNvGrpSpPr>
      </xdr:nvGrpSpPr>
      <xdr:grpSpPr bwMode="auto">
        <a:xfrm>
          <a:off x="327025" y="1903413"/>
          <a:ext cx="2143125" cy="2124075"/>
          <a:chOff x="32" y="188"/>
          <a:chExt cx="225" cy="225"/>
        </a:xfrm>
      </xdr:grpSpPr>
      <xdr:sp macro="" textlink="">
        <xdr:nvSpPr>
          <xdr:cNvPr id="2800281" name="AutoShape 31">
            <a:extLst>
              <a:ext uri="{FF2B5EF4-FFF2-40B4-BE49-F238E27FC236}">
                <a16:creationId xmlns:a16="http://schemas.microsoft.com/office/drawing/2014/main" id="{00000000-0008-0000-0000-000099BA2A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a16="http://schemas.microsoft.com/office/drawing/2014/main" id="{00000000-0008-0000-0000-000031130000}"/>
              </a:ext>
            </a:extLst>
          </xdr:cNvPr>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2800255" name="Group 826">
          <a:hlinkClick xmlns:r="http://schemas.openxmlformats.org/officeDocument/2006/relationships" r:id="rId7"/>
          <a:extLst>
            <a:ext uri="{FF2B5EF4-FFF2-40B4-BE49-F238E27FC236}">
              <a16:creationId xmlns:a16="http://schemas.microsoft.com/office/drawing/2014/main" id="{00000000-0008-0000-0000-00007FBA2A00}"/>
            </a:ext>
          </a:extLst>
        </xdr:cNvPr>
        <xdr:cNvGrpSpPr>
          <a:grpSpLocks/>
        </xdr:cNvGrpSpPr>
      </xdr:nvGrpSpPr>
      <xdr:grpSpPr bwMode="auto">
        <a:xfrm>
          <a:off x="5699125" y="3208338"/>
          <a:ext cx="1501775" cy="409575"/>
          <a:chOff x="578" y="328"/>
          <a:chExt cx="158" cy="43"/>
        </a:xfrm>
      </xdr:grpSpPr>
      <xdr:sp macro="" textlink="">
        <xdr:nvSpPr>
          <xdr:cNvPr id="2800277" name="AutoShape 30">
            <a:extLst>
              <a:ext uri="{FF2B5EF4-FFF2-40B4-BE49-F238E27FC236}">
                <a16:creationId xmlns:a16="http://schemas.microsoft.com/office/drawing/2014/main" id="{00000000-0008-0000-0000-000095BA2A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8" name="Group 823">
            <a:extLst>
              <a:ext uri="{FF2B5EF4-FFF2-40B4-BE49-F238E27FC236}">
                <a16:creationId xmlns:a16="http://schemas.microsoft.com/office/drawing/2014/main" id="{00000000-0008-0000-0000-000096BA2A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8"/>
              <a:extLst>
                <a:ext uri="{FF2B5EF4-FFF2-40B4-BE49-F238E27FC236}">
                  <a16:creationId xmlns:a16="http://schemas.microsoft.com/office/drawing/2014/main" id="{00000000-0008-0000-0000-00002C130000}"/>
                </a:ext>
              </a:extLst>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2800280" name="Freeform 32">
              <a:extLst>
                <a:ext uri="{FF2B5EF4-FFF2-40B4-BE49-F238E27FC236}">
                  <a16:creationId xmlns:a16="http://schemas.microsoft.com/office/drawing/2014/main" id="{00000000-0008-0000-0000-000098BA2A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2800256" name="Group 831">
          <a:hlinkClick xmlns:r="http://schemas.openxmlformats.org/officeDocument/2006/relationships" r:id="rId9"/>
          <a:extLst>
            <a:ext uri="{FF2B5EF4-FFF2-40B4-BE49-F238E27FC236}">
              <a16:creationId xmlns:a16="http://schemas.microsoft.com/office/drawing/2014/main" id="{00000000-0008-0000-0000-000080BA2A00}"/>
            </a:ext>
          </a:extLst>
        </xdr:cNvPr>
        <xdr:cNvGrpSpPr>
          <a:grpSpLocks/>
        </xdr:cNvGrpSpPr>
      </xdr:nvGrpSpPr>
      <xdr:grpSpPr bwMode="auto">
        <a:xfrm>
          <a:off x="593725" y="3475038"/>
          <a:ext cx="1504950" cy="342900"/>
          <a:chOff x="56" y="259"/>
          <a:chExt cx="158" cy="40"/>
        </a:xfrm>
      </xdr:grpSpPr>
      <xdr:sp macro="" textlink="">
        <xdr:nvSpPr>
          <xdr:cNvPr id="2800273" name="AutoShape 30">
            <a:extLst>
              <a:ext uri="{FF2B5EF4-FFF2-40B4-BE49-F238E27FC236}">
                <a16:creationId xmlns:a16="http://schemas.microsoft.com/office/drawing/2014/main" id="{00000000-0008-0000-0000-000091BA2A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4" name="11 Grupo">
            <a:extLst>
              <a:ext uri="{FF2B5EF4-FFF2-40B4-BE49-F238E27FC236}">
                <a16:creationId xmlns:a16="http://schemas.microsoft.com/office/drawing/2014/main" id="{00000000-0008-0000-0000-000092BA2A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id="{00000000-0008-0000-0000-000009000000}"/>
                </a:ext>
              </a:extLst>
            </xdr:cNvPr>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Detalii despre Grant</a:t>
              </a:r>
            </a:p>
          </xdr:txBody>
        </xdr:sp>
        <xdr:sp macro="" textlink="">
          <xdr:nvSpPr>
            <xdr:cNvPr id="10" name="Freeform 32">
              <a:extLst>
                <a:ext uri="{FF2B5EF4-FFF2-40B4-BE49-F238E27FC236}">
                  <a16:creationId xmlns:a16="http://schemas.microsoft.com/office/drawing/2014/main" id="{00000000-0008-0000-0000-00000A000000}"/>
                </a:ext>
              </a:extLst>
            </xdr:cNvPr>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2800257" name="37 Grupo">
          <a:hlinkClick xmlns:r="http://schemas.openxmlformats.org/officeDocument/2006/relationships" r:id="rId10"/>
          <a:extLst>
            <a:ext uri="{FF2B5EF4-FFF2-40B4-BE49-F238E27FC236}">
              <a16:creationId xmlns:a16="http://schemas.microsoft.com/office/drawing/2014/main" id="{00000000-0008-0000-0000-000081BA2A00}"/>
            </a:ext>
          </a:extLst>
        </xdr:cNvPr>
        <xdr:cNvGrpSpPr>
          <a:grpSpLocks/>
        </xdr:cNvGrpSpPr>
      </xdr:nvGrpSpPr>
      <xdr:grpSpPr bwMode="auto">
        <a:xfrm>
          <a:off x="593725" y="2417763"/>
          <a:ext cx="1504950" cy="371475"/>
          <a:chOff x="1343025" y="2428876"/>
          <a:chExt cx="3240982" cy="617274"/>
        </a:xfrm>
      </xdr:grpSpPr>
      <xdr:sp macro="" textlink="">
        <xdr:nvSpPr>
          <xdr:cNvPr id="2800269" name="AutoShape 30">
            <a:extLst>
              <a:ext uri="{FF2B5EF4-FFF2-40B4-BE49-F238E27FC236}">
                <a16:creationId xmlns:a16="http://schemas.microsoft.com/office/drawing/2014/main" id="{00000000-0008-0000-0000-00008DBA2A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70" name="13 Grupo">
            <a:extLst>
              <a:ext uri="{FF2B5EF4-FFF2-40B4-BE49-F238E27FC236}">
                <a16:creationId xmlns:a16="http://schemas.microsoft.com/office/drawing/2014/main" id="{00000000-0008-0000-0000-00008EBA2A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id="{00000000-0008-0000-0000-000003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Lista indicatorilor</a:t>
              </a:r>
            </a:p>
          </xdr:txBody>
        </xdr:sp>
        <xdr:sp macro="" textlink="">
          <xdr:nvSpPr>
            <xdr:cNvPr id="4" name="Freeform 32">
              <a:extLst>
                <a:ext uri="{FF2B5EF4-FFF2-40B4-BE49-F238E27FC236}">
                  <a16:creationId xmlns:a16="http://schemas.microsoft.com/office/drawing/2014/main" id="{00000000-0008-0000-0000-000004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2800258" name="37 Grupo">
          <a:hlinkClick xmlns:r="http://schemas.openxmlformats.org/officeDocument/2006/relationships" r:id="rId11"/>
          <a:extLst>
            <a:ext uri="{FF2B5EF4-FFF2-40B4-BE49-F238E27FC236}">
              <a16:creationId xmlns:a16="http://schemas.microsoft.com/office/drawing/2014/main" id="{00000000-0008-0000-0000-000082BA2A00}"/>
            </a:ext>
          </a:extLst>
        </xdr:cNvPr>
        <xdr:cNvGrpSpPr>
          <a:grpSpLocks/>
        </xdr:cNvGrpSpPr>
      </xdr:nvGrpSpPr>
      <xdr:grpSpPr bwMode="auto">
        <a:xfrm>
          <a:off x="593725" y="2951163"/>
          <a:ext cx="1504950" cy="371475"/>
          <a:chOff x="1343025" y="2428876"/>
          <a:chExt cx="3240982" cy="617274"/>
        </a:xfrm>
      </xdr:grpSpPr>
      <xdr:sp macro="" textlink="">
        <xdr:nvSpPr>
          <xdr:cNvPr id="2800265" name="AutoShape 30">
            <a:extLst>
              <a:ext uri="{FF2B5EF4-FFF2-40B4-BE49-F238E27FC236}">
                <a16:creationId xmlns:a16="http://schemas.microsoft.com/office/drawing/2014/main" id="{00000000-0008-0000-0000-000089BA2A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2800266" name="13 Grupo">
            <a:extLst>
              <a:ext uri="{FF2B5EF4-FFF2-40B4-BE49-F238E27FC236}">
                <a16:creationId xmlns:a16="http://schemas.microsoft.com/office/drawing/2014/main" id="{00000000-0008-0000-0000-00008ABA2A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id="{00000000-0008-0000-0000-00000E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Introducerea datelor</a:t>
              </a:r>
            </a:p>
          </xdr:txBody>
        </xdr:sp>
        <xdr:sp macro="" textlink="">
          <xdr:nvSpPr>
            <xdr:cNvPr id="15" name="Freeform 32">
              <a:extLst>
                <a:ext uri="{FF2B5EF4-FFF2-40B4-BE49-F238E27FC236}">
                  <a16:creationId xmlns:a16="http://schemas.microsoft.com/office/drawing/2014/main" id="{00000000-0008-0000-0000-00000F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2800259" name="Picture 2012">
          <a:extLst>
            <a:ext uri="{FF2B5EF4-FFF2-40B4-BE49-F238E27FC236}">
              <a16:creationId xmlns:a16="http://schemas.microsoft.com/office/drawing/2014/main" id="{00000000-0008-0000-0000-000083BA2A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33375" y="1876425"/>
          <a:ext cx="2133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a:extLst>
            <a:ext uri="{FF2B5EF4-FFF2-40B4-BE49-F238E27FC236}">
              <a16:creationId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2800261" name="Picture 2016">
          <a:extLst>
            <a:ext uri="{FF2B5EF4-FFF2-40B4-BE49-F238E27FC236}">
              <a16:creationId xmlns:a16="http://schemas.microsoft.com/office/drawing/2014/main" id="{00000000-0008-0000-0000-000085BA2A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609850" y="1876425"/>
          <a:ext cx="26003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a:extLst>
            <a:ext uri="{FF2B5EF4-FFF2-40B4-BE49-F238E27FC236}">
              <a16:creationId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2800263" name="Picture 2018">
          <a:extLst>
            <a:ext uri="{FF2B5EF4-FFF2-40B4-BE49-F238E27FC236}">
              <a16:creationId xmlns:a16="http://schemas.microsoft.com/office/drawing/2014/main" id="{00000000-0008-0000-0000-000087BA2A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5381625" y="1885950"/>
          <a:ext cx="21621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a:extLst>
            <a:ext uri="{FF2B5EF4-FFF2-40B4-BE49-F238E27FC236}">
              <a16:creationId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27887" name="Picture 2" descr="C:\Documents and Settings\Administrator\My Documents\My Pictures\Prueba.jpg">
          <a:extLst>
            <a:ext uri="{FF2B5EF4-FFF2-40B4-BE49-F238E27FC236}">
              <a16:creationId xmlns:a16="http://schemas.microsoft.com/office/drawing/2014/main" id="{00000000-0008-0000-0900-0000EF6C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875" y="257175"/>
          <a:ext cx="7429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0</xdr:row>
      <xdr:rowOff>28575</xdr:rowOff>
    </xdr:from>
    <xdr:to>
      <xdr:col>2</xdr:col>
      <xdr:colOff>1123950</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533400</xdr:colOff>
      <xdr:row>8</xdr:row>
      <xdr:rowOff>95250</xdr:rowOff>
    </xdr:from>
    <xdr:to>
      <xdr:col>11</xdr:col>
      <xdr:colOff>885825</xdr:colOff>
      <xdr:row>14</xdr:row>
      <xdr:rowOff>190500</xdr:rowOff>
    </xdr:to>
    <xdr:graphicFrame macro="">
      <xdr:nvGraphicFramePr>
        <xdr:cNvPr id="2125205" name="Chart 1034">
          <a:extLst>
            <a:ext uri="{FF2B5EF4-FFF2-40B4-BE49-F238E27FC236}">
              <a16:creationId xmlns:a16="http://schemas.microsoft.com/office/drawing/2014/main" id="{00000000-0008-0000-0400-000095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190500</xdr:colOff>
      <xdr:row>16</xdr:row>
      <xdr:rowOff>47625</xdr:rowOff>
    </xdr:from>
    <xdr:to>
      <xdr:col>5</xdr:col>
      <xdr:colOff>885825</xdr:colOff>
      <xdr:row>25</xdr:row>
      <xdr:rowOff>180975</xdr:rowOff>
    </xdr:to>
    <xdr:graphicFrame macro="">
      <xdr:nvGraphicFramePr>
        <xdr:cNvPr id="2125206" name="Chart 1039">
          <a:extLst>
            <a:ext uri="{FF2B5EF4-FFF2-40B4-BE49-F238E27FC236}">
              <a16:creationId xmlns:a16="http://schemas.microsoft.com/office/drawing/2014/main" id="{00000000-0008-0000-0400-000096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161925</xdr:colOff>
      <xdr:row>8</xdr:row>
      <xdr:rowOff>142875</xdr:rowOff>
    </xdr:from>
    <xdr:to>
      <xdr:col>6</xdr:col>
      <xdr:colOff>28575</xdr:colOff>
      <xdr:row>14</xdr:row>
      <xdr:rowOff>76200</xdr:rowOff>
    </xdr:to>
    <xdr:graphicFrame macro="">
      <xdr:nvGraphicFramePr>
        <xdr:cNvPr id="2125207" name="Chart 1046">
          <a:extLst>
            <a:ext uri="{FF2B5EF4-FFF2-40B4-BE49-F238E27FC236}">
              <a16:creationId xmlns:a16="http://schemas.microsoft.com/office/drawing/2014/main" id="{00000000-0008-0000-0400-000097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16</xdr:row>
      <xdr:rowOff>57150</xdr:rowOff>
    </xdr:from>
    <xdr:to>
      <xdr:col>11</xdr:col>
      <xdr:colOff>914400</xdr:colOff>
      <xdr:row>24</xdr:row>
      <xdr:rowOff>76200</xdr:rowOff>
    </xdr:to>
    <xdr:graphicFrame macro="">
      <xdr:nvGraphicFramePr>
        <xdr:cNvPr id="2125208" name="Chart 1054">
          <a:extLst>
            <a:ext uri="{FF2B5EF4-FFF2-40B4-BE49-F238E27FC236}">
              <a16:creationId xmlns:a16="http://schemas.microsoft.com/office/drawing/2014/main" id="{00000000-0008-0000-0400-000098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161925</xdr:colOff>
      <xdr:row>27</xdr:row>
      <xdr:rowOff>142876</xdr:rowOff>
    </xdr:from>
    <xdr:to>
      <xdr:col>5</xdr:col>
      <xdr:colOff>838200</xdr:colOff>
      <xdr:row>32</xdr:row>
      <xdr:rowOff>337040</xdr:rowOff>
    </xdr:to>
    <xdr:graphicFrame macro="">
      <xdr:nvGraphicFramePr>
        <xdr:cNvPr id="2125209" name="Chart 1091">
          <a:extLst>
            <a:ext uri="{FF2B5EF4-FFF2-40B4-BE49-F238E27FC236}">
              <a16:creationId xmlns:a16="http://schemas.microsoft.com/office/drawing/2014/main" id="{00000000-0008-0000-0400-0000996D2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id="{00000000-0008-0000-04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9</xdr:row>
      <xdr:rowOff>95250</xdr:rowOff>
    </xdr:from>
    <xdr:to>
      <xdr:col>6</xdr:col>
      <xdr:colOff>19050</xdr:colOff>
      <xdr:row>20</xdr:row>
      <xdr:rowOff>180975</xdr:rowOff>
    </xdr:to>
    <xdr:graphicFrame macro="">
      <xdr:nvGraphicFramePr>
        <xdr:cNvPr id="1591153" name="Chart 32">
          <a:extLst>
            <a:ext uri="{FF2B5EF4-FFF2-40B4-BE49-F238E27FC236}">
              <a16:creationId xmlns:a16="http://schemas.microsoft.com/office/drawing/2014/main" id="{00000000-0008-0000-0500-00007147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id="{00000000-0008-0000-05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7</xdr:col>
      <xdr:colOff>12010</xdr:colOff>
      <xdr:row>9</xdr:row>
      <xdr:rowOff>85725</xdr:rowOff>
    </xdr:from>
    <xdr:to>
      <xdr:col>11</xdr:col>
      <xdr:colOff>0</xdr:colOff>
      <xdr:row>20</xdr:row>
      <xdr:rowOff>163286</xdr:rowOff>
    </xdr:to>
    <xdr:graphicFrame macro="">
      <xdr:nvGraphicFramePr>
        <xdr:cNvPr id="1591159" name="Chart 31">
          <a:extLst>
            <a:ext uri="{FF2B5EF4-FFF2-40B4-BE49-F238E27FC236}">
              <a16:creationId xmlns:a16="http://schemas.microsoft.com/office/drawing/2014/main" id="{00000000-0008-0000-0500-00007747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23</xdr:row>
      <xdr:rowOff>85724</xdr:rowOff>
    </xdr:from>
    <xdr:to>
      <xdr:col>6</xdr:col>
      <xdr:colOff>85725</xdr:colOff>
      <xdr:row>31</xdr:row>
      <xdr:rowOff>164051</xdr:rowOff>
    </xdr:to>
    <xdr:graphicFrame macro="">
      <xdr:nvGraphicFramePr>
        <xdr:cNvPr id="1591157" name="Chart 34">
          <a:extLst>
            <a:ext uri="{FF2B5EF4-FFF2-40B4-BE49-F238E27FC236}">
              <a16:creationId xmlns:a16="http://schemas.microsoft.com/office/drawing/2014/main" id="{00000000-0008-0000-0500-0000754718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479534</xdr:colOff>
      <xdr:row>9</xdr:row>
      <xdr:rowOff>163285</xdr:rowOff>
    </xdr:from>
    <xdr:to>
      <xdr:col>12</xdr:col>
      <xdr:colOff>381000</xdr:colOff>
      <xdr:row>18</xdr:row>
      <xdr:rowOff>8283</xdr:rowOff>
    </xdr:to>
    <xdr:graphicFrame macro="">
      <xdr:nvGraphicFramePr>
        <xdr:cNvPr id="21433" name="Chart 33">
          <a:extLst>
            <a:ext uri="{FF2B5EF4-FFF2-40B4-BE49-F238E27FC236}">
              <a16:creationId xmlns:a16="http://schemas.microsoft.com/office/drawing/2014/main" id="{00000000-0008-0000-0600-0000B9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0</xdr:row>
      <xdr:rowOff>0</xdr:rowOff>
    </xdr:from>
    <xdr:to>
      <xdr:col>2</xdr:col>
      <xdr:colOff>1057275</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12</xdr:col>
      <xdr:colOff>619125</xdr:colOff>
      <xdr:row>9</xdr:row>
      <xdr:rowOff>85725</xdr:rowOff>
    </xdr:from>
    <xdr:to>
      <xdr:col>17</xdr:col>
      <xdr:colOff>1714500</xdr:colOff>
      <xdr:row>18</xdr:row>
      <xdr:rowOff>0</xdr:rowOff>
    </xdr:to>
    <xdr:graphicFrame macro="">
      <xdr:nvGraphicFramePr>
        <xdr:cNvPr id="21435" name="Chart 488">
          <a:extLst>
            <a:ext uri="{FF2B5EF4-FFF2-40B4-BE49-F238E27FC236}">
              <a16:creationId xmlns:a16="http://schemas.microsoft.com/office/drawing/2014/main" id="{00000000-0008-0000-0600-0000BB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563217</xdr:colOff>
      <xdr:row>9</xdr:row>
      <xdr:rowOff>38757</xdr:rowOff>
    </xdr:from>
    <xdr:to>
      <xdr:col>6</xdr:col>
      <xdr:colOff>132521</xdr:colOff>
      <xdr:row>18</xdr:row>
      <xdr:rowOff>16565</xdr:rowOff>
    </xdr:to>
    <xdr:graphicFrame macro="">
      <xdr:nvGraphicFramePr>
        <xdr:cNvPr id="21436" name="Chart 553">
          <a:extLst>
            <a:ext uri="{FF2B5EF4-FFF2-40B4-BE49-F238E27FC236}">
              <a16:creationId xmlns:a16="http://schemas.microsoft.com/office/drawing/2014/main" id="{00000000-0008-0000-0600-0000BC5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405847</xdr:colOff>
      <xdr:row>20</xdr:row>
      <xdr:rowOff>54428</xdr:rowOff>
    </xdr:from>
    <xdr:to>
      <xdr:col>12</xdr:col>
      <xdr:colOff>513522</xdr:colOff>
      <xdr:row>27</xdr:row>
      <xdr:rowOff>190499</xdr:rowOff>
    </xdr:to>
    <xdr:graphicFrame macro="">
      <xdr:nvGraphicFramePr>
        <xdr:cNvPr id="12" name="Chart 33">
          <a:extLst>
            <a:ext uri="{FF2B5EF4-FFF2-40B4-BE49-F238E27FC236}">
              <a16:creationId xmlns:a16="http://schemas.microsoft.com/office/drawing/2014/main" id="{600152D3-84BF-42C4-A4A0-1A7AD4E54C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687458</xdr:colOff>
      <xdr:row>19</xdr:row>
      <xdr:rowOff>1496785</xdr:rowOff>
    </xdr:from>
    <xdr:to>
      <xdr:col>17</xdr:col>
      <xdr:colOff>1741716</xdr:colOff>
      <xdr:row>28</xdr:row>
      <xdr:rowOff>54429</xdr:rowOff>
    </xdr:to>
    <xdr:graphicFrame macro="">
      <xdr:nvGraphicFramePr>
        <xdr:cNvPr id="13" name="Chart 488">
          <a:extLst>
            <a:ext uri="{FF2B5EF4-FFF2-40B4-BE49-F238E27FC236}">
              <a16:creationId xmlns:a16="http://schemas.microsoft.com/office/drawing/2014/main" id="{3E793879-612B-4A57-8549-3F75E34EED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811696</xdr:colOff>
      <xdr:row>20</xdr:row>
      <xdr:rowOff>35615</xdr:rowOff>
    </xdr:from>
    <xdr:to>
      <xdr:col>6</xdr:col>
      <xdr:colOff>105959</xdr:colOff>
      <xdr:row>28</xdr:row>
      <xdr:rowOff>23134</xdr:rowOff>
    </xdr:to>
    <xdr:graphicFrame macro="">
      <xdr:nvGraphicFramePr>
        <xdr:cNvPr id="14" name="Chart 553">
          <a:extLst>
            <a:ext uri="{FF2B5EF4-FFF2-40B4-BE49-F238E27FC236}">
              <a16:creationId xmlns:a16="http://schemas.microsoft.com/office/drawing/2014/main" id="{DB6E02A6-3642-4C64-B3D9-062814B85B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2514391" name="Group 41">
          <a:extLst>
            <a:ext uri="{FF2B5EF4-FFF2-40B4-BE49-F238E27FC236}">
              <a16:creationId xmlns:a16="http://schemas.microsoft.com/office/drawing/2014/main" id="{00000000-0008-0000-0700-0000D75D2600}"/>
            </a:ext>
          </a:extLst>
        </xdr:cNvPr>
        <xdr:cNvGrpSpPr>
          <a:grpSpLocks/>
        </xdr:cNvGrpSpPr>
      </xdr:nvGrpSpPr>
      <xdr:grpSpPr bwMode="auto">
        <a:xfrm>
          <a:off x="7226300" y="12090400"/>
          <a:ext cx="85725" cy="0"/>
          <a:chOff x="595" y="540"/>
          <a:chExt cx="9" cy="9"/>
        </a:xfrm>
      </xdr:grpSpPr>
      <xdr:sp macro="" textlink="">
        <xdr:nvSpPr>
          <xdr:cNvPr id="2514402" name="Rectangle 11">
            <a:extLst>
              <a:ext uri="{FF2B5EF4-FFF2-40B4-BE49-F238E27FC236}">
                <a16:creationId xmlns:a16="http://schemas.microsoft.com/office/drawing/2014/main" id="{00000000-0008-0000-0700-0000E25D26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403" name="Arc 12">
            <a:extLst>
              <a:ext uri="{FF2B5EF4-FFF2-40B4-BE49-F238E27FC236}">
                <a16:creationId xmlns:a16="http://schemas.microsoft.com/office/drawing/2014/main" id="{00000000-0008-0000-0700-0000E35D26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8</xdr:col>
      <xdr:colOff>981075</xdr:colOff>
      <xdr:row>20</xdr:row>
      <xdr:rowOff>0</xdr:rowOff>
    </xdr:from>
    <xdr:to>
      <xdr:col>9</xdr:col>
      <xdr:colOff>9525</xdr:colOff>
      <xdr:row>20</xdr:row>
      <xdr:rowOff>0</xdr:rowOff>
    </xdr:to>
    <xdr:grpSp>
      <xdr:nvGrpSpPr>
        <xdr:cNvPr id="2514392" name="Group 44">
          <a:extLst>
            <a:ext uri="{FF2B5EF4-FFF2-40B4-BE49-F238E27FC236}">
              <a16:creationId xmlns:a16="http://schemas.microsoft.com/office/drawing/2014/main" id="{00000000-0008-0000-0700-0000D85D2600}"/>
            </a:ext>
          </a:extLst>
        </xdr:cNvPr>
        <xdr:cNvGrpSpPr>
          <a:grpSpLocks/>
        </xdr:cNvGrpSpPr>
      </xdr:nvGrpSpPr>
      <xdr:grpSpPr bwMode="auto">
        <a:xfrm>
          <a:off x="8207375" y="12090400"/>
          <a:ext cx="82550" cy="0"/>
          <a:chOff x="698" y="540"/>
          <a:chExt cx="9" cy="9"/>
        </a:xfrm>
      </xdr:grpSpPr>
      <xdr:sp macro="" textlink="">
        <xdr:nvSpPr>
          <xdr:cNvPr id="2514400" name="Rectangle 47">
            <a:extLst>
              <a:ext uri="{FF2B5EF4-FFF2-40B4-BE49-F238E27FC236}">
                <a16:creationId xmlns:a16="http://schemas.microsoft.com/office/drawing/2014/main" id="{00000000-0008-0000-0700-0000E05D26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401" name="Arc 48">
            <a:extLst>
              <a:ext uri="{FF2B5EF4-FFF2-40B4-BE49-F238E27FC236}">
                <a16:creationId xmlns:a16="http://schemas.microsoft.com/office/drawing/2014/main" id="{00000000-0008-0000-0700-0000E15D26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6</xdr:col>
      <xdr:colOff>781050</xdr:colOff>
      <xdr:row>20</xdr:row>
      <xdr:rowOff>0</xdr:rowOff>
    </xdr:from>
    <xdr:to>
      <xdr:col>7</xdr:col>
      <xdr:colOff>0</xdr:colOff>
      <xdr:row>20</xdr:row>
      <xdr:rowOff>0</xdr:rowOff>
    </xdr:to>
    <xdr:grpSp>
      <xdr:nvGrpSpPr>
        <xdr:cNvPr id="2514393" name="Group 47">
          <a:extLst>
            <a:ext uri="{FF2B5EF4-FFF2-40B4-BE49-F238E27FC236}">
              <a16:creationId xmlns:a16="http://schemas.microsoft.com/office/drawing/2014/main" id="{00000000-0008-0000-0700-0000D95D2600}"/>
            </a:ext>
          </a:extLst>
        </xdr:cNvPr>
        <xdr:cNvGrpSpPr>
          <a:grpSpLocks/>
        </xdr:cNvGrpSpPr>
      </xdr:nvGrpSpPr>
      <xdr:grpSpPr bwMode="auto">
        <a:xfrm>
          <a:off x="5175250" y="12090400"/>
          <a:ext cx="1758950" cy="0"/>
          <a:chOff x="698" y="540"/>
          <a:chExt cx="9" cy="9"/>
        </a:xfrm>
      </xdr:grpSpPr>
      <xdr:sp macro="" textlink="">
        <xdr:nvSpPr>
          <xdr:cNvPr id="2514398" name="Rectangle 47">
            <a:extLst>
              <a:ext uri="{FF2B5EF4-FFF2-40B4-BE49-F238E27FC236}">
                <a16:creationId xmlns:a16="http://schemas.microsoft.com/office/drawing/2014/main" id="{00000000-0008-0000-0700-0000DE5D26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399" name="Arc 48">
            <a:extLst>
              <a:ext uri="{FF2B5EF4-FFF2-40B4-BE49-F238E27FC236}">
                <a16:creationId xmlns:a16="http://schemas.microsoft.com/office/drawing/2014/main" id="{00000000-0008-0000-0700-0000DF5D26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0</xdr:colOff>
      <xdr:row>20</xdr:row>
      <xdr:rowOff>0</xdr:rowOff>
    </xdr:from>
    <xdr:to>
      <xdr:col>3</xdr:col>
      <xdr:colOff>85725</xdr:colOff>
      <xdr:row>20</xdr:row>
      <xdr:rowOff>0</xdr:rowOff>
    </xdr:to>
    <xdr:grpSp>
      <xdr:nvGrpSpPr>
        <xdr:cNvPr id="2514394" name="Group 50">
          <a:extLst>
            <a:ext uri="{FF2B5EF4-FFF2-40B4-BE49-F238E27FC236}">
              <a16:creationId xmlns:a16="http://schemas.microsoft.com/office/drawing/2014/main" id="{00000000-0008-0000-0700-0000DA5D2600}"/>
            </a:ext>
          </a:extLst>
        </xdr:cNvPr>
        <xdr:cNvGrpSpPr>
          <a:grpSpLocks/>
        </xdr:cNvGrpSpPr>
      </xdr:nvGrpSpPr>
      <xdr:grpSpPr bwMode="auto">
        <a:xfrm>
          <a:off x="1435100" y="12090400"/>
          <a:ext cx="85725" cy="0"/>
          <a:chOff x="595" y="540"/>
          <a:chExt cx="9" cy="9"/>
        </a:xfrm>
      </xdr:grpSpPr>
      <xdr:sp macro="" textlink="">
        <xdr:nvSpPr>
          <xdr:cNvPr id="2514396" name="Rectangle 11">
            <a:extLst>
              <a:ext uri="{FF2B5EF4-FFF2-40B4-BE49-F238E27FC236}">
                <a16:creationId xmlns:a16="http://schemas.microsoft.com/office/drawing/2014/main" id="{00000000-0008-0000-0700-0000DC5D26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397" name="Arc 12">
            <a:extLst>
              <a:ext uri="{FF2B5EF4-FFF2-40B4-BE49-F238E27FC236}">
                <a16:creationId xmlns:a16="http://schemas.microsoft.com/office/drawing/2014/main" id="{00000000-0008-0000-0700-0000DD5D26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26077" name="Chart 1">
          <a:extLst>
            <a:ext uri="{FF2B5EF4-FFF2-40B4-BE49-F238E27FC236}">
              <a16:creationId xmlns:a16="http://schemas.microsoft.com/office/drawing/2014/main" id="{00000000-0008-0000-0800-0000DD6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3A010000}" name="Table1" displayName="Table1" ref="A1:G25" totalsRowShown="0" headerRowDxfId="10" headerRowBorderDxfId="9" tableBorderDxfId="8" totalsRowBorderDxfId="7">
  <autoFilter ref="A1:G25" xr:uid="{00000000-0009-0000-0100-000001000000}"/>
  <tableColumns count="7">
    <tableColumn id="7" xr3:uid="{00000000-0010-0000-3A01-000007000000}" name="N" dataDxfId="6"/>
    <tableColumn id="1" xr3:uid="{00000000-0010-0000-3A01-000001000000}" name="Column1" dataDxfId="5"/>
    <tableColumn id="2" xr3:uid="{00000000-0010-0000-3A01-000002000000}" name="Column2" dataDxfId="4"/>
    <tableColumn id="3" xr3:uid="{00000000-0010-0000-3A01-000003000000}" name="Indicator" dataDxfId="3"/>
    <tableColumn id="4" xr3:uid="{00000000-0010-0000-3A01-000004000000}" name="Definiție (din M&amp;E Plan)" dataDxfId="2"/>
    <tableColumn id="5" xr3:uid="{00000000-0010-0000-3A01-000005000000}" name="metode de măsurare" dataDxfId="1"/>
    <tableColumn id="6" xr3:uid="{00000000-0010-0000-3A01-000006000000}" name="Sursa de date" dataDxfId="0"/>
  </tableColumns>
  <tableStyleInfo name="TableStyleLight11" showFirstColumn="0" showLastColumn="0" showRowStripes="1" showColumnStripes="0"/>
</table>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19" xr6:uid="{00000000-000C-0000-FFFF-FFFF00000000}" r="C4" connectionId="0">
    <xmlCellPr id="1" xr6:uid="{00000000-0010-0000-0000-000001000000}" uniqueName="1">
      <xmlPr mapId="43" xpath="/ns1:Root/ns1:Country" xmlDataType="string"/>
    </xmlCellPr>
  </singleXmlCell>
  <singleXmlCell id="420" xr6:uid="{00000000-000C-0000-FFFF-FFFF01000000}" r="C6" connectionId="0">
    <xmlCellPr id="1" xr6:uid="{00000000-0010-0000-0100-000001000000}" uniqueName="1">
      <xmlPr mapId="43" xpath="/ns1:Root/ns1:GrantNumber" xmlDataType="string"/>
    </xmlCellPr>
  </singleXmlCell>
  <singleXmlCell id="421" xr6:uid="{00000000-000C-0000-FFFF-FFFF02000000}" r="C8" connectionId="0">
    <xmlCellPr id="1" xr6:uid="{00000000-0010-0000-0200-000001000000}" uniqueName="1">
      <xmlPr mapId="43" xpath="/ns1:Root/ns1:PR" xmlDataType="string"/>
    </xmlCellPr>
  </singleXmlCell>
  <singleXmlCell id="422" xr6:uid="{00000000-000C-0000-FFFF-FFFF03000000}" r="C10" connectionId="0">
    <xmlCellPr id="1" xr6:uid="{00000000-0010-0000-0300-000001000000}" uniqueName="1">
      <xmlPr mapId="43" xpath="/ns1:Root/ns1:StartDate" xmlDataType="dateTime"/>
    </xmlCellPr>
  </singleXmlCell>
  <singleXmlCell id="423" xr6:uid="{00000000-000C-0000-FFFF-FFFF04000000}" r="C12" connectionId="0">
    <xmlCellPr id="1" xr6:uid="{00000000-0010-0000-0400-000001000000}" uniqueName="1">
      <xmlPr mapId="43" xpath="/ns1:Root/ns1:LatestRating" xmlDataType="string"/>
    </xmlCellPr>
  </singleXmlCell>
  <singleXmlCell id="424" xr6:uid="{00000000-000C-0000-FFFF-FFFF05000000}" r="G4" connectionId="0">
    <xmlCellPr id="1" xr6:uid="{00000000-0010-0000-0500-000001000000}" uniqueName="1">
      <xmlPr mapId="43" xpath="/ns1:Root/ns1:GranTitle" xmlDataType="string"/>
    </xmlCellPr>
  </singleXmlCell>
  <singleXmlCell id="425" xr6:uid="{00000000-000C-0000-FFFF-FFFF06000000}" r="G6" connectionId="0">
    <xmlCellPr id="1" xr6:uid="{00000000-0010-0000-0600-000001000000}" uniqueName="1">
      <xmlPr mapId="43" xpath="/ns1:Root/ns1:Componenent" xmlDataType="string"/>
    </xmlCellPr>
  </singleXmlCell>
  <singleXmlCell id="426" xr6:uid="{00000000-000C-0000-FFFF-FFFF07000000}" r="I6" connectionId="0">
    <xmlCellPr id="1" xr6:uid="{00000000-0010-0000-0700-000001000000}" uniqueName="1">
      <xmlPr mapId="43" xpath="/ns1:Root/ns1:TotalFunding" xmlDataType="double"/>
    </xmlCellPr>
  </singleXmlCell>
  <singleXmlCell id="427" xr6:uid="{00000000-000C-0000-FFFF-FFFF08000000}" r="G8" connectionId="0">
    <xmlCellPr id="1" xr6:uid="{00000000-0010-0000-0800-000001000000}" uniqueName="1">
      <xmlPr mapId="43" xpath="/ns1:Root/ns1:Round" xmlDataType="string"/>
    </xmlCellPr>
  </singleXmlCell>
  <singleXmlCell id="428" xr6:uid="{00000000-000C-0000-FFFF-FFFF09000000}" r="I8" connectionId="0">
    <xmlCellPr id="1" xr6:uid="{00000000-0010-0000-0900-000001000000}" uniqueName="1">
      <xmlPr mapId="43" xpath="/ns1:Root/ns1:Phase" xmlDataType="string"/>
    </xmlCellPr>
  </singleXmlCell>
  <singleXmlCell id="429" xr6:uid="{00000000-000C-0000-FFFF-FFFF0A000000}" r="G10" connectionId="0">
    <xmlCellPr id="1" xr6:uid="{00000000-0010-0000-0A00-000001000000}" uniqueName="1">
      <xmlPr mapId="43" xpath="/ns1:Root/ns1:LFA" xmlDataType="string"/>
    </xmlCellPr>
  </singleXmlCell>
  <singleXmlCell id="430" xr6:uid="{00000000-000C-0000-FFFF-FFFF0B000000}" r="G12" connectionId="0">
    <xmlCellPr id="1" xr6:uid="{00000000-0010-0000-0B00-000001000000}" uniqueName="1">
      <xmlPr mapId="43" xpath="/ns1:Root/ns1:FPM" xmlDataType="string"/>
    </xmlCellPr>
  </singleXmlCell>
  <singleXmlCell id="431" xr6:uid="{00000000-000C-0000-FFFF-FFFF0C000000}" r="C16" connectionId="0">
    <xmlCellPr id="1" xr6:uid="{00000000-0010-0000-0C00-000001000000}" uniqueName="1">
      <xmlPr mapId="43" xpath="/ns1:Root/ns1:Period" xmlDataType="string"/>
    </xmlCellPr>
  </singleXmlCell>
  <singleXmlCell id="432" xr6:uid="{00000000-000C-0000-FFFF-FFFF0D000000}" r="E16" connectionId="0">
    <xmlCellPr id="1" xr6:uid="{00000000-0010-0000-0D00-000001000000}" uniqueName="1">
      <xmlPr mapId="43" xpath="/ns1:Root/ns1:From" xmlDataType="dateTime"/>
    </xmlCellPr>
  </singleXmlCell>
  <singleXmlCell id="433" xr6:uid="{00000000-000C-0000-FFFF-FFFF0E000000}" r="G16" connectionId="0">
    <xmlCellPr id="1" xr6:uid="{00000000-0010-0000-0E00-000001000000}" uniqueName="1">
      <xmlPr mapId="43" xpath="/ns1:Root/ns1:To" xmlDataType="dateTime"/>
    </xmlCellPr>
  </singleXmlCell>
  <singleXmlCell id="434" xr6:uid="{00000000-000C-0000-FFFF-FFFF0F000000}" r="J16" connectionId="0">
    <xmlCellPr id="1" xr6:uid="{00000000-0010-0000-0F00-000001000000}" uniqueName="1">
      <xmlPr mapId="43" xpath="/ns1:Root/ns1:DataEntryDate" xmlDataType="dateTime"/>
    </xmlCellPr>
  </singleXmlCell>
  <singleXmlCell id="435" xr6:uid="{00000000-000C-0000-FFFF-FFFF10000000}" r="D18" connectionId="0">
    <xmlCellPr id="1" xr6:uid="{00000000-0010-0000-1000-000001000000}" uniqueName="1">
      <xmlPr mapId="43" xpath="/ns1:Root/ns1:PreparedBy" xmlDataType="string"/>
    </xmlCellPr>
  </singleXmlCell>
  <singleXmlCell id="436" xr6:uid="{00000000-000C-0000-FFFF-FFFF11000000}" r="C31" connectionId="0">
    <xmlCellPr id="1" xr6:uid="{00000000-0010-0000-1100-000001000000}" uniqueName="1">
      <xmlPr mapId="43" xpath="/ns1:Root/ns1:F1/ns1:Budget__in____P1" xmlDataType="double"/>
    </xmlCellPr>
  </singleXmlCell>
  <singleXmlCell id="437" xr6:uid="{00000000-000C-0000-FFFF-FFFF12000000}" r="D31" connectionId="0">
    <xmlCellPr id="1" xr6:uid="{00000000-0010-0000-1200-000001000000}" uniqueName="1">
      <xmlPr mapId="43" xpath="/ns1:Root/ns1:F1/ns1:Budget__in____P2" xmlDataType="double"/>
    </xmlCellPr>
  </singleXmlCell>
  <singleXmlCell id="438" xr6:uid="{00000000-000C-0000-FFFF-FFFF13000000}" r="E31" connectionId="0">
    <xmlCellPr id="1" xr6:uid="{00000000-0010-0000-1300-000001000000}" uniqueName="1">
      <xmlPr mapId="43" xpath="/ns1:Root/ns1:F1/ns1:Budget__in____P3" xmlDataType="string"/>
    </xmlCellPr>
  </singleXmlCell>
  <singleXmlCell id="439" xr6:uid="{00000000-000C-0000-FFFF-FFFF14000000}" r="F31" connectionId="0">
    <xmlCellPr id="1" xr6:uid="{00000000-0010-0000-1400-000001000000}" uniqueName="1">
      <xmlPr mapId="43" xpath="/ns1:Root/ns1:F1/ns1:Budget__in____P4" xmlDataType="string"/>
    </xmlCellPr>
  </singleXmlCell>
  <singleXmlCell id="440" xr6:uid="{00000000-000C-0000-FFFF-FFFF15000000}" r="G31" connectionId="0">
    <xmlCellPr id="1" xr6:uid="{00000000-0010-0000-1500-000001000000}" uniqueName="1">
      <xmlPr mapId="43" xpath="/ns1:Root/ns1:F1/ns1:Budget__in____P5" xmlDataType="string"/>
    </xmlCellPr>
  </singleXmlCell>
  <singleXmlCell id="441" xr6:uid="{00000000-000C-0000-FFFF-FFFF16000000}" r="H31" connectionId="0">
    <xmlCellPr id="1" xr6:uid="{00000000-0010-0000-1600-000001000000}" uniqueName="1">
      <xmlPr mapId="43" xpath="/ns1:Root/ns1:F1/ns1:Budget__in____P6" xmlDataType="string"/>
    </xmlCellPr>
  </singleXmlCell>
  <singleXmlCell id="442" xr6:uid="{00000000-000C-0000-FFFF-FFFF17000000}" r="I31" connectionId="0">
    <xmlCellPr id="1" xr6:uid="{00000000-0010-0000-1700-000001000000}" uniqueName="1">
      <xmlPr mapId="43" xpath="/ns1:Root/ns1:F1/ns1:Budget__in____P7" xmlDataType="string"/>
    </xmlCellPr>
  </singleXmlCell>
  <singleXmlCell id="443" xr6:uid="{00000000-000C-0000-FFFF-FFFF18000000}" r="J31" connectionId="0">
    <xmlCellPr id="1" xr6:uid="{00000000-0010-0000-1800-000001000000}" uniqueName="1">
      <xmlPr mapId="43" xpath="/ns1:Root/ns1:F1/ns1:Budget__in____P8" xmlDataType="string"/>
    </xmlCellPr>
  </singleXmlCell>
  <singleXmlCell id="444" xr6:uid="{00000000-000C-0000-FFFF-FFFF19000000}" r="K31" connectionId="0">
    <xmlCellPr id="1" xr6:uid="{00000000-0010-0000-1900-000001000000}" uniqueName="1">
      <xmlPr mapId="43" xpath="/ns1:Root/ns1:F1/ns1:Budget__in____P9" xmlDataType="string"/>
    </xmlCellPr>
  </singleXmlCell>
  <singleXmlCell id="445" xr6:uid="{00000000-000C-0000-FFFF-FFFF1A000000}" r="L31" connectionId="0">
    <xmlCellPr id="1" xr6:uid="{00000000-0010-0000-1A00-000001000000}" uniqueName="1">
      <xmlPr mapId="43" xpath="/ns1:Root/ns1:F1/ns1:Budget__in____P10" xmlDataType="string"/>
    </xmlCellPr>
  </singleXmlCell>
  <singleXmlCell id="446" xr6:uid="{00000000-000C-0000-FFFF-FFFF1B000000}" r="M31" connectionId="0">
    <xmlCellPr id="1" xr6:uid="{00000000-0010-0000-1B00-000001000000}" uniqueName="1">
      <xmlPr mapId="43" xpath="/ns1:Root/ns1:F1/ns1:Budget__in____P11" xmlDataType="string"/>
    </xmlCellPr>
  </singleXmlCell>
  <singleXmlCell id="447" xr6:uid="{00000000-000C-0000-FFFF-FFFF1C000000}" r="N31" connectionId="0">
    <xmlCellPr id="1" xr6:uid="{00000000-0010-0000-1C00-000001000000}" uniqueName="1">
      <xmlPr mapId="43" xpath="/ns1:Root/ns1:F1/ns1:Budget__in____P12" xmlDataType="string"/>
    </xmlCellPr>
  </singleXmlCell>
  <singleXmlCell id="448" xr6:uid="{00000000-000C-0000-FFFF-FFFF1D000000}" r="C32" connectionId="0">
    <xmlCellPr id="1" xr6:uid="{00000000-0010-0000-1D00-000001000000}" uniqueName="1">
      <xmlPr mapId="43" xpath="/ns1:Root/ns1:F1/ns1:Disbursements_by_GF__in____P1" xmlDataType="double"/>
    </xmlCellPr>
  </singleXmlCell>
  <singleXmlCell id="449" xr6:uid="{00000000-000C-0000-FFFF-FFFF1E000000}" r="D32" connectionId="0">
    <xmlCellPr id="1" xr6:uid="{00000000-0010-0000-1E00-000001000000}" uniqueName="1">
      <xmlPr mapId="43" xpath="/ns1:Root/ns1:F1/ns1:Disbursements_by_GF__in____P2" xmlDataType="double"/>
    </xmlCellPr>
  </singleXmlCell>
  <singleXmlCell id="450" xr6:uid="{00000000-000C-0000-FFFF-FFFF1F000000}" r="E32" connectionId="0">
    <xmlCellPr id="1" xr6:uid="{00000000-0010-0000-1F00-000001000000}" uniqueName="1">
      <xmlPr mapId="43" xpath="/ns1:Root/ns1:F1/ns1:Disbursements_by_GF__in____P3" xmlDataType="string"/>
    </xmlCellPr>
  </singleXmlCell>
  <singleXmlCell id="451" xr6:uid="{00000000-000C-0000-FFFF-FFFF20000000}" r="F32" connectionId="0">
    <xmlCellPr id="1" xr6:uid="{00000000-0010-0000-2000-000001000000}" uniqueName="1">
      <xmlPr mapId="43" xpath="/ns1:Root/ns1:F1/ns1:Disbursements_by_GF__in____P4" xmlDataType="string"/>
    </xmlCellPr>
  </singleXmlCell>
  <singleXmlCell id="452" xr6:uid="{00000000-000C-0000-FFFF-FFFF21000000}" r="G32" connectionId="0">
    <xmlCellPr id="1" xr6:uid="{00000000-0010-0000-2100-000001000000}" uniqueName="1">
      <xmlPr mapId="43" xpath="/ns1:Root/ns1:F1/ns1:Disbursements_by_GF__in____P5" xmlDataType="string"/>
    </xmlCellPr>
  </singleXmlCell>
  <singleXmlCell id="453" xr6:uid="{00000000-000C-0000-FFFF-FFFF22000000}" r="H32" connectionId="0">
    <xmlCellPr id="1" xr6:uid="{00000000-0010-0000-2200-000001000000}" uniqueName="1">
      <xmlPr mapId="43" xpath="/ns1:Root/ns1:F1/ns1:Disbursements_by_GF__in____P6" xmlDataType="string"/>
    </xmlCellPr>
  </singleXmlCell>
  <singleXmlCell id="454" xr6:uid="{00000000-000C-0000-FFFF-FFFF23000000}" r="I32" connectionId="0">
    <xmlCellPr id="1" xr6:uid="{00000000-0010-0000-2300-000001000000}" uniqueName="1">
      <xmlPr mapId="43" xpath="/ns1:Root/ns1:F1/ns1:Disbursements_by_GF__in____P7" xmlDataType="string"/>
    </xmlCellPr>
  </singleXmlCell>
  <singleXmlCell id="455" xr6:uid="{00000000-000C-0000-FFFF-FFFF24000000}" r="J32" connectionId="0">
    <xmlCellPr id="1" xr6:uid="{00000000-0010-0000-2400-000001000000}" uniqueName="1">
      <xmlPr mapId="43" xpath="/ns1:Root/ns1:F1/ns1:Disbursements_by_GF__in____P8" xmlDataType="string"/>
    </xmlCellPr>
  </singleXmlCell>
  <singleXmlCell id="456" xr6:uid="{00000000-000C-0000-FFFF-FFFF25000000}" r="K32" connectionId="0">
    <xmlCellPr id="1" xr6:uid="{00000000-0010-0000-2500-000001000000}" uniqueName="1">
      <xmlPr mapId="43" xpath="/ns1:Root/ns1:F1/ns1:Disbursements_by_GF__in____P9" xmlDataType="string"/>
    </xmlCellPr>
  </singleXmlCell>
  <singleXmlCell id="457" xr6:uid="{00000000-000C-0000-FFFF-FFFF26000000}" r="L32" connectionId="0">
    <xmlCellPr id="1" xr6:uid="{00000000-0010-0000-2600-000001000000}" uniqueName="1">
      <xmlPr mapId="43" xpath="/ns1:Root/ns1:F1/ns1:Disbursements_by_GF__in____P10" xmlDataType="string"/>
    </xmlCellPr>
  </singleXmlCell>
  <singleXmlCell id="458" xr6:uid="{00000000-000C-0000-FFFF-FFFF27000000}" r="M32" connectionId="0">
    <xmlCellPr id="1" xr6:uid="{00000000-0010-0000-2700-000001000000}" uniqueName="1">
      <xmlPr mapId="43" xpath="/ns1:Root/ns1:F1/ns1:Disbursements_by_GF__in____P11" xmlDataType="string"/>
    </xmlCellPr>
  </singleXmlCell>
  <singleXmlCell id="459" xr6:uid="{00000000-000C-0000-FFFF-FFFF28000000}" r="N32" connectionId="0">
    <xmlCellPr id="1" xr6:uid="{00000000-0010-0000-2800-000001000000}" uniqueName="1">
      <xmlPr mapId="43" xpath="/ns1:Root/ns1:F1/ns1:Disbursements_by_GF__in____P12" xmlDataType="string"/>
    </xmlCellPr>
  </singleXmlCell>
  <singleXmlCell id="460" xr6:uid="{00000000-000C-0000-FFFF-FFFF29000000}" r="C39" connectionId="0">
    <xmlCellPr id="1" xr6:uid="{00000000-0010-0000-2900-000001000000}" uniqueName="1">
      <xmlPr mapId="43" xpath="/ns1:Root/ns1:F2/ns1:TB__detect_and_treat_Cumulative_Budget__in___" xmlDataType="double"/>
    </xmlCellPr>
  </singleXmlCell>
  <singleXmlCell id="461" xr6:uid="{00000000-000C-0000-FFFF-FFFF2A000000}" r="D39" connectionId="0">
    <xmlCellPr id="1" xr6:uid="{00000000-0010-0000-2A00-000001000000}" uniqueName="1">
      <xmlPr mapId="43" xpath="/ns1:Root/ns1:F2/ns1:TB__detect_and_treat_Cumulative_Expenditures__in___" xmlDataType="double"/>
    </xmlCellPr>
  </singleXmlCell>
  <singleXmlCell id="462" xr6:uid="{00000000-000C-0000-FFFF-FFFF2B000000}" r="C40" connectionId="0">
    <xmlCellPr id="1" xr6:uid="{00000000-0010-0000-2B00-000001000000}" uniqueName="1">
      <xmlPr mapId="43" xpath="/ns1:Root/ns1:F2/ns1:TB__ID_cases_Cumulative_Budget__in___" xmlDataType="double"/>
    </xmlCellPr>
  </singleXmlCell>
  <singleXmlCell id="463" xr6:uid="{00000000-000C-0000-FFFF-FFFF2C000000}" r="D40" connectionId="0">
    <xmlCellPr id="1" xr6:uid="{00000000-0010-0000-2C00-000001000000}" uniqueName="1">
      <xmlPr mapId="43" xpath="/ns1:Root/ns1:F2/ns1:TB__ID_cases_Cumulative_Expenditures__in___" xmlDataType="double"/>
    </xmlCellPr>
  </singleXmlCell>
  <singleXmlCell id="464" xr6:uid="{00000000-000C-0000-FFFF-FFFF2D000000}" r="C41" connectionId="0">
    <xmlCellPr id="1" xr6:uid="{00000000-0010-0000-2D00-000001000000}" uniqueName="1">
      <xmlPr mapId="43" xpath="/ns1:Root/ns1:F2/ns1:TB_HIV__Cumulative_Budget__in___" xmlDataType="double"/>
    </xmlCellPr>
  </singleXmlCell>
  <singleXmlCell id="465" xr6:uid="{00000000-000C-0000-FFFF-FFFF2E000000}" r="D41" connectionId="0">
    <xmlCellPr id="1" xr6:uid="{00000000-0010-0000-2E00-000001000000}" uniqueName="1">
      <xmlPr mapId="43" xpath="/ns1:Root/ns1:F2/ns1:TB_HIV__Cumulative_Expenditures__in___" xmlDataType="double"/>
    </xmlCellPr>
  </singleXmlCell>
  <singleXmlCell id="468" xr6:uid="{00000000-000C-0000-FFFF-FFFF2F000000}" r="C45" connectionId="0">
    <xmlCellPr id="1" xr6:uid="{00000000-0010-0000-2F00-000001000000}" uniqueName="1">
      <xmlPr mapId="43" xpath="/ns1:Root/ns1:F2/ns1:Environ__Community_TB_care__Cumulative_Budget__in___" xmlDataType="double"/>
    </xmlCellPr>
  </singleXmlCell>
  <singleXmlCell id="469" xr6:uid="{00000000-000C-0000-FFFF-FFFF30000000}" r="D45" connectionId="0">
    <xmlCellPr id="1" xr6:uid="{00000000-0010-0000-3000-000001000000}" uniqueName="1">
      <xmlPr mapId="43" xpath="/ns1:Root/ns1:F2/ns1:Environ__Community_TB_care__Cumulative_Expenditures__in___" xmlDataType="double"/>
    </xmlCellPr>
  </singleXmlCell>
  <singleXmlCell id="470" xr6:uid="{00000000-000C-0000-FFFF-FFFF31000000}" r="C46" connectionId="0">
    <xmlCellPr id="1" xr6:uid="{00000000-0010-0000-3100-000001000000}" uniqueName="1">
      <xmlPr mapId="43" xpath="/ns1:Root/ns1:F2/ns1:_Cumulative_Budget__in____1" xmlDataType="string"/>
    </xmlCellPr>
  </singleXmlCell>
  <singleXmlCell id="471" xr6:uid="{00000000-000C-0000-FFFF-FFFF32000000}" r="D46" connectionId="0">
    <xmlCellPr id="1" xr6:uid="{00000000-0010-0000-3200-000001000000}" uniqueName="1">
      <xmlPr mapId="43" xpath="/ns1:Root/ns1:F2/ns1:_Cumulative_Expenditures__in____1" xmlDataType="string"/>
    </xmlCellPr>
  </singleXmlCell>
  <singleXmlCell id="472" xr6:uid="{00000000-000C-0000-FFFF-FFFF33000000}" r="C47" connectionId="0">
    <xmlCellPr id="1" xr6:uid="{00000000-0010-0000-3300-000001000000}" uniqueName="1">
      <xmlPr mapId="43" xpath="/ns1:Root/ns1:F2/ns1:_Cumulative_Budget__in____2" xmlDataType="string"/>
    </xmlCellPr>
  </singleXmlCell>
  <singleXmlCell id="473" xr6:uid="{00000000-000C-0000-FFFF-FFFF34000000}" r="D47" connectionId="0">
    <xmlCellPr id="1" xr6:uid="{00000000-0010-0000-3400-000001000000}" uniqueName="1">
      <xmlPr mapId="43" xpath="/ns1:Root/ns1:F2/ns1:_Cumulative_Expenditures__in____2" xmlDataType="string"/>
    </xmlCellPr>
  </singleXmlCell>
  <singleXmlCell id="474" xr6:uid="{00000000-000C-0000-FFFF-FFFF35000000}" r="C48" connectionId="0">
    <xmlCellPr id="1" xr6:uid="{00000000-0010-0000-3500-000001000000}" uniqueName="1">
      <xmlPr mapId="43" xpath="/ns1:Root/ns1:F2/ns1:_Cumulative_Budget__in___" xmlDataType="string"/>
    </xmlCellPr>
  </singleXmlCell>
  <singleXmlCell id="475" xr6:uid="{00000000-000C-0000-FFFF-FFFF36000000}" r="D48" connectionId="0">
    <xmlCellPr id="1" xr6:uid="{00000000-0010-0000-3600-000001000000}" uniqueName="1">
      <xmlPr mapId="43" xpath="/ns1:Root/ns1:F2/ns1:_Cumulative_Expenditures__in___" xmlDataType="string"/>
    </xmlCellPr>
  </singleXmlCell>
  <singleXmlCell id="476" xr6:uid="{00000000-000C-0000-FFFF-FFFF37000000}" r="C54" connectionId="0">
    <xmlCellPr id="1" xr6:uid="{00000000-0010-0000-3700-000001000000}" uniqueName="1">
      <xmlPr mapId="43" xpath="/ns1:Root/ns1:F3/ns1:Disbursed_by_Global_Fund_Prior_to_reporting_period__in___" xmlDataType="double"/>
    </xmlCellPr>
  </singleXmlCell>
  <singleXmlCell id="477" xr6:uid="{00000000-000C-0000-FFFF-FFFF38000000}" r="D54" connectionId="0">
    <xmlCellPr id="1" xr6:uid="{00000000-0010-0000-3800-000001000000}" uniqueName="1">
      <xmlPr mapId="43" xpath="/ns1:Root/ns1:F3/ns1:Disbursed_by_Global_Fund_Reporting_period__in___" xmlDataType="double"/>
    </xmlCellPr>
  </singleXmlCell>
  <singleXmlCell id="478" xr6:uid="{00000000-000C-0000-FFFF-FFFF39000000}" r="C55" connectionId="0">
    <xmlCellPr id="1" xr6:uid="{00000000-0010-0000-3900-000001000000}" uniqueName="1">
      <xmlPr mapId="43" xpath="/ns1:Root/ns1:F3/ns1:PR_expenditure_and_disbursement_Prior_to_reporting_period__in___" xmlDataType="double"/>
    </xmlCellPr>
  </singleXmlCell>
  <singleXmlCell id="479" xr6:uid="{00000000-000C-0000-FFFF-FFFF3A000000}" r="D55" connectionId="0">
    <xmlCellPr id="1" xr6:uid="{00000000-0010-0000-3A00-000001000000}" uniqueName="1">
      <xmlPr mapId="43" xpath="/ns1:Root/ns1:F3/ns1:PR_expenditure_and_disbursement_Reporting_period__in___" xmlDataType="double"/>
    </xmlCellPr>
  </singleXmlCell>
  <singleXmlCell id="480" xr6:uid="{00000000-000C-0000-FFFF-FFFF3B000000}" r="C56" connectionId="0">
    <xmlCellPr id="1" xr6:uid="{00000000-0010-0000-3B00-000001000000}" uniqueName="1">
      <xmlPr mapId="43" xpath="/ns1:Root/ns1:F3/ns1:Disbursed_to_SRs_Prior_to_reporting_period__in___" xmlDataType="double"/>
    </xmlCellPr>
  </singleXmlCell>
  <singleXmlCell id="481" xr6:uid="{00000000-000C-0000-FFFF-FFFF3C000000}" r="D56" connectionId="0">
    <xmlCellPr id="1" xr6:uid="{00000000-0010-0000-3C00-000001000000}" uniqueName="1">
      <xmlPr mapId="43" xpath="/ns1:Root/ns1:F3/ns1:Disbursed_to_SRs_Reporting_period__in___" xmlDataType="double"/>
    </xmlCellPr>
  </singleXmlCell>
  <singleXmlCell id="482" xr6:uid="{00000000-000C-0000-FFFF-FFFF3D000000}" r="C57" connectionId="0">
    <xmlCellPr id="1" xr6:uid="{00000000-0010-0000-3D00-000001000000}" uniqueName="1">
      <xmlPr mapId="43" xpath="/ns1:Root/ns1:F3/ns1:SR_expenditures_Prior_to_reporting_period__in___" xmlDataType="double"/>
    </xmlCellPr>
  </singleXmlCell>
  <singleXmlCell id="483" xr6:uid="{00000000-000C-0000-FFFF-FFFF3E000000}" r="D57" connectionId="0">
    <xmlCellPr id="1" xr6:uid="{00000000-0010-0000-3E00-000001000000}" uniqueName="1">
      <xmlPr mapId="43" xpath="/ns1:Root/ns1:F3/ns1:SR_expenditures_Reporting_period__in___" xmlDataType="double"/>
    </xmlCellPr>
  </singleXmlCell>
  <singleXmlCell id="484" xr6:uid="{00000000-000C-0000-FFFF-FFFF3F000000}" r="C64" connectionId="0">
    <xmlCellPr id="1" xr6:uid="{00000000-0010-0000-3F00-000001000000}" uniqueName="1">
      <xmlPr mapId="43" xpath="/ns1:Root/ns1:F4/ns1:Days_taken_to_submit_acceptable_PU_DR_to_LFA_Expected__days_" xmlDataType="double"/>
    </xmlCellPr>
  </singleXmlCell>
  <singleXmlCell id="485" xr6:uid="{00000000-000C-0000-FFFF-FFFF40000000}" r="D64" connectionId="0">
    <xmlCellPr id="1" xr6:uid="{00000000-0010-0000-4000-000001000000}" uniqueName="1">
      <xmlPr mapId="43" xpath="/ns1:Root/ns1:F4/ns1:Days_taken_to_submit_acceptable_PU_DR_to_LFA_Actual__days_" xmlDataType="double"/>
    </xmlCellPr>
  </singleXmlCell>
  <singleXmlCell id="486" xr6:uid="{00000000-000C-0000-FFFF-FFFF41000000}" r="C65" connectionId="0">
    <xmlCellPr id="1" xr6:uid="{00000000-0010-0000-4100-000001000000}" uniqueName="1">
      <xmlPr mapId="43" xpath="/ns1:Root/ns1:F4/ns1:Days_taken_for_disbursement_to_reach_PR_Expected__days_" xmlDataType="double"/>
    </xmlCellPr>
  </singleXmlCell>
  <singleXmlCell id="487" xr6:uid="{00000000-000C-0000-FFFF-FFFF42000000}" r="D65" connectionId="0">
    <xmlCellPr id="1" xr6:uid="{00000000-0010-0000-4200-000001000000}" uniqueName="1">
      <xmlPr mapId="43" xpath="/ns1:Root/ns1:F4/ns1:Days_taken_for_disbursement_to_reach_PR_Actual__days_" xmlDataType="double"/>
    </xmlCellPr>
  </singleXmlCell>
  <singleXmlCell id="488" xr6:uid="{00000000-000C-0000-FFFF-FFFF43000000}" r="C66" connectionId="0">
    <xmlCellPr id="1" xr6:uid="{00000000-0010-0000-4300-000001000000}" uniqueName="1">
      <xmlPr mapId="43" xpath="/ns1:Root/ns1:F4/ns1:Days_taken_for_disbursement_to_reach_SRs__Expected__days_" xmlDataType="double"/>
    </xmlCellPr>
  </singleXmlCell>
  <singleXmlCell id="489" xr6:uid="{00000000-000C-0000-FFFF-FFFF44000000}" r="D66" connectionId="0">
    <xmlCellPr id="1" xr6:uid="{00000000-0010-0000-4400-000001000000}" uniqueName="1">
      <xmlPr mapId="43" xpath="/ns1:Root/ns1:F4/ns1:Days_taken_for_disbursement_to_reach_SRs__Actual__days_" xmlDataType="double"/>
    </xmlCellPr>
  </singleXmlCell>
  <singleXmlCell id="490" xr6:uid="{00000000-000C-0000-FFFF-FFFF45000000}" r="B74" connectionId="0">
    <xmlCellPr id="1" xr6:uid="{00000000-0010-0000-4500-000001000000}" uniqueName="1">
      <xmlPr mapId="43" xpath="/ns1:Root/ns1:M1/ns1:Conditions_precedents__CPs__" xmlDataType="string"/>
    </xmlCellPr>
  </singleXmlCell>
  <singleXmlCell id="491" xr6:uid="{00000000-000C-0000-FFFF-FFFF46000000}" r="D74" connectionId="0">
    <xmlCellPr id="1" xr6:uid="{00000000-0010-0000-4600-000001000000}" uniqueName="1">
      <xmlPr mapId="43" xpath="/ns1:Root/ns1:M1/ns1:Conditions_precedents__CPs__Fulfilled" xmlDataType="double"/>
    </xmlCellPr>
  </singleXmlCell>
  <singleXmlCell id="492" xr6:uid="{00000000-000C-0000-FFFF-FFFF47000000}" r="E74" connectionId="0">
    <xmlCellPr id="1" xr6:uid="{00000000-0010-0000-4700-000001000000}" uniqueName="1">
      <xmlPr mapId="43" xpath="/ns1:Root/ns1:M1/ns1:Conditions_precedents__CPs__Not_fulfilled__but_within_deadline" xmlDataType="double"/>
    </xmlCellPr>
  </singleXmlCell>
  <singleXmlCell id="493" xr6:uid="{00000000-000C-0000-FFFF-FFFF48000000}" r="F74" connectionId="0">
    <xmlCellPr id="1" xr6:uid="{00000000-0010-0000-4800-000001000000}" uniqueName="1">
      <xmlPr mapId="43" xpath="/ns1:Root/ns1:M1/ns1:Conditions_precedents__CPs__Not_fulfilled__and_past_the_deadline" xmlDataType="double"/>
    </xmlCellPr>
  </singleXmlCell>
  <singleXmlCell id="494" xr6:uid="{00000000-000C-0000-FFFF-FFFF49000000}" r="B75" connectionId="0">
    <xmlCellPr id="1" xr6:uid="{00000000-0010-0000-4900-000001000000}" uniqueName="1">
      <xmlPr mapId="43" xpath="/ns1:Root/ns1:M1/ns1:Time_Bound_Actions__TBAs__" xmlDataType="string"/>
    </xmlCellPr>
  </singleXmlCell>
  <singleXmlCell id="495" xr6:uid="{00000000-000C-0000-FFFF-FFFF4A000000}" r="D75" connectionId="0">
    <xmlCellPr id="1" xr6:uid="{00000000-0010-0000-4A00-000001000000}" uniqueName="1">
      <xmlPr mapId="43" xpath="/ns1:Root/ns1:M1/ns1:Time_Bound_Actions__TBAs__Fulfilled" xmlDataType="double"/>
    </xmlCellPr>
  </singleXmlCell>
  <singleXmlCell id="496" xr6:uid="{00000000-000C-0000-FFFF-FFFF4B000000}" r="E75" connectionId="0">
    <xmlCellPr id="1" xr6:uid="{00000000-0010-0000-4B00-000001000000}" uniqueName="1">
      <xmlPr mapId="43" xpath="/ns1:Root/ns1:M1/ns1:Time_Bound_Actions__TBAs__Not_fulfilled__but_within_deadline" xmlDataType="string"/>
    </xmlCellPr>
  </singleXmlCell>
  <singleXmlCell id="497" xr6:uid="{00000000-000C-0000-FFFF-FFFF4C000000}" r="F75" connectionId="0">
    <xmlCellPr id="1" xr6:uid="{00000000-0010-0000-4C00-000001000000}" uniqueName="1">
      <xmlPr mapId="43" xpath="/ns1:Root/ns1:M1/ns1:Time_Bound_Actions__TBAs__Not_fulfilled__and_past_the_deadline" xmlDataType="double"/>
    </xmlCellPr>
  </singleXmlCell>
  <singleXmlCell id="498" xr6:uid="{00000000-000C-0000-FFFF-FFFF4D000000}" r="C81" connectionId="0">
    <xmlCellPr id="1" xr6:uid="{00000000-0010-0000-4D00-000001000000}" uniqueName="1">
      <xmlPr mapId="43" xpath="/ns1:Root/ns1:M2/ns1:PMU_Planned" xmlDataType="double"/>
    </xmlCellPr>
  </singleXmlCell>
  <singleXmlCell id="499" xr6:uid="{00000000-000C-0000-FFFF-FFFF4E000000}" r="D81" connectionId="0">
    <xmlCellPr id="1" xr6:uid="{00000000-0010-0000-4E00-000001000000}" uniqueName="1">
      <xmlPr mapId="43" xpath="/ns1:Root/ns1:M2/ns1:PMU_Filled" xmlDataType="double"/>
    </xmlCellPr>
  </singleXmlCell>
  <singleXmlCell id="500" xr6:uid="{00000000-000C-0000-FFFF-FFFF4F000000}" r="C86" connectionId="0">
    <xmlCellPr id="1" xr6:uid="{00000000-0010-0000-4F00-000001000000}" uniqueName="1">
      <xmlPr mapId="43" xpath="/ns1:Root/ns1:M3/ns1:SRs_Identified" xmlDataType="double"/>
    </xmlCellPr>
  </singleXmlCell>
  <singleXmlCell id="501" xr6:uid="{00000000-000C-0000-FFFF-FFFF50000000}" r="D86" connectionId="0">
    <xmlCellPr id="1" xr6:uid="{00000000-0010-0000-5000-000001000000}" uniqueName="1">
      <xmlPr mapId="43" xpath="/ns1:Root/ns1:M3/ns1:SRs_Assessed" xmlDataType="double"/>
    </xmlCellPr>
  </singleXmlCell>
  <singleXmlCell id="502" xr6:uid="{00000000-000C-0000-FFFF-FFFF51000000}" r="E86" connectionId="0">
    <xmlCellPr id="1" xr6:uid="{00000000-0010-0000-5100-000001000000}" uniqueName="1">
      <xmlPr mapId="43" xpath="/ns1:Root/ns1:M3/ns1:SRs_Approved" xmlDataType="double"/>
    </xmlCellPr>
  </singleXmlCell>
  <singleXmlCell id="503" xr6:uid="{00000000-000C-0000-FFFF-FFFF52000000}" r="F86" connectionId="0">
    <xmlCellPr id="1" xr6:uid="{00000000-0010-0000-5200-000001000000}" uniqueName="1">
      <xmlPr mapId="43" xpath="/ns1:Root/ns1:M3/ns1:SRs_Signed" xmlDataType="double"/>
    </xmlCellPr>
  </singleXmlCell>
  <singleXmlCell id="504" xr6:uid="{00000000-000C-0000-FFFF-FFFF53000000}" r="G86" connectionId="0">
    <xmlCellPr id="1" xr6:uid="{00000000-0010-0000-5300-000001000000}" uniqueName="1">
      <xmlPr mapId="43" xpath="/ns1:Root/ns1:M3/ns1:SRs_Receiving_Funding" xmlDataType="double"/>
    </xmlCellPr>
  </singleXmlCell>
  <singleXmlCell id="506" xr6:uid="{00000000-000C-0000-FFFF-FFFF54000000}" r="C91" connectionId="0">
    <xmlCellPr id="1" xr6:uid="{00000000-0010-0000-5400-000001000000}" uniqueName="1">
      <xmlPr mapId="43" xpath="/ns1:Root/ns1:M4/ns1:SSR_to_SR__IR_____Expected" xmlDataType="string"/>
    </xmlCellPr>
  </singleXmlCell>
  <singleXmlCell id="507" xr6:uid="{00000000-000C-0000-FFFF-FFFF55000000}" r="D91" connectionId="0">
    <xmlCellPr id="1" xr6:uid="{00000000-0010-0000-5500-000001000000}" uniqueName="1">
      <xmlPr mapId="43" xpath="/ns1:Root/ns1:M4/ns1:SSR_to_SR__IR____Received" xmlDataType="string"/>
    </xmlCellPr>
  </singleXmlCell>
  <singleXmlCell id="509" xr6:uid="{00000000-000C-0000-FFFF-FFFF56000000}" r="C92" connectionId="0">
    <xmlCellPr id="1" xr6:uid="{00000000-0010-0000-5600-000001000000}" uniqueName="1">
      <xmlPr mapId="43" xpath="/ns1:Root/ns1:M4/ns1:SRs__IRs__to_PR____Expected" xmlDataType="double"/>
    </xmlCellPr>
  </singleXmlCell>
  <singleXmlCell id="510" xr6:uid="{00000000-000C-0000-FFFF-FFFF57000000}" r="D92" connectionId="0">
    <xmlCellPr id="1" xr6:uid="{00000000-0010-0000-5700-000001000000}" uniqueName="1">
      <xmlPr mapId="43" xpath="/ns1:Root/ns1:M4/ns1:SRs__IRs__to_PR___Received" xmlDataType="double"/>
    </xmlCellPr>
  </singleXmlCell>
  <singleXmlCell id="511" xr6:uid="{00000000-000C-0000-FFFF-FFFF58000000}" r="C97" connectionId="0">
    <xmlCellPr id="1" xr6:uid="{00000000-0010-0000-5800-000001000000}" uniqueName="1">
      <xmlPr mapId="43" xpath="/ns1:Root/ns1:M5/ns1:Budget_Approved__P1" xmlDataType="double"/>
    </xmlCellPr>
  </singleXmlCell>
  <singleXmlCell id="512" xr6:uid="{00000000-000C-0000-FFFF-FFFF59000000}" r="D97" connectionId="0">
    <xmlCellPr id="1" xr6:uid="{00000000-0010-0000-5900-000001000000}" uniqueName="1">
      <xmlPr mapId="43" xpath="/ns1:Root/ns1:M5/ns1:Budget_Approved__P2" xmlDataType="double"/>
    </xmlCellPr>
  </singleXmlCell>
  <singleXmlCell id="513" xr6:uid="{00000000-000C-0000-FFFF-FFFF5A000000}" r="E97" connectionId="0">
    <xmlCellPr id="1" xr6:uid="{00000000-0010-0000-5A00-000001000000}" uniqueName="1">
      <xmlPr mapId="43" xpath="/ns1:Root/ns1:M5/ns1:Budget_Approved__P3" xmlDataType="double"/>
    </xmlCellPr>
  </singleXmlCell>
  <singleXmlCell id="514" xr6:uid="{00000000-000C-0000-FFFF-FFFF5B000000}" r="F97" connectionId="0">
    <xmlCellPr id="1" xr6:uid="{00000000-0010-0000-5B00-000001000000}" uniqueName="1">
      <xmlPr mapId="43" xpath="/ns1:Root/ns1:M5/ns1:Budget_Approved__P4" xmlDataType="double"/>
    </xmlCellPr>
  </singleXmlCell>
  <singleXmlCell id="515" xr6:uid="{00000000-000C-0000-FFFF-FFFF5C000000}" r="G97" connectionId="0">
    <xmlCellPr id="1" xr6:uid="{00000000-0010-0000-5C00-000001000000}" uniqueName="1">
      <xmlPr mapId="43" xpath="/ns1:Root/ns1:M5/ns1:Budget_Approved__P5" xmlDataType="double"/>
    </xmlCellPr>
  </singleXmlCell>
  <singleXmlCell id="516" xr6:uid="{00000000-000C-0000-FFFF-FFFF5D000000}" r="H97" connectionId="0">
    <xmlCellPr id="1" xr6:uid="{00000000-0010-0000-5D00-000001000000}" uniqueName="1">
      <xmlPr mapId="43" xpath="/ns1:Root/ns1:M5/ns1:Budget_Approved__P6" xmlDataType="double"/>
    </xmlCellPr>
  </singleXmlCell>
  <singleXmlCell id="517" xr6:uid="{00000000-000C-0000-FFFF-FFFF5E000000}" r="I97" connectionId="0">
    <xmlCellPr id="1" xr6:uid="{00000000-0010-0000-5E00-000001000000}" uniqueName="1">
      <xmlPr mapId="43" xpath="/ns1:Root/ns1:M5/ns1:Budget_Approved__P7" xmlDataType="double"/>
    </xmlCellPr>
  </singleXmlCell>
  <singleXmlCell id="518" xr6:uid="{00000000-000C-0000-FFFF-FFFF5F000000}" r="J97" connectionId="0">
    <xmlCellPr id="1" xr6:uid="{00000000-0010-0000-5F00-000001000000}" uniqueName="1">
      <xmlPr mapId="43" xpath="/ns1:Root/ns1:M5/ns1:Budget_Approved__P8" xmlDataType="double"/>
    </xmlCellPr>
  </singleXmlCell>
  <singleXmlCell id="519" xr6:uid="{00000000-000C-0000-FFFF-FFFF60000000}" r="K97" connectionId="0">
    <xmlCellPr id="1" xr6:uid="{00000000-0010-0000-6000-000001000000}" uniqueName="1">
      <xmlPr mapId="43" xpath="/ns1:Root/ns1:M5/ns1:Budget_Approved__P9" xmlDataType="double"/>
    </xmlCellPr>
  </singleXmlCell>
  <singleXmlCell id="520" xr6:uid="{00000000-000C-0000-FFFF-FFFF61000000}" r="L97" connectionId="0">
    <xmlCellPr id="1" xr6:uid="{00000000-0010-0000-6100-000001000000}" uniqueName="1">
      <xmlPr mapId="43" xpath="/ns1:Root/ns1:M5/ns1:Budget_Approved__P10" xmlDataType="double"/>
    </xmlCellPr>
  </singleXmlCell>
  <singleXmlCell id="521" xr6:uid="{00000000-000C-0000-FFFF-FFFF62000000}" r="M97" connectionId="0">
    <xmlCellPr id="1" xr6:uid="{00000000-0010-0000-6200-000001000000}" uniqueName="1">
      <xmlPr mapId="43" xpath="/ns1:Root/ns1:M5/ns1:Budget_Approved__P11" xmlDataType="double"/>
    </xmlCellPr>
  </singleXmlCell>
  <singleXmlCell id="522" xr6:uid="{00000000-000C-0000-FFFF-FFFF63000000}" r="N97" connectionId="0">
    <xmlCellPr id="1" xr6:uid="{00000000-0010-0000-6300-000001000000}" uniqueName="1">
      <xmlPr mapId="43" xpath="/ns1:Root/ns1:M5/ns1:Budget_Approved__P12" xmlDataType="double"/>
    </xmlCellPr>
  </singleXmlCell>
  <singleXmlCell id="523" xr6:uid="{00000000-000C-0000-FFFF-FFFF64000000}" r="C98" connectionId="0">
    <xmlCellPr id="1" xr6:uid="{00000000-0010-0000-6400-000001000000}" uniqueName="1">
      <xmlPr mapId="43" xpath="/ns1:Root/ns1:M5/ns1:Obligations_P1" xmlDataType="double"/>
    </xmlCellPr>
  </singleXmlCell>
  <singleXmlCell id="524" xr6:uid="{00000000-000C-0000-FFFF-FFFF65000000}" r="D98" connectionId="0">
    <xmlCellPr id="1" xr6:uid="{00000000-0010-0000-6500-000001000000}" uniqueName="1">
      <xmlPr mapId="43" xpath="/ns1:Root/ns1:M5/ns1:Obligations_P2" xmlDataType="double"/>
    </xmlCellPr>
  </singleXmlCell>
  <singleXmlCell id="525" xr6:uid="{00000000-000C-0000-FFFF-FFFF66000000}" r="E98" connectionId="0">
    <xmlCellPr id="1" xr6:uid="{00000000-0010-0000-6600-000001000000}" uniqueName="1">
      <xmlPr mapId="43" xpath="/ns1:Root/ns1:M5/ns1:Obligations_P3" xmlDataType="double"/>
    </xmlCellPr>
  </singleXmlCell>
  <singleXmlCell id="526" xr6:uid="{00000000-000C-0000-FFFF-FFFF67000000}" r="F98" connectionId="0">
    <xmlCellPr id="1" xr6:uid="{00000000-0010-0000-6700-000001000000}" uniqueName="1">
      <xmlPr mapId="43" xpath="/ns1:Root/ns1:M5/ns1:Obligations_P4" xmlDataType="double"/>
    </xmlCellPr>
  </singleXmlCell>
  <singleXmlCell id="527" xr6:uid="{00000000-000C-0000-FFFF-FFFF68000000}" r="G98" connectionId="0">
    <xmlCellPr id="1" xr6:uid="{00000000-0010-0000-6800-000001000000}" uniqueName="1">
      <xmlPr mapId="43" xpath="/ns1:Root/ns1:M5/ns1:Obligations_P5" xmlDataType="double"/>
    </xmlCellPr>
  </singleXmlCell>
  <singleXmlCell id="528" xr6:uid="{00000000-000C-0000-FFFF-FFFF69000000}" r="H98" connectionId="0">
    <xmlCellPr id="1" xr6:uid="{00000000-0010-0000-6900-000001000000}" uniqueName="1">
      <xmlPr mapId="43" xpath="/ns1:Root/ns1:M5/ns1:Obligations_P6" xmlDataType="double"/>
    </xmlCellPr>
  </singleXmlCell>
  <singleXmlCell id="529" xr6:uid="{00000000-000C-0000-FFFF-FFFF6A000000}" r="I98" connectionId="0">
    <xmlCellPr id="1" xr6:uid="{00000000-0010-0000-6A00-000001000000}" uniqueName="1">
      <xmlPr mapId="43" xpath="/ns1:Root/ns1:M5/ns1:Obligations_P7" xmlDataType="double"/>
    </xmlCellPr>
  </singleXmlCell>
  <singleXmlCell id="530" xr6:uid="{00000000-000C-0000-FFFF-FFFF6B000000}" r="J98" connectionId="0">
    <xmlCellPr id="1" xr6:uid="{00000000-0010-0000-6B00-000001000000}" uniqueName="1">
      <xmlPr mapId="43" xpath="/ns1:Root/ns1:M5/ns1:Obligations_P8" xmlDataType="double"/>
    </xmlCellPr>
  </singleXmlCell>
  <singleXmlCell id="531" xr6:uid="{00000000-000C-0000-FFFF-FFFF6C000000}" r="K98" connectionId="0">
    <xmlCellPr id="1" xr6:uid="{00000000-0010-0000-6C00-000001000000}" uniqueName="1">
      <xmlPr mapId="43" xpath="/ns1:Root/ns1:M5/ns1:Obligations_P9" xmlDataType="double"/>
    </xmlCellPr>
  </singleXmlCell>
  <singleXmlCell id="532" xr6:uid="{00000000-000C-0000-FFFF-FFFF6D000000}" r="L98" connectionId="0">
    <xmlCellPr id="1" xr6:uid="{00000000-0010-0000-6D00-000001000000}" uniqueName="1">
      <xmlPr mapId="43" xpath="/ns1:Root/ns1:M5/ns1:Obligations_P10" xmlDataType="double"/>
    </xmlCellPr>
  </singleXmlCell>
  <singleXmlCell id="533" xr6:uid="{00000000-000C-0000-FFFF-FFFF6E000000}" r="M98" connectionId="0">
    <xmlCellPr id="1" xr6:uid="{00000000-0010-0000-6E00-000001000000}" uniqueName="1">
      <xmlPr mapId="43" xpath="/ns1:Root/ns1:M5/ns1:Obligations_P11" xmlDataType="double"/>
    </xmlCellPr>
  </singleXmlCell>
  <singleXmlCell id="534" xr6:uid="{00000000-000C-0000-FFFF-FFFF6F000000}" r="N98" connectionId="0">
    <xmlCellPr id="1" xr6:uid="{00000000-0010-0000-6F00-000001000000}" uniqueName="1">
      <xmlPr mapId="43" xpath="/ns1:Root/ns1:M5/ns1:Obligations_P12" xmlDataType="double"/>
    </xmlCellPr>
  </singleXmlCell>
  <singleXmlCell id="535" xr6:uid="{00000000-000C-0000-FFFF-FFFF70000000}" r="C99" connectionId="0">
    <xmlCellPr id="1" xr6:uid="{00000000-0010-0000-7000-000001000000}" uniqueName="1">
      <xmlPr mapId="43" xpath="/ns1:Root/ns1:M5/ns1:Expenditures_P1" xmlDataType="double"/>
    </xmlCellPr>
  </singleXmlCell>
  <singleXmlCell id="536" xr6:uid="{00000000-000C-0000-FFFF-FFFF71000000}" r="D99" connectionId="0">
    <xmlCellPr id="1" xr6:uid="{00000000-0010-0000-7100-000001000000}" uniqueName="1">
      <xmlPr mapId="43" xpath="/ns1:Root/ns1:M5/ns1:Expenditures_P2" xmlDataType="double"/>
    </xmlCellPr>
  </singleXmlCell>
  <singleXmlCell id="537" xr6:uid="{00000000-000C-0000-FFFF-FFFF72000000}" r="E99" connectionId="0">
    <xmlCellPr id="1" xr6:uid="{00000000-0010-0000-7200-000001000000}" uniqueName="1">
      <xmlPr mapId="43" xpath="/ns1:Root/ns1:M5/ns1:Expenditures_P3" xmlDataType="double"/>
    </xmlCellPr>
  </singleXmlCell>
  <singleXmlCell id="538" xr6:uid="{00000000-000C-0000-FFFF-FFFF73000000}" r="F99" connectionId="0">
    <xmlCellPr id="1" xr6:uid="{00000000-0010-0000-7300-000001000000}" uniqueName="1">
      <xmlPr mapId="43" xpath="/ns1:Root/ns1:M5/ns1:Expenditures_P4" xmlDataType="double"/>
    </xmlCellPr>
  </singleXmlCell>
  <singleXmlCell id="539" xr6:uid="{00000000-000C-0000-FFFF-FFFF74000000}" r="G99" connectionId="0">
    <xmlCellPr id="1" xr6:uid="{00000000-0010-0000-7400-000001000000}" uniqueName="1">
      <xmlPr mapId="43" xpath="/ns1:Root/ns1:M5/ns1:Expenditures_P5" xmlDataType="double"/>
    </xmlCellPr>
  </singleXmlCell>
  <singleXmlCell id="540" xr6:uid="{00000000-000C-0000-FFFF-FFFF75000000}" r="H99" connectionId="0">
    <xmlCellPr id="1" xr6:uid="{00000000-0010-0000-7500-000001000000}" uniqueName="1">
      <xmlPr mapId="43" xpath="/ns1:Root/ns1:M5/ns1:Expenditures_P6" xmlDataType="double"/>
    </xmlCellPr>
  </singleXmlCell>
  <singleXmlCell id="541" xr6:uid="{00000000-000C-0000-FFFF-FFFF76000000}" r="I99" connectionId="0">
    <xmlCellPr id="1" xr6:uid="{00000000-0010-0000-7600-000001000000}" uniqueName="1">
      <xmlPr mapId="43" xpath="/ns1:Root/ns1:M5/ns1:Expenditures_P7" xmlDataType="double"/>
    </xmlCellPr>
  </singleXmlCell>
  <singleXmlCell id="542" xr6:uid="{00000000-000C-0000-FFFF-FFFF77000000}" r="J99" connectionId="0">
    <xmlCellPr id="1" xr6:uid="{00000000-0010-0000-7700-000001000000}" uniqueName="1">
      <xmlPr mapId="43" xpath="/ns1:Root/ns1:M5/ns1:Expenditures_P8" xmlDataType="double"/>
    </xmlCellPr>
  </singleXmlCell>
  <singleXmlCell id="543" xr6:uid="{00000000-000C-0000-FFFF-FFFF78000000}" r="K99" connectionId="0">
    <xmlCellPr id="1" xr6:uid="{00000000-0010-0000-7800-000001000000}" uniqueName="1">
      <xmlPr mapId="43" xpath="/ns1:Root/ns1:M5/ns1:Expenditures_P9" xmlDataType="double"/>
    </xmlCellPr>
  </singleXmlCell>
  <singleXmlCell id="544" xr6:uid="{00000000-000C-0000-FFFF-FFFF79000000}" r="L99" connectionId="0">
    <xmlCellPr id="1" xr6:uid="{00000000-0010-0000-7900-000001000000}" uniqueName="1">
      <xmlPr mapId="43" xpath="/ns1:Root/ns1:M5/ns1:Expenditures_P10" xmlDataType="double"/>
    </xmlCellPr>
  </singleXmlCell>
  <singleXmlCell id="545" xr6:uid="{00000000-000C-0000-FFFF-FFFF7A000000}" r="M99" connectionId="0">
    <xmlCellPr id="1" xr6:uid="{00000000-0010-0000-7A00-000001000000}" uniqueName="1">
      <xmlPr mapId="43" xpath="/ns1:Root/ns1:M5/ns1:Expenditures_P11" xmlDataType="double"/>
    </xmlCellPr>
  </singleXmlCell>
  <singleXmlCell id="546" xr6:uid="{00000000-000C-0000-FFFF-FFFF7B000000}" r="N99" connectionId="0">
    <xmlCellPr id="1" xr6:uid="{00000000-0010-0000-7B00-000001000000}" uniqueName="1">
      <xmlPr mapId="43" xpath="/ns1:Root/ns1:M5/ns1:Expenditures_P12" xmlDataType="double"/>
    </xmlCellPr>
  </singleXmlCell>
  <singleXmlCell id="547" xr6:uid="{00000000-000C-0000-FFFF-FFFF7C000000}" r="C110" connectionId="0">
    <xmlCellPr id="1" xr6:uid="{00000000-0010-0000-7C00-000001000000}" uniqueName="1">
      <xmlPr mapId="43" xpath="/ns1:Root/ns1:M6/ns1:HIV___AIDS_Products" xmlDataType="string"/>
    </xmlCellPr>
  </singleXmlCell>
  <singleXmlCell id="548" xr6:uid="{00000000-000C-0000-FFFF-FFFF7D000000}" r="D110" connectionId="0">
    <xmlCellPr id="1" xr6:uid="{00000000-0010-0000-7D00-000001000000}" uniqueName="1">
      <xmlPr mapId="43" xpath="/ns1:Root/ns1:M6/ns1:HIV___AIDS__1__Number_of_tablets_per_patient_per_day__Review_country_treatment_guidelines_" xmlDataType="double"/>
    </xmlCellPr>
  </singleXmlCell>
  <singleXmlCell id="549" xr6:uid="{00000000-000C-0000-FFFF-FFFF7E000000}" r="F110" connectionId="0">
    <xmlCellPr id="1" xr6:uid="{00000000-0010-0000-7E00-000001000000}" uniqueName="1">
      <xmlPr mapId="43" xpath="/ns1:Root/ns1:M6/ns1:HIV___AIDS__3__Total_patients_in_treatment" xmlDataType="double"/>
    </xmlCellPr>
  </singleXmlCell>
  <singleXmlCell id="550" xr6:uid="{00000000-000C-0000-FFFF-FFFF7F000000}" r="H110" connectionId="0">
    <xmlCellPr id="1" xr6:uid="{00000000-0010-0000-7F00-000001000000}" uniqueName="1">
      <xmlPr mapId="43" xpath="/ns1:Root/ns1:M6/ns1:HIV___AIDS__5__Current_stock_in_central_warehouse__that_does_not_expire_within_the_next_3_months_" xmlDataType="double"/>
    </xmlCellPr>
  </singleXmlCell>
  <singleXmlCell id="551" xr6:uid="{00000000-000C-0000-FFFF-FFFF80000000}" r="J110" connectionId="0">
    <xmlCellPr id="1" xr6:uid="{00000000-0010-0000-8000-000001000000}" uniqueName="1">
      <xmlPr mapId="43" xpath="/ns1:Root/ns1:M6/ns1:HIV___AIDS__7__Level_of_safety_stock__expressed_in_months_and_defined_by_country__" xmlDataType="double"/>
    </xmlCellPr>
  </singleXmlCell>
  <singleXmlCell id="552" xr6:uid="{00000000-000C-0000-FFFF-FFFF81000000}" r="C111" connectionId="0">
    <xmlCellPr id="1" xr6:uid="{00000000-0010-0000-8100-000001000000}" uniqueName="1">
      <xmlPr mapId="43" xpath="/ns1:Root/ns1:M6/ns1:_Products_1" xmlDataType="string"/>
    </xmlCellPr>
  </singleXmlCell>
  <singleXmlCell id="553" xr6:uid="{00000000-000C-0000-FFFF-FFFF82000000}" r="D111" connectionId="0">
    <xmlCellPr id="1" xr6:uid="{00000000-0010-0000-8200-000001000000}" uniqueName="1">
      <xmlPr mapId="43" xpath="/ns1:Root/ns1:M6/ns1:__1__Number_of_tablets_per_patient_per_day__Review_country_treatment_guidelines__1" xmlDataType="double"/>
    </xmlCellPr>
  </singleXmlCell>
  <singleXmlCell id="554" xr6:uid="{00000000-000C-0000-FFFF-FFFF83000000}" r="F111" connectionId="0">
    <xmlCellPr id="1" xr6:uid="{00000000-0010-0000-8300-000001000000}" uniqueName="1">
      <xmlPr mapId="43" xpath="/ns1:Root/ns1:M6/ns1:__3__Total_patients_in_treatment_1" xmlDataType="double"/>
    </xmlCellPr>
  </singleXmlCell>
  <singleXmlCell id="555" xr6:uid="{00000000-000C-0000-FFFF-FFFF84000000}" r="H111" connectionId="0">
    <xmlCellPr id="1" xr6:uid="{00000000-0010-0000-8400-000001000000}" uniqueName="1">
      <xmlPr mapId="43" xpath="/ns1:Root/ns1:M6/ns1:__5__Current_stock_in_central_warehouse__that_does_not_expire_within_the_next_3_months__1" xmlDataType="double"/>
    </xmlCellPr>
  </singleXmlCell>
  <singleXmlCell id="556" xr6:uid="{00000000-000C-0000-FFFF-FFFF85000000}" r="J111" connectionId="0">
    <xmlCellPr id="1" xr6:uid="{00000000-0010-0000-8500-000001000000}" uniqueName="1">
      <xmlPr mapId="43" xpath="/ns1:Root/ns1:M6/ns1:__7__Level_of_safety_stock__expressed_in_months_and_defined_by_country___1" xmlDataType="double"/>
    </xmlCellPr>
  </singleXmlCell>
  <singleXmlCell id="557" xr6:uid="{00000000-000C-0000-FFFF-FFFF86000000}" r="C112" connectionId="0">
    <xmlCellPr id="1" xr6:uid="{00000000-0010-0000-8600-000001000000}" uniqueName="1">
      <xmlPr mapId="43" xpath="/ns1:Root/ns1:M6/ns1:_Products_2" xmlDataType="string"/>
    </xmlCellPr>
  </singleXmlCell>
  <singleXmlCell id="558" xr6:uid="{00000000-000C-0000-FFFF-FFFF87000000}" r="D112" connectionId="0">
    <xmlCellPr id="1" xr6:uid="{00000000-0010-0000-8700-000001000000}" uniqueName="1">
      <xmlPr mapId="43" xpath="/ns1:Root/ns1:M6/ns1:__1__Number_of_tablets_per_patient_per_day__Review_country_treatment_guidelines__2" xmlDataType="double"/>
    </xmlCellPr>
  </singleXmlCell>
  <singleXmlCell id="559" xr6:uid="{00000000-000C-0000-FFFF-FFFF88000000}" r="F112" connectionId="0">
    <xmlCellPr id="1" xr6:uid="{00000000-0010-0000-8800-000001000000}" uniqueName="1">
      <xmlPr mapId="43" xpath="/ns1:Root/ns1:M6/ns1:__3__Total_patients_in_treatment_2" xmlDataType="double"/>
    </xmlCellPr>
  </singleXmlCell>
  <singleXmlCell id="560" xr6:uid="{00000000-000C-0000-FFFF-FFFF89000000}" r="H112" connectionId="0">
    <xmlCellPr id="1" xr6:uid="{00000000-0010-0000-8900-000001000000}" uniqueName="1">
      <xmlPr mapId="43" xpath="/ns1:Root/ns1:M6/ns1:__5__Current_stock_in_central_warehouse__that_does_not_expire_within_the_next_3_months__2" xmlDataType="double"/>
    </xmlCellPr>
  </singleXmlCell>
  <singleXmlCell id="561" xr6:uid="{00000000-000C-0000-FFFF-FFFF8A000000}" r="J112" connectionId="0">
    <xmlCellPr id="1" xr6:uid="{00000000-0010-0000-8A00-000001000000}" uniqueName="1">
      <xmlPr mapId="43" xpath="/ns1:Root/ns1:M6/ns1:__7__Level_of_safety_stock__expressed_in_months_and_defined_by_country___2" xmlDataType="double"/>
    </xmlCellPr>
  </singleXmlCell>
  <singleXmlCell id="562" xr6:uid="{00000000-000C-0000-FFFF-FFFF8B000000}" r="C113" connectionId="0">
    <xmlCellPr id="1" xr6:uid="{00000000-0010-0000-8B00-000001000000}" uniqueName="1">
      <xmlPr mapId="43" xpath="/ns1:Root/ns1:M6/ns1:_Products" xmlDataType="string"/>
    </xmlCellPr>
  </singleXmlCell>
  <singleXmlCell id="563" xr6:uid="{00000000-000C-0000-FFFF-FFFF8C000000}" r="D113" connectionId="0">
    <xmlCellPr id="1" xr6:uid="{00000000-0010-0000-8C00-000001000000}" uniqueName="1">
      <xmlPr mapId="43" xpath="/ns1:Root/ns1:M6/ns1:__1__Number_of_tablets_per_patient_per_day__Review_country_treatment_guidelines_" xmlDataType="double"/>
    </xmlCellPr>
  </singleXmlCell>
  <singleXmlCell id="564" xr6:uid="{00000000-000C-0000-FFFF-FFFF8D000000}" r="F113" connectionId="0">
    <xmlCellPr id="1" xr6:uid="{00000000-0010-0000-8D00-000001000000}" uniqueName="1">
      <xmlPr mapId="43" xpath="/ns1:Root/ns1:M6/ns1:__3__Total_patients_in_treatment" xmlDataType="double"/>
    </xmlCellPr>
  </singleXmlCell>
  <singleXmlCell id="565" xr6:uid="{00000000-000C-0000-FFFF-FFFF8E000000}" r="H113" connectionId="0">
    <xmlCellPr id="1" xr6:uid="{00000000-0010-0000-8E00-000001000000}" uniqueName="1">
      <xmlPr mapId="43" xpath="/ns1:Root/ns1:M6/ns1:__5__Current_stock_in_central_warehouse__that_does_not_expire_within_the_next_3_months_" xmlDataType="double"/>
    </xmlCellPr>
  </singleXmlCell>
  <singleXmlCell id="566" xr6:uid="{00000000-000C-0000-FFFF-FFFF8F000000}" r="J113" connectionId="0">
    <xmlCellPr id="1" xr6:uid="{00000000-0010-0000-8F00-000001000000}" uniqueName="1">
      <xmlPr mapId="43" xpath="/ns1:Root/ns1:M6/ns1:__7__Level_of_safety_stock__expressed_in_months_and_defined_by_country__" xmlDataType="double"/>
    </xmlCellPr>
  </singleXmlCell>
  <singleXmlCell id="567" xr6:uid="{00000000-000C-0000-FFFF-FFFF90000000}" r="H119" connectionId="0">
    <xmlCellPr id="1" xr6:uid="{00000000-0010-0000-9000-000001000000}" uniqueName="1">
      <xmlPr mapId="43" xpath="/ns1:Root/ns1:Prog/ns1:Target_P1_1" xmlDataType="double"/>
    </xmlCellPr>
  </singleXmlCell>
  <singleXmlCell id="568" xr6:uid="{00000000-000C-0000-FFFF-FFFF91000000}" r="I119" connectionId="0">
    <xmlCellPr id="1" xr6:uid="{00000000-0010-0000-9100-000001000000}" uniqueName="1">
      <xmlPr mapId="43" xpath="/ns1:Root/ns1:Prog/ns1:Target_P2_1" xmlDataType="double"/>
    </xmlCellPr>
  </singleXmlCell>
  <singleXmlCell id="569" xr6:uid="{00000000-000C-0000-FFFF-FFFF92000000}" r="J119" connectionId="0">
    <xmlCellPr id="1" xr6:uid="{00000000-0010-0000-9200-000001000000}" uniqueName="1">
      <xmlPr mapId="43" xpath="/ns1:Root/ns1:Prog/ns1:Target_P3_1" xmlDataType="double"/>
    </xmlCellPr>
  </singleXmlCell>
  <singleXmlCell id="570" xr6:uid="{00000000-000C-0000-FFFF-FFFF93000000}" r="K119" connectionId="0">
    <xmlCellPr id="1" xr6:uid="{00000000-0010-0000-9300-000001000000}" uniqueName="1">
      <xmlPr mapId="43" xpath="/ns1:Root/ns1:Prog/ns1:Target_P4_1" xmlDataType="double"/>
    </xmlCellPr>
  </singleXmlCell>
  <singleXmlCell id="571" xr6:uid="{00000000-000C-0000-FFFF-FFFF94000000}" r="L119" connectionId="0">
    <xmlCellPr id="1" xr6:uid="{00000000-0010-0000-9400-000001000000}" uniqueName="1">
      <xmlPr mapId="43" xpath="/ns1:Root/ns1:Prog/ns1:Target_P5_1" xmlDataType="double"/>
    </xmlCellPr>
  </singleXmlCell>
  <singleXmlCell id="572" xr6:uid="{00000000-000C-0000-FFFF-FFFF95000000}" r="M119" connectionId="0">
    <xmlCellPr id="1" xr6:uid="{00000000-0010-0000-9500-000001000000}" uniqueName="1">
      <xmlPr mapId="43" xpath="/ns1:Root/ns1:Prog/ns1:Target_P6_1" xmlDataType="double"/>
    </xmlCellPr>
  </singleXmlCell>
  <singleXmlCell id="573" xr6:uid="{00000000-000C-0000-FFFF-FFFF96000000}" r="N119" connectionId="0">
    <xmlCellPr id="1" xr6:uid="{00000000-0010-0000-9600-000001000000}" uniqueName="1">
      <xmlPr mapId="43" xpath="/ns1:Root/ns1:Prog/ns1:Target_P7_1" xmlDataType="double"/>
    </xmlCellPr>
  </singleXmlCell>
  <singleXmlCell id="574" xr6:uid="{00000000-000C-0000-FFFF-FFFF97000000}" r="O119" connectionId="0">
    <xmlCellPr id="1" xr6:uid="{00000000-0010-0000-9700-000001000000}" uniqueName="1">
      <xmlPr mapId="43" xpath="/ns1:Root/ns1:Prog/ns1:Target_P8_1" xmlDataType="double"/>
    </xmlCellPr>
  </singleXmlCell>
  <singleXmlCell id="575" xr6:uid="{00000000-000C-0000-FFFF-FFFF98000000}" r="P119" connectionId="0">
    <xmlCellPr id="1" xr6:uid="{00000000-0010-0000-9800-000001000000}" uniqueName="1">
      <xmlPr mapId="43" xpath="/ns1:Root/ns1:Prog/ns1:Target_P9_1" xmlDataType="double"/>
    </xmlCellPr>
  </singleXmlCell>
  <singleXmlCell id="576" xr6:uid="{00000000-000C-0000-FFFF-FFFF99000000}" r="Q119" connectionId="0">
    <xmlCellPr id="1" xr6:uid="{00000000-0010-0000-9900-000001000000}" uniqueName="1">
      <xmlPr mapId="43" xpath="/ns1:Root/ns1:Prog/ns1:Target_P10_1" xmlDataType="double"/>
    </xmlCellPr>
  </singleXmlCell>
  <singleXmlCell id="577" xr6:uid="{00000000-000C-0000-FFFF-FFFF9A000000}" r="R119" connectionId="0">
    <xmlCellPr id="1" xr6:uid="{00000000-0010-0000-9A00-000001000000}" uniqueName="1">
      <xmlPr mapId="43" xpath="/ns1:Root/ns1:Prog/ns1:Target_P11_1" xmlDataType="double"/>
    </xmlCellPr>
  </singleXmlCell>
  <singleXmlCell id="578" xr6:uid="{00000000-000C-0000-FFFF-FFFF9B000000}" r="S119" connectionId="0">
    <xmlCellPr id="1" xr6:uid="{00000000-0010-0000-9B00-000001000000}" uniqueName="1">
      <xmlPr mapId="43" xpath="/ns1:Root/ns1:Prog/ns1:Target_P12_1" xmlDataType="double"/>
    </xmlCellPr>
  </singleXmlCell>
  <singleXmlCell id="579" xr6:uid="{00000000-000C-0000-FFFF-FFFF9C000000}" r="H120" connectionId="0">
    <xmlCellPr id="1" xr6:uid="{00000000-0010-0000-9C00-000001000000}" uniqueName="1">
      <xmlPr mapId="43" xpath="/ns1:Root/ns1:Prog/ns1:Achieved__P1_1" xmlDataType="double"/>
    </xmlCellPr>
  </singleXmlCell>
  <singleXmlCell id="580" xr6:uid="{00000000-000C-0000-FFFF-FFFF9D000000}" r="I120" connectionId="0">
    <xmlCellPr id="1" xr6:uid="{00000000-0010-0000-9D00-000001000000}" uniqueName="1">
      <xmlPr mapId="43" xpath="/ns1:Root/ns1:Prog/ns1:Achieved__P2_1" xmlDataType="double"/>
    </xmlCellPr>
  </singleXmlCell>
  <singleXmlCell id="581" xr6:uid="{00000000-000C-0000-FFFF-FFFF9E000000}" r="J120" connectionId="0">
    <xmlCellPr id="1" xr6:uid="{00000000-0010-0000-9E00-000001000000}" uniqueName="1">
      <xmlPr mapId="43" xpath="/ns1:Root/ns1:Prog/ns1:Achieved__P3_1" xmlDataType="double"/>
    </xmlCellPr>
  </singleXmlCell>
  <singleXmlCell id="582" xr6:uid="{00000000-000C-0000-FFFF-FFFF9F000000}" r="K120" connectionId="0">
    <xmlCellPr id="1" xr6:uid="{00000000-0010-0000-9F00-000001000000}" uniqueName="1">
      <xmlPr mapId="43" xpath="/ns1:Root/ns1:Prog/ns1:Achieved__P4_1" xmlDataType="double"/>
    </xmlCellPr>
  </singleXmlCell>
  <singleXmlCell id="583" xr6:uid="{00000000-000C-0000-FFFF-FFFFA0000000}" r="L120" connectionId="0">
    <xmlCellPr id="1" xr6:uid="{00000000-0010-0000-A000-000001000000}" uniqueName="1">
      <xmlPr mapId="43" xpath="/ns1:Root/ns1:Prog/ns1:Achieved__P5_1" xmlDataType="string"/>
    </xmlCellPr>
  </singleXmlCell>
  <singleXmlCell id="584" xr6:uid="{00000000-000C-0000-FFFF-FFFFA1000000}" r="M120" connectionId="0">
    <xmlCellPr id="1" xr6:uid="{00000000-0010-0000-A100-000001000000}" uniqueName="1">
      <xmlPr mapId="43" xpath="/ns1:Root/ns1:Prog/ns1:Achieved__P6_1" xmlDataType="string"/>
    </xmlCellPr>
  </singleXmlCell>
  <singleXmlCell id="585" xr6:uid="{00000000-000C-0000-FFFF-FFFFA2000000}" r="N120" connectionId="0">
    <xmlCellPr id="1" xr6:uid="{00000000-0010-0000-A200-000001000000}" uniqueName="1">
      <xmlPr mapId="43" xpath="/ns1:Root/ns1:Prog/ns1:Achieved__P7_1" xmlDataType="string"/>
    </xmlCellPr>
  </singleXmlCell>
  <singleXmlCell id="586" xr6:uid="{00000000-000C-0000-FFFF-FFFFA3000000}" r="O120" connectionId="0">
    <xmlCellPr id="1" xr6:uid="{00000000-0010-0000-A300-000001000000}" uniqueName="1">
      <xmlPr mapId="43" xpath="/ns1:Root/ns1:Prog/ns1:Achieved__P8_1" xmlDataType="string"/>
    </xmlCellPr>
  </singleXmlCell>
  <singleXmlCell id="587" xr6:uid="{00000000-000C-0000-FFFF-FFFFA4000000}" r="P120" connectionId="0">
    <xmlCellPr id="1" xr6:uid="{00000000-0010-0000-A400-000001000000}" uniqueName="1">
      <xmlPr mapId="43" xpath="/ns1:Root/ns1:Prog/ns1:Achieved__P9_1" xmlDataType="string"/>
    </xmlCellPr>
  </singleXmlCell>
  <singleXmlCell id="588" xr6:uid="{00000000-000C-0000-FFFF-FFFFA5000000}" r="Q120" connectionId="0">
    <xmlCellPr id="1" xr6:uid="{00000000-0010-0000-A500-000001000000}" uniqueName="1">
      <xmlPr mapId="43" xpath="/ns1:Root/ns1:Prog/ns1:Achieved__P10_1" xmlDataType="string"/>
    </xmlCellPr>
  </singleXmlCell>
  <singleXmlCell id="589" xr6:uid="{00000000-000C-0000-FFFF-FFFFA6000000}" r="R120" connectionId="0">
    <xmlCellPr id="1" xr6:uid="{00000000-0010-0000-A600-000001000000}" uniqueName="1">
      <xmlPr mapId="43" xpath="/ns1:Root/ns1:Prog/ns1:Achieved__P11_1" xmlDataType="string"/>
    </xmlCellPr>
  </singleXmlCell>
  <singleXmlCell id="590" xr6:uid="{00000000-000C-0000-FFFF-FFFFA7000000}" r="S120" connectionId="0">
    <xmlCellPr id="1" xr6:uid="{00000000-0010-0000-A700-000001000000}" uniqueName="1">
      <xmlPr mapId="43" xpath="/ns1:Root/ns1:Prog/ns1:Achieved__P12_1" xmlDataType="string"/>
    </xmlCellPr>
  </singleXmlCell>
  <singleXmlCell id="599" xr6:uid="{00000000-000C-0000-FFFF-FFFFA8000000}" r="Q121" connectionId="0">
    <xmlCellPr id="1" xr6:uid="{00000000-0010-0000-A800-000001000000}" uniqueName="1">
      <xmlPr mapId="43" xpath="/ns1:Root/ns1:Prog/ns1:Target_P10_2" xmlDataType="double"/>
    </xmlCellPr>
  </singleXmlCell>
  <singleXmlCell id="600" xr6:uid="{00000000-000C-0000-FFFF-FFFFA9000000}" r="R121" connectionId="0">
    <xmlCellPr id="1" xr6:uid="{00000000-0010-0000-A900-000001000000}" uniqueName="1">
      <xmlPr mapId="43" xpath="/ns1:Root/ns1:Prog/ns1:Target_P11_2" xmlDataType="double"/>
    </xmlCellPr>
  </singleXmlCell>
  <singleXmlCell id="601" xr6:uid="{00000000-000C-0000-FFFF-FFFFAA000000}" r="S121" connectionId="0">
    <xmlCellPr id="1" xr6:uid="{00000000-0010-0000-AA00-000001000000}" uniqueName="1">
      <xmlPr mapId="43" xpath="/ns1:Root/ns1:Prog/ns1:Target_P12_2" xmlDataType="double"/>
    </xmlCellPr>
  </singleXmlCell>
  <singleXmlCell id="611" xr6:uid="{00000000-000C-0000-FFFF-FFFFAB000000}" r="Q122" connectionId="0">
    <xmlCellPr id="1" xr6:uid="{00000000-0010-0000-AB00-000001000000}" uniqueName="1">
      <xmlPr mapId="43" xpath="/ns1:Root/ns1:Prog/ns1:Achieved__P10_2" xmlDataType="string"/>
    </xmlCellPr>
  </singleXmlCell>
  <singleXmlCell id="612" xr6:uid="{00000000-000C-0000-FFFF-FFFFAC000000}" r="R122" connectionId="0">
    <xmlCellPr id="1" xr6:uid="{00000000-0010-0000-AC00-000001000000}" uniqueName="1">
      <xmlPr mapId="43" xpath="/ns1:Root/ns1:Prog/ns1:Achieved__P11_2" xmlDataType="string"/>
    </xmlCellPr>
  </singleXmlCell>
  <singleXmlCell id="613" xr6:uid="{00000000-000C-0000-FFFF-FFFFAD000000}" r="S122" connectionId="0">
    <xmlCellPr id="1" xr6:uid="{00000000-0010-0000-AD00-000001000000}" uniqueName="1">
      <xmlPr mapId="43" xpath="/ns1:Root/ns1:Prog/ns1:Achieved__P12_2" xmlDataType="string"/>
    </xmlCellPr>
  </singleXmlCell>
  <singleXmlCell id="662" xr6:uid="{00000000-000C-0000-FFFF-FFFFAE000000}" r="H125" connectionId="0">
    <xmlCellPr id="1" xr6:uid="{00000000-0010-0000-AE00-000001000000}" uniqueName="1">
      <xmlPr mapId="43" xpath="/ns1:Root/ns1:Prog/ns1:Target_P1_5" xmlDataType="double"/>
    </xmlCellPr>
  </singleXmlCell>
  <singleXmlCell id="663" xr6:uid="{00000000-000C-0000-FFFF-FFFFAF000000}" r="I125" connectionId="0">
    <xmlCellPr id="1" xr6:uid="{00000000-0010-0000-AF00-000001000000}" uniqueName="1">
      <xmlPr mapId="43" xpath="/ns1:Root/ns1:Prog/ns1:Target_P2_5" xmlDataType="double"/>
    </xmlCellPr>
  </singleXmlCell>
  <singleXmlCell id="664" xr6:uid="{00000000-000C-0000-FFFF-FFFFB0000000}" r="J125" connectionId="0">
    <xmlCellPr id="1" xr6:uid="{00000000-0010-0000-B000-000001000000}" uniqueName="1">
      <xmlPr mapId="43" xpath="/ns1:Root/ns1:Prog/ns1:Target_P3_5" xmlDataType="double"/>
    </xmlCellPr>
  </singleXmlCell>
  <singleXmlCell id="665" xr6:uid="{00000000-000C-0000-FFFF-FFFFB1000000}" r="K125" connectionId="0">
    <xmlCellPr id="1" xr6:uid="{00000000-0010-0000-B100-000001000000}" uniqueName="1">
      <xmlPr mapId="43" xpath="/ns1:Root/ns1:Prog/ns1:Target_P4_5" xmlDataType="double"/>
    </xmlCellPr>
  </singleXmlCell>
  <singleXmlCell id="666" xr6:uid="{00000000-000C-0000-FFFF-FFFFB2000000}" r="L125" connectionId="0">
    <xmlCellPr id="1" xr6:uid="{00000000-0010-0000-B200-000001000000}" uniqueName="1">
      <xmlPr mapId="43" xpath="/ns1:Root/ns1:Prog/ns1:Target_P5_5" xmlDataType="double"/>
    </xmlCellPr>
  </singleXmlCell>
  <singleXmlCell id="667" xr6:uid="{00000000-000C-0000-FFFF-FFFFB3000000}" r="M125" connectionId="0">
    <xmlCellPr id="1" xr6:uid="{00000000-0010-0000-B300-000001000000}" uniqueName="1">
      <xmlPr mapId="43" xpath="/ns1:Root/ns1:Prog/ns1:Target_P6_5" xmlDataType="double"/>
    </xmlCellPr>
  </singleXmlCell>
  <singleXmlCell id="668" xr6:uid="{00000000-000C-0000-FFFF-FFFFB4000000}" r="N125" connectionId="0">
    <xmlCellPr id="1" xr6:uid="{00000000-0010-0000-B400-000001000000}" uniqueName="1">
      <xmlPr mapId="43" xpath="/ns1:Root/ns1:Prog/ns1:Target_P7_5" xmlDataType="double"/>
    </xmlCellPr>
  </singleXmlCell>
  <singleXmlCell id="669" xr6:uid="{00000000-000C-0000-FFFF-FFFFB5000000}" r="O125" connectionId="0">
    <xmlCellPr id="1" xr6:uid="{00000000-0010-0000-B500-000001000000}" uniqueName="1">
      <xmlPr mapId="43" xpath="/ns1:Root/ns1:Prog/ns1:Target_P8_5" xmlDataType="double"/>
    </xmlCellPr>
  </singleXmlCell>
  <singleXmlCell id="670" xr6:uid="{00000000-000C-0000-FFFF-FFFFB6000000}" r="P125" connectionId="0">
    <xmlCellPr id="1" xr6:uid="{00000000-0010-0000-B600-000001000000}" uniqueName="1">
      <xmlPr mapId="43" xpath="/ns1:Root/ns1:Prog/ns1:Target_P9_5" xmlDataType="double"/>
    </xmlCellPr>
  </singleXmlCell>
  <singleXmlCell id="671" xr6:uid="{00000000-000C-0000-FFFF-FFFFB7000000}" r="Q125" connectionId="0">
    <xmlCellPr id="1" xr6:uid="{00000000-0010-0000-B700-000001000000}" uniqueName="1">
      <xmlPr mapId="43" xpath="/ns1:Root/ns1:Prog/ns1:Target_P10_5" xmlDataType="double"/>
    </xmlCellPr>
  </singleXmlCell>
  <singleXmlCell id="672" xr6:uid="{00000000-000C-0000-FFFF-FFFFB8000000}" r="R125" connectionId="0">
    <xmlCellPr id="1" xr6:uid="{00000000-0010-0000-B800-000001000000}" uniqueName="1">
      <xmlPr mapId="43" xpath="/ns1:Root/ns1:Prog/ns1:Target_P11_5" xmlDataType="double"/>
    </xmlCellPr>
  </singleXmlCell>
  <singleXmlCell id="673" xr6:uid="{00000000-000C-0000-FFFF-FFFFB9000000}" r="S125" connectionId="0">
    <xmlCellPr id="1" xr6:uid="{00000000-0010-0000-B900-000001000000}" uniqueName="1">
      <xmlPr mapId="43" xpath="/ns1:Root/ns1:Prog/ns1:Target_P12_5" xmlDataType="double"/>
    </xmlCellPr>
  </singleXmlCell>
  <singleXmlCell id="674" xr6:uid="{00000000-000C-0000-FFFF-FFFFBA000000}" r="H126" connectionId="0">
    <xmlCellPr id="1" xr6:uid="{00000000-0010-0000-BA00-000001000000}" uniqueName="1">
      <xmlPr mapId="43" xpath="/ns1:Root/ns1:Prog/ns1:Achieved__P1_5" xmlDataType="double"/>
    </xmlCellPr>
  </singleXmlCell>
  <singleXmlCell id="675" xr6:uid="{00000000-000C-0000-FFFF-FFFFBB000000}" r="I126" connectionId="0">
    <xmlCellPr id="1" xr6:uid="{00000000-0010-0000-BB00-000001000000}" uniqueName="1">
      <xmlPr mapId="43" xpath="/ns1:Root/ns1:Prog/ns1:Achieved__P2_5" xmlDataType="double"/>
    </xmlCellPr>
  </singleXmlCell>
  <singleXmlCell id="676" xr6:uid="{00000000-000C-0000-FFFF-FFFFBC000000}" r="J126" connectionId="0">
    <xmlCellPr id="1" xr6:uid="{00000000-0010-0000-BC00-000001000000}" uniqueName="1">
      <xmlPr mapId="43" xpath="/ns1:Root/ns1:Prog/ns1:Achieved__P3_5" xmlDataType="double"/>
    </xmlCellPr>
  </singleXmlCell>
  <singleXmlCell id="677" xr6:uid="{00000000-000C-0000-FFFF-FFFFBD000000}" r="K126" connectionId="0">
    <xmlCellPr id="1" xr6:uid="{00000000-0010-0000-BD00-000001000000}" uniqueName="1">
      <xmlPr mapId="43" xpath="/ns1:Root/ns1:Prog/ns1:Achieved__P4_5" xmlDataType="double"/>
    </xmlCellPr>
  </singleXmlCell>
  <singleXmlCell id="678" xr6:uid="{00000000-000C-0000-FFFF-FFFFBE000000}" r="L126" connectionId="0">
    <xmlCellPr id="1" xr6:uid="{00000000-0010-0000-BE00-000001000000}" uniqueName="1">
      <xmlPr mapId="43" xpath="/ns1:Root/ns1:Prog/ns1:Achieved__P5_5" xmlDataType="string"/>
    </xmlCellPr>
  </singleXmlCell>
  <singleXmlCell id="679" xr6:uid="{00000000-000C-0000-FFFF-FFFFBF000000}" r="M126" connectionId="0">
    <xmlCellPr id="1" xr6:uid="{00000000-0010-0000-BF00-000001000000}" uniqueName="1">
      <xmlPr mapId="43" xpath="/ns1:Root/ns1:Prog/ns1:Achieved__P6_5" xmlDataType="string"/>
    </xmlCellPr>
  </singleXmlCell>
  <singleXmlCell id="680" xr6:uid="{00000000-000C-0000-FFFF-FFFFC0000000}" r="N126" connectionId="0">
    <xmlCellPr id="1" xr6:uid="{00000000-0010-0000-C000-000001000000}" uniqueName="1">
      <xmlPr mapId="43" xpath="/ns1:Root/ns1:Prog/ns1:Achieved__P7_5" xmlDataType="string"/>
    </xmlCellPr>
  </singleXmlCell>
  <singleXmlCell id="681" xr6:uid="{00000000-000C-0000-FFFF-FFFFC1000000}" r="O126" connectionId="0">
    <xmlCellPr id="1" xr6:uid="{00000000-0010-0000-C100-000001000000}" uniqueName="1">
      <xmlPr mapId="43" xpath="/ns1:Root/ns1:Prog/ns1:Achieved__P8_5" xmlDataType="string"/>
    </xmlCellPr>
  </singleXmlCell>
  <singleXmlCell id="682" xr6:uid="{00000000-000C-0000-FFFF-FFFFC2000000}" r="P126" connectionId="0">
    <xmlCellPr id="1" xr6:uid="{00000000-0010-0000-C200-000001000000}" uniqueName="1">
      <xmlPr mapId="43" xpath="/ns1:Root/ns1:Prog/ns1:Achieved__P9_5" xmlDataType="string"/>
    </xmlCellPr>
  </singleXmlCell>
  <singleXmlCell id="683" xr6:uid="{00000000-000C-0000-FFFF-FFFFC3000000}" r="Q126" connectionId="0">
    <xmlCellPr id="1" xr6:uid="{00000000-0010-0000-C300-000001000000}" uniqueName="1">
      <xmlPr mapId="43" xpath="/ns1:Root/ns1:Prog/ns1:Achieved__P10_5" xmlDataType="string"/>
    </xmlCellPr>
  </singleXmlCell>
  <singleXmlCell id="684" xr6:uid="{00000000-000C-0000-FFFF-FFFFC4000000}" r="R126" connectionId="0">
    <xmlCellPr id="1" xr6:uid="{00000000-0010-0000-C400-000001000000}" uniqueName="1">
      <xmlPr mapId="43" xpath="/ns1:Root/ns1:Prog/ns1:Achieved__P11_5" xmlDataType="string"/>
    </xmlCellPr>
  </singleXmlCell>
  <singleXmlCell id="685" xr6:uid="{00000000-000C-0000-FFFF-FFFFC5000000}" r="S126" connectionId="0">
    <xmlCellPr id="1" xr6:uid="{00000000-0010-0000-C500-000001000000}" uniqueName="1">
      <xmlPr mapId="43" xpath="/ns1:Root/ns1:Prog/ns1:Achieved__P12_5" xmlDataType="string"/>
    </xmlCellPr>
  </singleXmlCell>
  <singleXmlCell id="686" xr6:uid="{00000000-000C-0000-FFFF-FFFFC6000000}" r="H127" connectionId="0">
    <xmlCellPr id="1" xr6:uid="{00000000-0010-0000-C600-000001000000}" uniqueName="1">
      <xmlPr mapId="43" xpath="/ns1:Root/ns1:Prog/ns1:Target_P1_6" xmlDataType="double"/>
    </xmlCellPr>
  </singleXmlCell>
  <singleXmlCell id="687" xr6:uid="{00000000-000C-0000-FFFF-FFFFC7000000}" r="I127" connectionId="0">
    <xmlCellPr id="1" xr6:uid="{00000000-0010-0000-C700-000001000000}" uniqueName="1">
      <xmlPr mapId="43" xpath="/ns1:Root/ns1:Prog/ns1:Target_P2_6" xmlDataType="double"/>
    </xmlCellPr>
  </singleXmlCell>
  <singleXmlCell id="688" xr6:uid="{00000000-000C-0000-FFFF-FFFFC8000000}" r="J127" connectionId="0">
    <xmlCellPr id="1" xr6:uid="{00000000-0010-0000-C800-000001000000}" uniqueName="1">
      <xmlPr mapId="43" xpath="/ns1:Root/ns1:Prog/ns1:Target_P3_6" xmlDataType="double"/>
    </xmlCellPr>
  </singleXmlCell>
  <singleXmlCell id="689" xr6:uid="{00000000-000C-0000-FFFF-FFFFC9000000}" r="K127" connectionId="0">
    <xmlCellPr id="1" xr6:uid="{00000000-0010-0000-C900-000001000000}" uniqueName="1">
      <xmlPr mapId="43" xpath="/ns1:Root/ns1:Prog/ns1:Target_P4_6" xmlDataType="double"/>
    </xmlCellPr>
  </singleXmlCell>
  <singleXmlCell id="690" xr6:uid="{00000000-000C-0000-FFFF-FFFFCA000000}" r="L127" connectionId="0">
    <xmlCellPr id="1" xr6:uid="{00000000-0010-0000-CA00-000001000000}" uniqueName="1">
      <xmlPr mapId="43" xpath="/ns1:Root/ns1:Prog/ns1:Target_P5_6" xmlDataType="double"/>
    </xmlCellPr>
  </singleXmlCell>
  <singleXmlCell id="691" xr6:uid="{00000000-000C-0000-FFFF-FFFFCB000000}" r="M127" connectionId="0">
    <xmlCellPr id="1" xr6:uid="{00000000-0010-0000-CB00-000001000000}" uniqueName="1">
      <xmlPr mapId="43" xpath="/ns1:Root/ns1:Prog/ns1:Target_P6_6" xmlDataType="double"/>
    </xmlCellPr>
  </singleXmlCell>
  <singleXmlCell id="692" xr6:uid="{00000000-000C-0000-FFFF-FFFFCC000000}" r="N127" connectionId="0">
    <xmlCellPr id="1" xr6:uid="{00000000-0010-0000-CC00-000001000000}" uniqueName="1">
      <xmlPr mapId="43" xpath="/ns1:Root/ns1:Prog/ns1:Target_P7_6" xmlDataType="double"/>
    </xmlCellPr>
  </singleXmlCell>
  <singleXmlCell id="693" xr6:uid="{00000000-000C-0000-FFFF-FFFFCD000000}" r="O127" connectionId="0">
    <xmlCellPr id="1" xr6:uid="{00000000-0010-0000-CD00-000001000000}" uniqueName="1">
      <xmlPr mapId="43" xpath="/ns1:Root/ns1:Prog/ns1:Target_P8_6" xmlDataType="double"/>
    </xmlCellPr>
  </singleXmlCell>
  <singleXmlCell id="694" xr6:uid="{00000000-000C-0000-FFFF-FFFFCE000000}" r="P127" connectionId="0">
    <xmlCellPr id="1" xr6:uid="{00000000-0010-0000-CE00-000001000000}" uniqueName="1">
      <xmlPr mapId="43" xpath="/ns1:Root/ns1:Prog/ns1:Target_P9_6" xmlDataType="double"/>
    </xmlCellPr>
  </singleXmlCell>
  <singleXmlCell id="695" xr6:uid="{00000000-000C-0000-FFFF-FFFFCF000000}" r="Q127" connectionId="0">
    <xmlCellPr id="1" xr6:uid="{00000000-0010-0000-CF00-000001000000}" uniqueName="1">
      <xmlPr mapId="43" xpath="/ns1:Root/ns1:Prog/ns1:Target_P10_6" xmlDataType="double"/>
    </xmlCellPr>
  </singleXmlCell>
  <singleXmlCell id="696" xr6:uid="{00000000-000C-0000-FFFF-FFFFD0000000}" r="R127" connectionId="0">
    <xmlCellPr id="1" xr6:uid="{00000000-0010-0000-D000-000001000000}" uniqueName="1">
      <xmlPr mapId="43" xpath="/ns1:Root/ns1:Prog/ns1:Target_P11_6" xmlDataType="double"/>
    </xmlCellPr>
  </singleXmlCell>
  <singleXmlCell id="697" xr6:uid="{00000000-000C-0000-FFFF-FFFFD1000000}" r="S127" connectionId="0">
    <xmlCellPr id="1" xr6:uid="{00000000-0010-0000-D100-000001000000}" uniqueName="1">
      <xmlPr mapId="43" xpath="/ns1:Root/ns1:Prog/ns1:Target_P12_6" xmlDataType="double"/>
    </xmlCellPr>
  </singleXmlCell>
  <singleXmlCell id="698" xr6:uid="{00000000-000C-0000-FFFF-FFFFD2000000}" r="H128" connectionId="0">
    <xmlCellPr id="1" xr6:uid="{00000000-0010-0000-D200-000001000000}" uniqueName="1">
      <xmlPr mapId="43" xpath="/ns1:Root/ns1:Prog/ns1:Achieved__P1_6" xmlDataType="double"/>
    </xmlCellPr>
  </singleXmlCell>
  <singleXmlCell id="699" xr6:uid="{00000000-000C-0000-FFFF-FFFFD3000000}" r="I128" connectionId="0">
    <xmlCellPr id="1" xr6:uid="{00000000-0010-0000-D300-000001000000}" uniqueName="1">
      <xmlPr mapId="43" xpath="/ns1:Root/ns1:Prog/ns1:Achieved__P2_6" xmlDataType="double"/>
    </xmlCellPr>
  </singleXmlCell>
  <singleXmlCell id="700" xr6:uid="{00000000-000C-0000-FFFF-FFFFD4000000}" r="J128" connectionId="0">
    <xmlCellPr id="1" xr6:uid="{00000000-0010-0000-D400-000001000000}" uniqueName="1">
      <xmlPr mapId="43" xpath="/ns1:Root/ns1:Prog/ns1:Achieved__P3_6" xmlDataType="double"/>
    </xmlCellPr>
  </singleXmlCell>
  <singleXmlCell id="701" xr6:uid="{00000000-000C-0000-FFFF-FFFFD5000000}" r="K128" connectionId="0">
    <xmlCellPr id="1" xr6:uid="{00000000-0010-0000-D500-000001000000}" uniqueName="1">
      <xmlPr mapId="43" xpath="/ns1:Root/ns1:Prog/ns1:Achieved__P4_6" xmlDataType="double"/>
    </xmlCellPr>
  </singleXmlCell>
  <singleXmlCell id="702" xr6:uid="{00000000-000C-0000-FFFF-FFFFD6000000}" r="L128" connectionId="0">
    <xmlCellPr id="1" xr6:uid="{00000000-0010-0000-D600-000001000000}" uniqueName="1">
      <xmlPr mapId="43" xpath="/ns1:Root/ns1:Prog/ns1:Achieved__P5_6" xmlDataType="string"/>
    </xmlCellPr>
  </singleXmlCell>
  <singleXmlCell id="703" xr6:uid="{00000000-000C-0000-FFFF-FFFFD7000000}" r="M128" connectionId="0">
    <xmlCellPr id="1" xr6:uid="{00000000-0010-0000-D700-000001000000}" uniqueName="1">
      <xmlPr mapId="43" xpath="/ns1:Root/ns1:Prog/ns1:Achieved__P6_6" xmlDataType="string"/>
    </xmlCellPr>
  </singleXmlCell>
  <singleXmlCell id="704" xr6:uid="{00000000-000C-0000-FFFF-FFFFD8000000}" r="N128" connectionId="0">
    <xmlCellPr id="1" xr6:uid="{00000000-0010-0000-D800-000001000000}" uniqueName="1">
      <xmlPr mapId="43" xpath="/ns1:Root/ns1:Prog/ns1:Achieved__P7_6" xmlDataType="string"/>
    </xmlCellPr>
  </singleXmlCell>
  <singleXmlCell id="705" xr6:uid="{00000000-000C-0000-FFFF-FFFFD9000000}" r="O128" connectionId="0">
    <xmlCellPr id="1" xr6:uid="{00000000-0010-0000-D900-000001000000}" uniqueName="1">
      <xmlPr mapId="43" xpath="/ns1:Root/ns1:Prog/ns1:Achieved__P8_6" xmlDataType="string"/>
    </xmlCellPr>
  </singleXmlCell>
  <singleXmlCell id="706" xr6:uid="{00000000-000C-0000-FFFF-FFFFDA000000}" r="P128" connectionId="0">
    <xmlCellPr id="1" xr6:uid="{00000000-0010-0000-DA00-000001000000}" uniqueName="1">
      <xmlPr mapId="43" xpath="/ns1:Root/ns1:Prog/ns1:Achieved__P9_6" xmlDataType="string"/>
    </xmlCellPr>
  </singleXmlCell>
  <singleXmlCell id="707" xr6:uid="{00000000-000C-0000-FFFF-FFFFDB000000}" r="Q128" connectionId="0">
    <xmlCellPr id="1" xr6:uid="{00000000-0010-0000-DB00-000001000000}" uniqueName="1">
      <xmlPr mapId="43" xpath="/ns1:Root/ns1:Prog/ns1:Achieved__P10_6" xmlDataType="string"/>
    </xmlCellPr>
  </singleXmlCell>
  <singleXmlCell id="708" xr6:uid="{00000000-000C-0000-FFFF-FFFFDC000000}" r="R128" connectionId="0">
    <xmlCellPr id="1" xr6:uid="{00000000-0010-0000-DC00-000001000000}" uniqueName="1">
      <xmlPr mapId="43" xpath="/ns1:Root/ns1:Prog/ns1:Achieved__P11_6" xmlDataType="string"/>
    </xmlCellPr>
  </singleXmlCell>
  <singleXmlCell id="709" xr6:uid="{00000000-000C-0000-FFFF-FFFFDD000000}" r="S128" connectionId="0">
    <xmlCellPr id="1" xr6:uid="{00000000-0010-0000-DD00-000001000000}" uniqueName="1">
      <xmlPr mapId="43" xpath="/ns1:Root/ns1:Prog/ns1:Achieved__P12_6" xmlDataType="string"/>
    </xmlCellPr>
  </singleXmlCell>
  <singleXmlCell id="808" xr6:uid="{00000000-000C-0000-FFFF-FFFFDE000000}" r="E119" connectionId="0">
    <xmlCellPr id="1" xr6:uid="{00000000-0010-0000-DE00-000001000000}" uniqueName="1">
      <xmlPr mapId="43" xpath="/ns1:Root/ns1:P1_Code" xmlDataType="double"/>
    </xmlCellPr>
  </singleXmlCell>
  <singleXmlCell id="810" xr6:uid="{00000000-000C-0000-FFFF-FFFFDF000000}" r="B121" connectionId="0">
    <xmlCellPr id="1" xr6:uid="{00000000-0010-0000-DF00-000001000000}" uniqueName="1">
      <xmlPr mapId="43" xpath="/ns1:Root/ns1:P2" xmlDataType="string"/>
    </xmlCellPr>
  </singleXmlCell>
  <singleXmlCell id="811" xr6:uid="{00000000-000C-0000-FFFF-FFFFE0000000}" r="E121" connectionId="0">
    <xmlCellPr id="1" xr6:uid="{00000000-0010-0000-E000-000001000000}" uniqueName="1">
      <xmlPr mapId="43" xpath="/ns1:Root/ns1:P2_Code" xmlDataType="double"/>
    </xmlCellPr>
  </singleXmlCell>
  <singleXmlCell id="812" xr6:uid="{00000000-000C-0000-FFFF-FFFFE1000000}" r="F121" connectionId="0">
    <xmlCellPr id="1" xr6:uid="{00000000-0010-0000-E100-000001000000}" uniqueName="1">
      <xmlPr mapId="43" xpath="/ns1:Root/ns1:P2_Tied" xmlDataType="string"/>
    </xmlCellPr>
  </singleXmlCell>
  <singleXmlCell id="819" xr6:uid="{00000000-000C-0000-FFFF-FFFFE2000000}" r="B125" connectionId="0">
    <xmlCellPr id="1" xr6:uid="{00000000-0010-0000-E200-000001000000}" uniqueName="1">
      <xmlPr mapId="43" xpath="/ns1:Root/ns1:P5" xmlDataType="string"/>
    </xmlCellPr>
  </singleXmlCell>
  <singleXmlCell id="820" xr6:uid="{00000000-000C-0000-FFFF-FFFFE3000000}" r="E125" connectionId="0">
    <xmlCellPr id="1" xr6:uid="{00000000-0010-0000-E300-000001000000}" uniqueName="1">
      <xmlPr mapId="43" xpath="/ns1:Root/ns1:P5_Code" xmlDataType="double"/>
    </xmlCellPr>
  </singleXmlCell>
  <singleXmlCell id="821" xr6:uid="{00000000-000C-0000-FFFF-FFFFE4000000}" r="F125" connectionId="0">
    <xmlCellPr id="1" xr6:uid="{00000000-0010-0000-E400-000001000000}" uniqueName="1">
      <xmlPr mapId="43" xpath="/ns1:Root/ns1:P5_Tied" xmlDataType="string"/>
    </xmlCellPr>
  </singleXmlCell>
  <singleXmlCell id="822" xr6:uid="{00000000-000C-0000-FFFF-FFFFE5000000}" r="B127" connectionId="0">
    <xmlCellPr id="1" xr6:uid="{00000000-0010-0000-E500-000001000000}" uniqueName="1">
      <xmlPr mapId="43" xpath="/ns1:Root/ns1:P6" xmlDataType="string"/>
    </xmlCellPr>
  </singleXmlCell>
  <singleXmlCell id="823" xr6:uid="{00000000-000C-0000-FFFF-FFFFE6000000}" r="E127" connectionId="0">
    <xmlCellPr id="1" xr6:uid="{00000000-0010-0000-E600-000001000000}" uniqueName="1">
      <xmlPr mapId="43" xpath="/ns1:Root/ns1:P6_Code" xmlDataType="double"/>
    </xmlCellPr>
  </singleXmlCell>
  <singleXmlCell id="824" xr6:uid="{00000000-000C-0000-FFFF-FFFFE7000000}" r="F127" connectionId="0">
    <xmlCellPr id="1" xr6:uid="{00000000-0010-0000-E700-000001000000}" uniqueName="1">
      <xmlPr mapId="43" xpath="/ns1:Root/ns1:P6_Tied" xmlDataType="string"/>
    </xmlCellPr>
  </singleXmlCell>
  <singleXmlCell id="837" xr6:uid="{00000000-000C-0000-FFFF-FFFFE8000000}" r="D26" connectionId="0">
    <xmlCellPr id="1" xr6:uid="{00000000-0010-0000-E800-000001000000}" uniqueName="1">
      <xmlPr mapId="43" xpath="/ns1:Root/ns1:Currency" xmlDataType="string"/>
    </xmlCellPr>
  </singleXmlCell>
  <singleXmlCell id="830" xr6:uid="{00000000-000C-0000-FFFF-FFFFE9000000}" r="F133" connectionId="0">
    <xmlCellPr id="1" xr6:uid="{00000000-0010-0000-E900-000001000000}" uniqueName="1">
      <xmlPr mapId="43" xpath="/ns1:Root/ns1:P8_Tied" xmlDataType="string"/>
    </xmlCellPr>
  </singleXmlCell>
  <singleXmlCell id="829" xr6:uid="{00000000-000C-0000-FFFF-FFFFEA000000}" r="E133" connectionId="0">
    <xmlCellPr id="1" xr6:uid="{00000000-0010-0000-EA00-000001000000}" uniqueName="1">
      <xmlPr mapId="43" xpath="/ns1:Root/ns1:P8_Code" xmlDataType="double"/>
    </xmlCellPr>
  </singleXmlCell>
  <singleXmlCell id="828" xr6:uid="{00000000-000C-0000-FFFF-FFFFEB000000}" r="B133" connectionId="0">
    <xmlCellPr id="1" xr6:uid="{00000000-0010-0000-EB00-000001000000}" uniqueName="1">
      <xmlPr mapId="43" xpath="/ns1:Root/ns1:P8" xmlDataType="string"/>
    </xmlCellPr>
  </singleXmlCell>
  <singleXmlCell id="827" xr6:uid="{00000000-000C-0000-FFFF-FFFFEC000000}" r="F129" connectionId="0">
    <xmlCellPr id="1" xr6:uid="{00000000-0010-0000-EC00-000001000000}" uniqueName="1">
      <xmlPr mapId="43" xpath="/ns1:Root/ns1:P7_Tied" xmlDataType="string"/>
    </xmlCellPr>
  </singleXmlCell>
  <singleXmlCell id="826" xr6:uid="{00000000-000C-0000-FFFF-FFFFED000000}" r="E129" connectionId="0">
    <xmlCellPr id="1" xr6:uid="{00000000-0010-0000-ED00-000001000000}" uniqueName="1">
      <xmlPr mapId="43" xpath="/ns1:Root/ns1:P7_Code" xmlDataType="double"/>
    </xmlCellPr>
  </singleXmlCell>
  <singleXmlCell id="825" xr6:uid="{00000000-000C-0000-FFFF-FFFFEE000000}" r="B129" connectionId="0">
    <xmlCellPr id="1" xr6:uid="{00000000-0010-0000-EE00-000001000000}" uniqueName="1">
      <xmlPr mapId="43" xpath="/ns1:Root/ns1:P7" xmlDataType="string"/>
    </xmlCellPr>
  </singleXmlCell>
  <singleXmlCell id="757" xr6:uid="{00000000-000C-0000-FFFF-FFFFEF000000}" r="S134" connectionId="0">
    <xmlCellPr id="1" xr6:uid="{00000000-0010-0000-EF00-000001000000}" uniqueName="1">
      <xmlPr mapId="43" xpath="/ns1:Root/ns1:Prog/ns1:Achieved__P12_8" xmlDataType="string"/>
    </xmlCellPr>
  </singleXmlCell>
  <singleXmlCell id="756" xr6:uid="{00000000-000C-0000-FFFF-FFFFF0000000}" r="R134" connectionId="0">
    <xmlCellPr id="1" xr6:uid="{00000000-0010-0000-F000-000001000000}" uniqueName="1">
      <xmlPr mapId="43" xpath="/ns1:Root/ns1:Prog/ns1:Achieved__P11_8" xmlDataType="string"/>
    </xmlCellPr>
  </singleXmlCell>
  <singleXmlCell id="755" xr6:uid="{00000000-000C-0000-FFFF-FFFFF1000000}" r="Q134" connectionId="0">
    <xmlCellPr id="1" xr6:uid="{00000000-0010-0000-F100-000001000000}" uniqueName="1">
      <xmlPr mapId="43" xpath="/ns1:Root/ns1:Prog/ns1:Achieved__P10_8" xmlDataType="string"/>
    </xmlCellPr>
  </singleXmlCell>
  <singleXmlCell id="754" xr6:uid="{00000000-000C-0000-FFFF-FFFFF2000000}" r="P134" connectionId="0">
    <xmlCellPr id="1" xr6:uid="{00000000-0010-0000-F200-000001000000}" uniqueName="1">
      <xmlPr mapId="43" xpath="/ns1:Root/ns1:Prog/ns1:Achieved__P9_8" xmlDataType="string"/>
    </xmlCellPr>
  </singleXmlCell>
  <singleXmlCell id="753" xr6:uid="{00000000-000C-0000-FFFF-FFFFF3000000}" r="O134" connectionId="0">
    <xmlCellPr id="1" xr6:uid="{00000000-0010-0000-F300-000001000000}" uniqueName="1">
      <xmlPr mapId="43" xpath="/ns1:Root/ns1:Prog/ns1:Achieved__P8_8" xmlDataType="string"/>
    </xmlCellPr>
  </singleXmlCell>
  <singleXmlCell id="752" xr6:uid="{00000000-000C-0000-FFFF-FFFFF4000000}" r="N134" connectionId="0">
    <xmlCellPr id="1" xr6:uid="{00000000-0010-0000-F400-000001000000}" uniqueName="1">
      <xmlPr mapId="43" xpath="/ns1:Root/ns1:Prog/ns1:Achieved__P7_8" xmlDataType="string"/>
    </xmlCellPr>
  </singleXmlCell>
  <singleXmlCell id="751" xr6:uid="{00000000-000C-0000-FFFF-FFFFF5000000}" r="M134" connectionId="0">
    <xmlCellPr id="1" xr6:uid="{00000000-0010-0000-F500-000001000000}" uniqueName="1">
      <xmlPr mapId="43" xpath="/ns1:Root/ns1:Prog/ns1:Achieved__P6_8" xmlDataType="string"/>
    </xmlCellPr>
  </singleXmlCell>
  <singleXmlCell id="750" xr6:uid="{00000000-000C-0000-FFFF-FFFFF6000000}" r="L134" connectionId="0">
    <xmlCellPr id="1" xr6:uid="{00000000-0010-0000-F600-000001000000}" uniqueName="1">
      <xmlPr mapId="43" xpath="/ns1:Root/ns1:Prog/ns1:Achieved__P5_8" xmlDataType="string"/>
    </xmlCellPr>
  </singleXmlCell>
  <singleXmlCell id="749" xr6:uid="{00000000-000C-0000-FFFF-FFFFF7000000}" r="K134" connectionId="0">
    <xmlCellPr id="1" xr6:uid="{00000000-0010-0000-F700-000001000000}" uniqueName="1">
      <xmlPr mapId="43" xpath="/ns1:Root/ns1:Prog/ns1:Achieved__P4_8" xmlDataType="string"/>
    </xmlCellPr>
  </singleXmlCell>
  <singleXmlCell id="748" xr6:uid="{00000000-000C-0000-FFFF-FFFFF8000000}" r="J134" connectionId="0">
    <xmlCellPr id="1" xr6:uid="{00000000-0010-0000-F800-000001000000}" uniqueName="1">
      <xmlPr mapId="43" xpath="/ns1:Root/ns1:Prog/ns1:Achieved__P3_8" xmlDataType="string"/>
    </xmlCellPr>
  </singleXmlCell>
  <singleXmlCell id="747" xr6:uid="{00000000-000C-0000-FFFF-FFFFF9000000}" r="I134" connectionId="0">
    <xmlCellPr id="1" xr6:uid="{00000000-0010-0000-F900-000001000000}" uniqueName="1">
      <xmlPr mapId="43" xpath="/ns1:Root/ns1:Prog/ns1:Achieved__P2_8" xmlDataType="string"/>
    </xmlCellPr>
  </singleXmlCell>
  <singleXmlCell id="746" xr6:uid="{00000000-000C-0000-FFFF-FFFFFA000000}" r="H134" connectionId="0">
    <xmlCellPr id="1" xr6:uid="{00000000-0010-0000-FA00-000001000000}" uniqueName="1">
      <xmlPr mapId="43" xpath="/ns1:Root/ns1:Prog/ns1:Achieved__P1_8" xmlDataType="string"/>
    </xmlCellPr>
  </singleXmlCell>
  <singleXmlCell id="745" xr6:uid="{00000000-000C-0000-FFFF-FFFFFB000000}" r="S133" connectionId="0">
    <xmlCellPr id="1" xr6:uid="{00000000-0010-0000-FB00-000001000000}" uniqueName="1">
      <xmlPr mapId="43" xpath="/ns1:Root/ns1:Prog/ns1:Target_P12_8" xmlDataType="double"/>
    </xmlCellPr>
  </singleXmlCell>
  <singleXmlCell id="744" xr6:uid="{00000000-000C-0000-FFFF-FFFFFC000000}" r="R133" connectionId="0">
    <xmlCellPr id="1" xr6:uid="{00000000-0010-0000-FC00-000001000000}" uniqueName="1">
      <xmlPr mapId="43" xpath="/ns1:Root/ns1:Prog/ns1:Target_P11_8" xmlDataType="double"/>
    </xmlCellPr>
  </singleXmlCell>
  <singleXmlCell id="743" xr6:uid="{00000000-000C-0000-FFFF-FFFFFD000000}" r="Q133" connectionId="0">
    <xmlCellPr id="1" xr6:uid="{00000000-0010-0000-FD00-000001000000}" uniqueName="1">
      <xmlPr mapId="43" xpath="/ns1:Root/ns1:Prog/ns1:Target_P10_8" xmlDataType="double"/>
    </xmlCellPr>
  </singleXmlCell>
  <singleXmlCell id="742" xr6:uid="{00000000-000C-0000-FFFF-FFFFFE000000}" r="P133" connectionId="0">
    <xmlCellPr id="1" xr6:uid="{00000000-0010-0000-FE00-000001000000}" uniqueName="1">
      <xmlPr mapId="43" xpath="/ns1:Root/ns1:Prog/ns1:Target_P9_8" xmlDataType="double"/>
    </xmlCellPr>
  </singleXmlCell>
  <singleXmlCell id="741" xr6:uid="{00000000-000C-0000-FFFF-FFFFFF000000}" r="O133" connectionId="0">
    <xmlCellPr id="1" xr6:uid="{00000000-0010-0000-FF00-000001000000}" uniqueName="1">
      <xmlPr mapId="43" xpath="/ns1:Root/ns1:Prog/ns1:Target_P8_8" xmlDataType="double"/>
    </xmlCellPr>
  </singleXmlCell>
  <singleXmlCell id="740" xr6:uid="{00000000-000C-0000-FFFF-FFFF00010000}" r="N133" connectionId="0">
    <xmlCellPr id="1" xr6:uid="{00000000-0010-0000-0001-000001000000}" uniqueName="1">
      <xmlPr mapId="43" xpath="/ns1:Root/ns1:Prog/ns1:Target_P7_8" xmlDataType="string"/>
    </xmlCellPr>
  </singleXmlCell>
  <singleXmlCell id="739" xr6:uid="{00000000-000C-0000-FFFF-FFFF01010000}" r="M133" connectionId="0">
    <xmlCellPr id="1" xr6:uid="{00000000-0010-0000-0101-000001000000}" uniqueName="1">
      <xmlPr mapId="43" xpath="/ns1:Root/ns1:Prog/ns1:Target_P6_8" xmlDataType="double"/>
    </xmlCellPr>
  </singleXmlCell>
  <singleXmlCell id="738" xr6:uid="{00000000-000C-0000-FFFF-FFFF02010000}" r="L133" connectionId="0">
    <xmlCellPr id="1" xr6:uid="{00000000-0010-0000-0201-000001000000}" uniqueName="1">
      <xmlPr mapId="43" xpath="/ns1:Root/ns1:Prog/ns1:Target_P5_8" xmlDataType="string"/>
    </xmlCellPr>
  </singleXmlCell>
  <singleXmlCell id="737" xr6:uid="{00000000-000C-0000-FFFF-FFFF03010000}" r="K133" connectionId="0">
    <xmlCellPr id="1" xr6:uid="{00000000-0010-0000-0301-000001000000}" uniqueName="1">
      <xmlPr mapId="43" xpath="/ns1:Root/ns1:Prog/ns1:Target_P4_8" xmlDataType="double"/>
    </xmlCellPr>
  </singleXmlCell>
  <singleXmlCell id="736" xr6:uid="{00000000-000C-0000-FFFF-FFFF04010000}" r="J133" connectionId="0">
    <xmlCellPr id="1" xr6:uid="{00000000-0010-0000-0401-000001000000}" uniqueName="1">
      <xmlPr mapId="43" xpath="/ns1:Root/ns1:Prog/ns1:Target_P3_8" xmlDataType="string"/>
    </xmlCellPr>
  </singleXmlCell>
  <singleXmlCell id="735" xr6:uid="{00000000-000C-0000-FFFF-FFFF05010000}" r="I133" connectionId="0">
    <xmlCellPr id="1" xr6:uid="{00000000-0010-0000-0501-000001000000}" uniqueName="1">
      <xmlPr mapId="43" xpath="/ns1:Root/ns1:Prog/ns1:Target_P2_8" xmlDataType="double"/>
    </xmlCellPr>
  </singleXmlCell>
  <singleXmlCell id="734" xr6:uid="{00000000-000C-0000-FFFF-FFFF06010000}" r="H133" connectionId="0">
    <xmlCellPr id="1" xr6:uid="{00000000-0010-0000-0601-000001000000}" uniqueName="1">
      <xmlPr mapId="43" xpath="/ns1:Root/ns1:Prog/ns1:Target_P1_8" xmlDataType="string"/>
    </xmlCellPr>
  </singleXmlCell>
  <singleXmlCell id="733" xr6:uid="{00000000-000C-0000-FFFF-FFFF07010000}" r="S130" connectionId="0">
    <xmlCellPr id="1" xr6:uid="{00000000-0010-0000-0701-000001000000}" uniqueName="1">
      <xmlPr mapId="43" xpath="/ns1:Root/ns1:Prog/ns1:Achieved__P12_7" xmlDataType="string"/>
    </xmlCellPr>
  </singleXmlCell>
  <singleXmlCell id="732" xr6:uid="{00000000-000C-0000-FFFF-FFFF08010000}" r="R130" connectionId="0">
    <xmlCellPr id="1" xr6:uid="{00000000-0010-0000-0801-000001000000}" uniqueName="1">
      <xmlPr mapId="43" xpath="/ns1:Root/ns1:Prog/ns1:Achieved__P11_7" xmlDataType="string"/>
    </xmlCellPr>
  </singleXmlCell>
  <singleXmlCell id="731" xr6:uid="{00000000-000C-0000-FFFF-FFFF09010000}" r="Q130" connectionId="0">
    <xmlCellPr id="1" xr6:uid="{00000000-0010-0000-0901-000001000000}" uniqueName="1">
      <xmlPr mapId="43" xpath="/ns1:Root/ns1:Prog/ns1:Achieved__P10_7" xmlDataType="string"/>
    </xmlCellPr>
  </singleXmlCell>
  <singleXmlCell id="730" xr6:uid="{00000000-000C-0000-FFFF-FFFF0A010000}" r="P130" connectionId="0">
    <xmlCellPr id="1" xr6:uid="{00000000-0010-0000-0A01-000001000000}" uniqueName="1">
      <xmlPr mapId="43" xpath="/ns1:Root/ns1:Prog/ns1:Achieved__P9_7" xmlDataType="string"/>
    </xmlCellPr>
  </singleXmlCell>
  <singleXmlCell id="729" xr6:uid="{00000000-000C-0000-FFFF-FFFF0B010000}" r="O130" connectionId="0">
    <xmlCellPr id="1" xr6:uid="{00000000-0010-0000-0B01-000001000000}" uniqueName="1">
      <xmlPr mapId="43" xpath="/ns1:Root/ns1:Prog/ns1:Achieved__P8_7" xmlDataType="string"/>
    </xmlCellPr>
  </singleXmlCell>
  <singleXmlCell id="728" xr6:uid="{00000000-000C-0000-FFFF-FFFF0C010000}" r="N130" connectionId="0">
    <xmlCellPr id="1" xr6:uid="{00000000-0010-0000-0C01-000001000000}" uniqueName="1">
      <xmlPr mapId="43" xpath="/ns1:Root/ns1:Prog/ns1:Achieved__P7_7" xmlDataType="string"/>
    </xmlCellPr>
  </singleXmlCell>
  <singleXmlCell id="727" xr6:uid="{00000000-000C-0000-FFFF-FFFF0D010000}" r="M130" connectionId="0">
    <xmlCellPr id="1" xr6:uid="{00000000-0010-0000-0D01-000001000000}" uniqueName="1">
      <xmlPr mapId="43" xpath="/ns1:Root/ns1:Prog/ns1:Achieved__P6_7" xmlDataType="string"/>
    </xmlCellPr>
  </singleXmlCell>
  <singleXmlCell id="726" xr6:uid="{00000000-000C-0000-FFFF-FFFF0E010000}" r="L130" connectionId="0">
    <xmlCellPr id="1" xr6:uid="{00000000-0010-0000-0E01-000001000000}" uniqueName="1">
      <xmlPr mapId="43" xpath="/ns1:Root/ns1:Prog/ns1:Achieved__P5_7" xmlDataType="string"/>
    </xmlCellPr>
  </singleXmlCell>
  <singleXmlCell id="725" xr6:uid="{00000000-000C-0000-FFFF-FFFF0F010000}" r="K130" connectionId="0">
    <xmlCellPr id="1" xr6:uid="{00000000-0010-0000-0F01-000001000000}" uniqueName="1">
      <xmlPr mapId="43" xpath="/ns1:Root/ns1:Prog/ns1:Achieved__P4_7" xmlDataType="double"/>
    </xmlCellPr>
  </singleXmlCell>
  <singleXmlCell id="724" xr6:uid="{00000000-000C-0000-FFFF-FFFF10010000}" r="J130" connectionId="0">
    <xmlCellPr id="1" xr6:uid="{00000000-0010-0000-1001-000001000000}" uniqueName="1">
      <xmlPr mapId="43" xpath="/ns1:Root/ns1:Prog/ns1:Achieved__P3_7" xmlDataType="double"/>
    </xmlCellPr>
  </singleXmlCell>
  <singleXmlCell id="723" xr6:uid="{00000000-000C-0000-FFFF-FFFF11010000}" r="I130" connectionId="0">
    <xmlCellPr id="1" xr6:uid="{00000000-0010-0000-1101-000001000000}" uniqueName="1">
      <xmlPr mapId="43" xpath="/ns1:Root/ns1:Prog/ns1:Achieved__P2_7" xmlDataType="double"/>
    </xmlCellPr>
  </singleXmlCell>
  <singleXmlCell id="722" xr6:uid="{00000000-000C-0000-FFFF-FFFF12010000}" r="H130" connectionId="0">
    <xmlCellPr id="1" xr6:uid="{00000000-0010-0000-1201-000001000000}" uniqueName="1">
      <xmlPr mapId="43" xpath="/ns1:Root/ns1:Prog/ns1:Achieved__P1_7" xmlDataType="double"/>
    </xmlCellPr>
  </singleXmlCell>
  <singleXmlCell id="721" xr6:uid="{00000000-000C-0000-FFFF-FFFF13010000}" r="S129" connectionId="0">
    <xmlCellPr id="1" xr6:uid="{00000000-0010-0000-1301-000001000000}" uniqueName="1">
      <xmlPr mapId="43" xpath="/ns1:Root/ns1:Prog/ns1:Target_P12_7" xmlDataType="double"/>
    </xmlCellPr>
  </singleXmlCell>
  <singleXmlCell id="720" xr6:uid="{00000000-000C-0000-FFFF-FFFF14010000}" r="R129" connectionId="0">
    <xmlCellPr id="1" xr6:uid="{00000000-0010-0000-1401-000001000000}" uniqueName="1">
      <xmlPr mapId="43" xpath="/ns1:Root/ns1:Prog/ns1:Target_P11_7" xmlDataType="double"/>
    </xmlCellPr>
  </singleXmlCell>
  <singleXmlCell id="719" xr6:uid="{00000000-000C-0000-FFFF-FFFF15010000}" r="Q129" connectionId="0">
    <xmlCellPr id="1" xr6:uid="{00000000-0010-0000-1501-000001000000}" uniqueName="1">
      <xmlPr mapId="43" xpath="/ns1:Root/ns1:Prog/ns1:Target_P10_7" xmlDataType="double"/>
    </xmlCellPr>
  </singleXmlCell>
  <singleXmlCell id="718" xr6:uid="{00000000-000C-0000-FFFF-FFFF16010000}" r="P129" connectionId="0">
    <xmlCellPr id="1" xr6:uid="{00000000-0010-0000-1601-000001000000}" uniqueName="1">
      <xmlPr mapId="43" xpath="/ns1:Root/ns1:Prog/ns1:Target_P9_7" xmlDataType="double"/>
    </xmlCellPr>
  </singleXmlCell>
  <singleXmlCell id="717" xr6:uid="{00000000-000C-0000-FFFF-FFFF17010000}" r="O129" connectionId="0">
    <xmlCellPr id="1" xr6:uid="{00000000-0010-0000-1701-000001000000}" uniqueName="1">
      <xmlPr mapId="43" xpath="/ns1:Root/ns1:Prog/ns1:Target_P8_7" xmlDataType="double"/>
    </xmlCellPr>
  </singleXmlCell>
  <singleXmlCell id="716" xr6:uid="{00000000-000C-0000-FFFF-FFFF18010000}" r="N129" connectionId="0">
    <xmlCellPr id="1" xr6:uid="{00000000-0010-0000-1801-000001000000}" uniqueName="1">
      <xmlPr mapId="43" xpath="/ns1:Root/ns1:Prog/ns1:Target_P7_7" xmlDataType="double"/>
    </xmlCellPr>
  </singleXmlCell>
  <singleXmlCell id="715" xr6:uid="{00000000-000C-0000-FFFF-FFFF19010000}" r="M129" connectionId="0">
    <xmlCellPr id="1" xr6:uid="{00000000-0010-0000-1901-000001000000}" uniqueName="1">
      <xmlPr mapId="43" xpath="/ns1:Root/ns1:Prog/ns1:Target_P6_7" xmlDataType="double"/>
    </xmlCellPr>
  </singleXmlCell>
  <singleXmlCell id="714" xr6:uid="{00000000-000C-0000-FFFF-FFFF1A010000}" r="L129" connectionId="0">
    <xmlCellPr id="1" xr6:uid="{00000000-0010-0000-1A01-000001000000}" uniqueName="1">
      <xmlPr mapId="43" xpath="/ns1:Root/ns1:Prog/ns1:Target_P5_7" xmlDataType="double"/>
    </xmlCellPr>
  </singleXmlCell>
  <singleXmlCell id="713" xr6:uid="{00000000-000C-0000-FFFF-FFFF1B010000}" r="K129" connectionId="0">
    <xmlCellPr id="1" xr6:uid="{00000000-0010-0000-1B01-000001000000}" uniqueName="1">
      <xmlPr mapId="43" xpath="/ns1:Root/ns1:Prog/ns1:Target_P4_7" xmlDataType="double"/>
    </xmlCellPr>
  </singleXmlCell>
  <singleXmlCell id="712" xr6:uid="{00000000-000C-0000-FFFF-FFFF1C010000}" r="J129" connectionId="0">
    <xmlCellPr id="1" xr6:uid="{00000000-0010-0000-1C01-000001000000}" uniqueName="1">
      <xmlPr mapId="43" xpath="/ns1:Root/ns1:Prog/ns1:Target_P3_7" xmlDataType="double"/>
    </xmlCellPr>
  </singleXmlCell>
  <singleXmlCell id="711" xr6:uid="{00000000-000C-0000-FFFF-FFFF1D010000}" r="I129" connectionId="0">
    <xmlCellPr id="1" xr6:uid="{00000000-0010-0000-1D01-000001000000}" uniqueName="1">
      <xmlPr mapId="43" xpath="/ns1:Root/ns1:Prog/ns1:Target_P2_7" xmlDataType="double"/>
    </xmlCellPr>
  </singleXmlCell>
  <singleXmlCell id="710" xr6:uid="{00000000-000C-0000-FFFF-FFFF1E010000}" r="H129" connectionId="0">
    <xmlCellPr id="1" xr6:uid="{00000000-0010-0000-1E01-000001000000}" uniqueName="1">
      <xmlPr mapId="43" xpath="/ns1:Root/ns1:Prog/ns1:Target_P1_7" xmlDataType="double"/>
    </xmlCellPr>
  </singleXmlCell>
  <singleXmlCell id="815" xr6:uid="{00000000-000C-0000-FFFF-FFFF1F010000}" r="F123" connectionId="0">
    <xmlCellPr id="1" xr6:uid="{00000000-0010-0000-1F01-000001000000}" uniqueName="1">
      <xmlPr mapId="43" xpath="/ns1:Root/ns1:P3_Tied" xmlDataType="string"/>
    </xmlCellPr>
  </singleXmlCell>
  <singleXmlCell id="814" xr6:uid="{00000000-000C-0000-FFFF-FFFF20010000}" r="E123" connectionId="0">
    <xmlCellPr id="1" xr6:uid="{00000000-0010-0000-2001-000001000000}" uniqueName="1">
      <xmlPr mapId="43" xpath="/ns1:Root/ns1:P3_Code" xmlDataType="double"/>
    </xmlCellPr>
  </singleXmlCell>
  <singleXmlCell id="813" xr6:uid="{00000000-000C-0000-FFFF-FFFF21010000}" r="B123" connectionId="0">
    <xmlCellPr id="1" xr6:uid="{00000000-0010-0000-2101-000001000000}" uniqueName="1">
      <xmlPr mapId="43" xpath="/ns1:Root/ns1:P3" xmlDataType="string"/>
    </xmlCellPr>
  </singleXmlCell>
  <singleXmlCell id="637" xr6:uid="{00000000-000C-0000-FFFF-FFFF22010000}" r="S124" connectionId="0">
    <xmlCellPr id="1" xr6:uid="{00000000-0010-0000-2201-000001000000}" uniqueName="1">
      <xmlPr mapId="43" xpath="/ns1:Root/ns1:Prog/ns1:Achieved__P12_3" xmlDataType="string"/>
    </xmlCellPr>
  </singleXmlCell>
  <singleXmlCell id="636" xr6:uid="{00000000-000C-0000-FFFF-FFFF23010000}" r="R124" connectionId="0">
    <xmlCellPr id="1" xr6:uid="{00000000-0010-0000-2301-000001000000}" uniqueName="1">
      <xmlPr mapId="43" xpath="/ns1:Root/ns1:Prog/ns1:Achieved__P11_3" xmlDataType="string"/>
    </xmlCellPr>
  </singleXmlCell>
  <singleXmlCell id="635" xr6:uid="{00000000-000C-0000-FFFF-FFFF24010000}" r="Q124" connectionId="0">
    <xmlCellPr id="1" xr6:uid="{00000000-0010-0000-2401-000001000000}" uniqueName="1">
      <xmlPr mapId="43" xpath="/ns1:Root/ns1:Prog/ns1:Achieved__P10_3" xmlDataType="string"/>
    </xmlCellPr>
  </singleXmlCell>
  <singleXmlCell id="634" xr6:uid="{00000000-000C-0000-FFFF-FFFF25010000}" r="P124" connectionId="0">
    <xmlCellPr id="1" xr6:uid="{00000000-0010-0000-2501-000001000000}" uniqueName="1">
      <xmlPr mapId="43" xpath="/ns1:Root/ns1:Prog/ns1:Achieved__P9_3" xmlDataType="string"/>
    </xmlCellPr>
  </singleXmlCell>
  <singleXmlCell id="633" xr6:uid="{00000000-000C-0000-FFFF-FFFF26010000}" r="O124" connectionId="0">
    <xmlCellPr id="1" xr6:uid="{00000000-0010-0000-2601-000001000000}" uniqueName="1">
      <xmlPr mapId="43" xpath="/ns1:Root/ns1:Prog/ns1:Achieved__P8_3" xmlDataType="string"/>
    </xmlCellPr>
  </singleXmlCell>
  <singleXmlCell id="632" xr6:uid="{00000000-000C-0000-FFFF-FFFF27010000}" r="N124" connectionId="0">
    <xmlCellPr id="1" xr6:uid="{00000000-0010-0000-2701-000001000000}" uniqueName="1">
      <xmlPr mapId="43" xpath="/ns1:Root/ns1:Prog/ns1:Achieved__P7_3" xmlDataType="string"/>
    </xmlCellPr>
  </singleXmlCell>
  <singleXmlCell id="631" xr6:uid="{00000000-000C-0000-FFFF-FFFF28010000}" r="M124" connectionId="0">
    <xmlCellPr id="1" xr6:uid="{00000000-0010-0000-2801-000001000000}" uniqueName="1">
      <xmlPr mapId="43" xpath="/ns1:Root/ns1:Prog/ns1:Achieved__P6_3" xmlDataType="string"/>
    </xmlCellPr>
  </singleXmlCell>
  <singleXmlCell id="630" xr6:uid="{00000000-000C-0000-FFFF-FFFF29010000}" r="L124" connectionId="0">
    <xmlCellPr id="1" xr6:uid="{00000000-0010-0000-2901-000001000000}" uniqueName="1">
      <xmlPr mapId="43" xpath="/ns1:Root/ns1:Prog/ns1:Achieved__P5_3" xmlDataType="string"/>
    </xmlCellPr>
  </singleXmlCell>
  <singleXmlCell id="629" xr6:uid="{00000000-000C-0000-FFFF-FFFF2A010000}" r="K124" connectionId="0">
    <xmlCellPr id="1" xr6:uid="{00000000-0010-0000-2A01-000001000000}" uniqueName="1">
      <xmlPr mapId="43" xpath="/ns1:Root/ns1:Prog/ns1:Achieved__P4_3" xmlDataType="double"/>
    </xmlCellPr>
  </singleXmlCell>
  <singleXmlCell id="628" xr6:uid="{00000000-000C-0000-FFFF-FFFF2B010000}" r="J124" connectionId="0">
    <xmlCellPr id="1" xr6:uid="{00000000-0010-0000-2B01-000001000000}" uniqueName="1">
      <xmlPr mapId="43" xpath="/ns1:Root/ns1:Prog/ns1:Achieved__P3_3" xmlDataType="string"/>
    </xmlCellPr>
  </singleXmlCell>
  <singleXmlCell id="627" xr6:uid="{00000000-000C-0000-FFFF-FFFF2C010000}" r="I124" connectionId="0">
    <xmlCellPr id="1" xr6:uid="{00000000-0010-0000-2C01-000001000000}" uniqueName="1">
      <xmlPr mapId="43" xpath="/ns1:Root/ns1:Prog/ns1:Achieved__P2_3" xmlDataType="double"/>
    </xmlCellPr>
  </singleXmlCell>
  <singleXmlCell id="626" xr6:uid="{00000000-000C-0000-FFFF-FFFF2D010000}" r="H124" connectionId="0">
    <xmlCellPr id="1" xr6:uid="{00000000-0010-0000-2D01-000001000000}" uniqueName="1">
      <xmlPr mapId="43" xpath="/ns1:Root/ns1:Prog/ns1:Achieved__P1_3" xmlDataType="string"/>
    </xmlCellPr>
  </singleXmlCell>
  <singleXmlCell id="625" xr6:uid="{00000000-000C-0000-FFFF-FFFF2E010000}" r="S123" connectionId="0">
    <xmlCellPr id="1" xr6:uid="{00000000-0010-0000-2E01-000001000000}" uniqueName="1">
      <xmlPr mapId="43" xpath="/ns1:Root/ns1:Prog/ns1:Target_P12_3" xmlDataType="double"/>
    </xmlCellPr>
  </singleXmlCell>
  <singleXmlCell id="624" xr6:uid="{00000000-000C-0000-FFFF-FFFF2F010000}" r="R123" connectionId="0">
    <xmlCellPr id="1" xr6:uid="{00000000-0010-0000-2F01-000001000000}" uniqueName="1">
      <xmlPr mapId="43" xpath="/ns1:Root/ns1:Prog/ns1:Target_P11_3" xmlDataType="string"/>
    </xmlCellPr>
  </singleXmlCell>
  <singleXmlCell id="623" xr6:uid="{00000000-000C-0000-FFFF-FFFF30010000}" r="Q123" connectionId="0">
    <xmlCellPr id="1" xr6:uid="{00000000-0010-0000-3001-000001000000}" uniqueName="1">
      <xmlPr mapId="43" xpath="/ns1:Root/ns1:Prog/ns1:Target_P10_3" xmlDataType="string"/>
    </xmlCellPr>
  </singleXmlCell>
  <singleXmlCell id="622" xr6:uid="{00000000-000C-0000-FFFF-FFFF31010000}" r="P123" connectionId="0">
    <xmlCellPr id="1" xr6:uid="{00000000-0010-0000-3101-000001000000}" uniqueName="1">
      <xmlPr mapId="43" xpath="/ns1:Root/ns1:Prog/ns1:Target_P9_3" xmlDataType="double"/>
    </xmlCellPr>
  </singleXmlCell>
  <singleXmlCell id="621" xr6:uid="{00000000-000C-0000-FFFF-FFFF32010000}" r="O123" connectionId="0">
    <xmlCellPr id="1" xr6:uid="{00000000-0010-0000-3201-000001000000}" uniqueName="1">
      <xmlPr mapId="43" xpath="/ns1:Root/ns1:Prog/ns1:Target_P8_3" xmlDataType="double"/>
    </xmlCellPr>
  </singleXmlCell>
  <singleXmlCell id="620" xr6:uid="{00000000-000C-0000-FFFF-FFFF33010000}" r="N123" connectionId="0">
    <xmlCellPr id="1" xr6:uid="{00000000-0010-0000-3301-000001000000}" uniqueName="1">
      <xmlPr mapId="43" xpath="/ns1:Root/ns1:Prog/ns1:Target_P7_3" xmlDataType="double"/>
    </xmlCellPr>
  </singleXmlCell>
  <singleXmlCell id="619" xr6:uid="{00000000-000C-0000-FFFF-FFFF34010000}" r="M123" connectionId="0">
    <xmlCellPr id="1" xr6:uid="{00000000-0010-0000-3401-000001000000}" uniqueName="1">
      <xmlPr mapId="43" xpath="/ns1:Root/ns1:Prog/ns1:Target_P6_3" xmlDataType="double"/>
    </xmlCellPr>
  </singleXmlCell>
  <singleXmlCell id="618" xr6:uid="{00000000-000C-0000-FFFF-FFFF35010000}" r="L123" connectionId="0">
    <xmlCellPr id="1" xr6:uid="{00000000-0010-0000-3501-000001000000}" uniqueName="1">
      <xmlPr mapId="43" xpath="/ns1:Root/ns1:Prog/ns1:Target_P5_3" xmlDataType="double"/>
    </xmlCellPr>
  </singleXmlCell>
  <singleXmlCell id="617" xr6:uid="{00000000-000C-0000-FFFF-FFFF36010000}" r="K123" connectionId="0">
    <xmlCellPr id="1" xr6:uid="{00000000-0010-0000-3601-000001000000}" uniqueName="1">
      <xmlPr mapId="43" xpath="/ns1:Root/ns1:Prog/ns1:Target_P4_3" xmlDataType="double"/>
    </xmlCellPr>
  </singleXmlCell>
  <singleXmlCell id="616" xr6:uid="{00000000-000C-0000-FFFF-FFFF37010000}" r="J123" connectionId="0">
    <xmlCellPr id="1" xr6:uid="{00000000-0010-0000-3701-000001000000}" uniqueName="1">
      <xmlPr mapId="43" xpath="/ns1:Root/ns1:Prog/ns1:Target_P3_3" xmlDataType="double"/>
    </xmlCellPr>
  </singleXmlCell>
  <singleXmlCell id="615" xr6:uid="{00000000-000C-0000-FFFF-FFFF38010000}" r="I123" connectionId="0">
    <xmlCellPr id="1" xr6:uid="{00000000-0010-0000-3801-000001000000}" uniqueName="1">
      <xmlPr mapId="43" xpath="/ns1:Root/ns1:Prog/ns1:Target_P2_3" xmlDataType="double"/>
    </xmlCellPr>
  </singleXmlCell>
  <singleXmlCell id="614" xr6:uid="{00000000-000C-0000-FFFF-FFFF39010000}" r="H123" connectionId="0">
    <xmlCellPr id="1" xr6:uid="{00000000-0010-0000-3901-000001000000}" uniqueName="1">
      <xmlPr mapId="43" xpath="/ns1:Root/ns1:Prog/ns1:Target_P1_3" xmlDataType="double"/>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1"/>
  </sheetPr>
  <dimension ref="B1:O22"/>
  <sheetViews>
    <sheetView showGridLines="0" showRowColHeaders="0" tabSelected="1" zoomScale="120" zoomScaleNormal="100" workbookViewId="0"/>
  </sheetViews>
  <sheetFormatPr defaultColWidth="11" defaultRowHeight="15"/>
  <cols>
    <col min="1" max="1" width="1.140625" customWidth="1"/>
    <col min="2" max="10" width="11.42578125" customWidth="1"/>
    <col min="11" max="11" width="1.7109375" customWidth="1"/>
  </cols>
  <sheetData>
    <row r="1" spans="2:15" ht="25.5" customHeight="1"/>
    <row r="2" spans="2:15" ht="36">
      <c r="B2" s="623" t="str">
        <f>+'Detail despre Grant'!B3:J3</f>
        <v>Tabel Programatic de Evaluare:  Moldova - HIVAIDS / TB</v>
      </c>
      <c r="C2" s="623"/>
      <c r="D2" s="623"/>
      <c r="E2" s="623"/>
      <c r="F2" s="623"/>
      <c r="G2" s="623"/>
      <c r="H2" s="623"/>
      <c r="I2" s="623"/>
      <c r="J2" s="623"/>
      <c r="K2" s="623"/>
      <c r="L2" s="623"/>
      <c r="M2" s="1"/>
      <c r="N2" s="1"/>
      <c r="O2" s="1"/>
    </row>
    <row r="4" spans="2:15" ht="21">
      <c r="B4" s="624" t="str">
        <f>+IF('Introducerea datelor'!G6="Please Select", "",'Introducerea datelor'!G6) &amp;"  "&amp;+IF('Introducerea datelor'!G8="Please Select", "", 'Introducerea datelor'!G8&amp;",  ")&amp;+IF('Introducerea datelor'!I8="Please Select","",'Introducerea datelor'!I8)</f>
        <v>HIVAIDS / TB  Period 1</v>
      </c>
      <c r="C4" s="624"/>
      <c r="D4" s="624"/>
      <c r="E4" s="625"/>
      <c r="F4" s="133"/>
      <c r="G4" s="133"/>
      <c r="H4" s="194" t="str">
        <f>+'Introducerea datelor'!B6&amp;" "&amp;+'Introducerea datelor'!C6</f>
        <v>No. Grantului : MDA-C-PCIMU</v>
      </c>
      <c r="I4" s="194"/>
      <c r="J4" s="132"/>
      <c r="K4" s="133"/>
      <c r="L4" s="133"/>
    </row>
    <row r="22" spans="2:12" ht="26.25">
      <c r="B22" s="626" t="s">
        <v>273</v>
      </c>
      <c r="C22" s="627"/>
      <c r="D22" s="627"/>
      <c r="E22" s="627"/>
      <c r="F22" s="627"/>
      <c r="G22" s="627"/>
      <c r="H22" s="627"/>
      <c r="I22" s="627"/>
      <c r="J22" s="627"/>
      <c r="K22" s="627"/>
      <c r="L22" s="627"/>
    </row>
  </sheetData>
  <mergeCells count="3">
    <mergeCell ref="B2:L2"/>
    <mergeCell ref="B4:E4"/>
    <mergeCell ref="B22:L22"/>
  </mergeCells>
  <phoneticPr fontId="23"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FF0000"/>
  </sheetPr>
  <dimension ref="B2:Q144"/>
  <sheetViews>
    <sheetView showGridLines="0" zoomScale="80" zoomScaleNormal="80" workbookViewId="0">
      <selection activeCell="B3" sqref="B3:J3"/>
    </sheetView>
  </sheetViews>
  <sheetFormatPr defaultColWidth="11" defaultRowHeight="15"/>
  <cols>
    <col min="1" max="1" width="11.42578125" customWidth="1"/>
    <col min="2" max="2" width="14.5703125" bestFit="1" customWidth="1"/>
    <col min="3" max="6" width="14.42578125" bestFit="1" customWidth="1"/>
    <col min="7" max="9" width="14.42578125" customWidth="1"/>
    <col min="10" max="10" width="29.5703125" bestFit="1" customWidth="1"/>
    <col min="11" max="11" width="23.85546875" bestFit="1" customWidth="1"/>
    <col min="12" max="12" width="53.5703125" bestFit="1" customWidth="1"/>
    <col min="13" max="14" width="11.42578125" customWidth="1"/>
    <col min="15" max="15" width="28.5703125" customWidth="1"/>
    <col min="16" max="16" width="46.42578125" customWidth="1"/>
  </cols>
  <sheetData>
    <row r="2" spans="2:17" ht="25.5" customHeight="1"/>
    <row r="3" spans="2:17" ht="36">
      <c r="B3" s="946" t="str">
        <f>'Detail despre Grant'!B3:J3</f>
        <v>Tabel Programatic de Evaluare:  Moldova - HIVAIDS / TB</v>
      </c>
      <c r="C3" s="946"/>
      <c r="D3" s="946"/>
      <c r="E3" s="946"/>
      <c r="F3" s="946"/>
      <c r="G3" s="946"/>
      <c r="H3" s="946"/>
      <c r="I3" s="946"/>
      <c r="J3" s="946"/>
      <c r="K3" s="1"/>
    </row>
    <row r="6" spans="2:17" ht="18.75">
      <c r="B6" s="889" t="s">
        <v>245</v>
      </c>
      <c r="C6" s="889"/>
      <c r="D6" s="889"/>
      <c r="E6" s="889"/>
      <c r="F6" s="889"/>
      <c r="G6" s="889"/>
      <c r="H6" s="889"/>
      <c r="I6" s="889"/>
      <c r="J6" s="889"/>
    </row>
    <row r="8" spans="2:17" ht="18.75">
      <c r="B8" s="44" t="s">
        <v>13</v>
      </c>
      <c r="C8" s="44" t="s">
        <v>16</v>
      </c>
      <c r="D8" s="44" t="s">
        <v>17</v>
      </c>
      <c r="E8" s="44" t="s">
        <v>22</v>
      </c>
      <c r="F8" s="44" t="s">
        <v>229</v>
      </c>
      <c r="G8" s="44" t="s">
        <v>433</v>
      </c>
      <c r="H8" s="44" t="s">
        <v>434</v>
      </c>
      <c r="I8" s="44" t="s">
        <v>213</v>
      </c>
      <c r="J8" s="44" t="s">
        <v>232</v>
      </c>
      <c r="K8" s="45" t="s">
        <v>52</v>
      </c>
      <c r="L8" s="45" t="s">
        <v>78</v>
      </c>
      <c r="O8" s="19"/>
      <c r="P8" s="19"/>
      <c r="Q8" s="19"/>
    </row>
    <row r="9" spans="2:17">
      <c r="B9" s="55" t="s">
        <v>268</v>
      </c>
      <c r="C9" s="55" t="s">
        <v>268</v>
      </c>
      <c r="D9" s="55" t="s">
        <v>268</v>
      </c>
      <c r="E9" s="55" t="s">
        <v>268</v>
      </c>
      <c r="F9" s="55" t="s">
        <v>268</v>
      </c>
      <c r="G9" s="55"/>
      <c r="H9" s="55"/>
      <c r="I9" s="55" t="s">
        <v>268</v>
      </c>
      <c r="J9" s="55" t="s">
        <v>268</v>
      </c>
      <c r="K9" s="218" t="s">
        <v>268</v>
      </c>
      <c r="L9" s="55" t="s">
        <v>268</v>
      </c>
      <c r="O9" s="19"/>
      <c r="P9" s="19"/>
      <c r="Q9" s="19"/>
    </row>
    <row r="10" spans="2:17">
      <c r="B10" s="39" t="s">
        <v>12</v>
      </c>
      <c r="C10" s="39" t="s">
        <v>7</v>
      </c>
      <c r="D10" s="39" t="s">
        <v>5</v>
      </c>
      <c r="E10" s="39" t="s">
        <v>6</v>
      </c>
      <c r="F10" s="39" t="s">
        <v>60</v>
      </c>
      <c r="G10" s="328">
        <v>43101</v>
      </c>
      <c r="H10" s="328">
        <v>43281</v>
      </c>
      <c r="I10" s="221" t="s">
        <v>24</v>
      </c>
      <c r="J10" s="42" t="s">
        <v>29</v>
      </c>
      <c r="K10" s="23" t="s">
        <v>235</v>
      </c>
      <c r="L10" s="55" t="s">
        <v>79</v>
      </c>
      <c r="O10" s="19"/>
      <c r="P10" s="19"/>
      <c r="Q10" s="19"/>
    </row>
    <row r="11" spans="2:17">
      <c r="B11" s="39" t="s">
        <v>14</v>
      </c>
      <c r="C11" s="39" t="s">
        <v>2</v>
      </c>
      <c r="D11" s="39" t="s">
        <v>8</v>
      </c>
      <c r="E11" s="39" t="s">
        <v>4</v>
      </c>
      <c r="F11" s="39" t="s">
        <v>61</v>
      </c>
      <c r="G11" s="328">
        <v>43282</v>
      </c>
      <c r="H11" s="328">
        <v>43465</v>
      </c>
      <c r="I11" s="221" t="s">
        <v>25</v>
      </c>
      <c r="J11" s="42" t="s">
        <v>30</v>
      </c>
      <c r="K11" s="23" t="s">
        <v>236</v>
      </c>
      <c r="L11" s="55" t="s">
        <v>80</v>
      </c>
      <c r="O11" s="19"/>
      <c r="P11" s="19"/>
      <c r="Q11" s="19"/>
    </row>
    <row r="12" spans="2:17">
      <c r="B12" s="39" t="s">
        <v>15</v>
      </c>
      <c r="D12" s="39" t="s">
        <v>9</v>
      </c>
      <c r="E12" s="39" t="s">
        <v>10</v>
      </c>
      <c r="F12" s="39" t="s">
        <v>62</v>
      </c>
      <c r="G12" s="328">
        <v>43466</v>
      </c>
      <c r="H12" s="328">
        <v>43646</v>
      </c>
      <c r="I12" s="221" t="s">
        <v>26</v>
      </c>
      <c r="J12" s="42" t="s">
        <v>31</v>
      </c>
      <c r="K12" s="23" t="s">
        <v>237</v>
      </c>
      <c r="L12" s="55" t="s">
        <v>81</v>
      </c>
      <c r="O12" s="119"/>
      <c r="P12" s="19"/>
      <c r="Q12" s="19"/>
    </row>
    <row r="13" spans="2:17">
      <c r="B13" s="39" t="s">
        <v>50</v>
      </c>
      <c r="D13" s="39" t="s">
        <v>11</v>
      </c>
      <c r="E13" s="40"/>
      <c r="F13" s="39" t="s">
        <v>63</v>
      </c>
      <c r="G13" s="328">
        <v>43647</v>
      </c>
      <c r="H13" s="328">
        <v>43830</v>
      </c>
      <c r="I13" s="221" t="s">
        <v>27</v>
      </c>
      <c r="J13" s="42" t="s">
        <v>32</v>
      </c>
      <c r="K13" s="23" t="s">
        <v>238</v>
      </c>
      <c r="L13" s="55" t="s">
        <v>82</v>
      </c>
      <c r="O13" s="119"/>
      <c r="P13" s="19"/>
      <c r="Q13" s="19"/>
    </row>
    <row r="14" spans="2:17">
      <c r="B14" s="39" t="s">
        <v>51</v>
      </c>
      <c r="D14" s="39" t="s">
        <v>18</v>
      </c>
      <c r="F14" s="39" t="s">
        <v>70</v>
      </c>
      <c r="G14" s="328">
        <v>43831</v>
      </c>
      <c r="H14" s="328">
        <v>44012</v>
      </c>
      <c r="I14" s="221" t="s">
        <v>28</v>
      </c>
      <c r="J14" s="42" t="s">
        <v>33</v>
      </c>
      <c r="K14" s="23" t="s">
        <v>214</v>
      </c>
      <c r="L14" s="55" t="s">
        <v>83</v>
      </c>
      <c r="O14" s="119"/>
      <c r="P14" s="19"/>
      <c r="Q14" s="19"/>
    </row>
    <row r="15" spans="2:17">
      <c r="D15" s="39" t="s">
        <v>19</v>
      </c>
      <c r="F15" s="39" t="s">
        <v>71</v>
      </c>
      <c r="G15" s="328">
        <v>44013</v>
      </c>
      <c r="H15" s="328">
        <v>44196</v>
      </c>
      <c r="J15" s="42" t="s">
        <v>34</v>
      </c>
      <c r="K15" s="23" t="s">
        <v>40</v>
      </c>
      <c r="L15" s="55" t="s">
        <v>84</v>
      </c>
      <c r="O15" s="119"/>
      <c r="P15" s="19"/>
      <c r="Q15" s="19"/>
    </row>
    <row r="16" spans="2:17">
      <c r="D16" s="39" t="s">
        <v>20</v>
      </c>
      <c r="F16" s="39" t="s">
        <v>72</v>
      </c>
      <c r="G16" s="328" t="s">
        <v>435</v>
      </c>
      <c r="H16" s="328" t="s">
        <v>435</v>
      </c>
      <c r="J16" s="42" t="s">
        <v>35</v>
      </c>
      <c r="K16" s="23" t="s">
        <v>41</v>
      </c>
      <c r="L16" s="55" t="s">
        <v>85</v>
      </c>
      <c r="O16" s="119"/>
      <c r="P16" s="19"/>
      <c r="Q16" s="19"/>
    </row>
    <row r="17" spans="4:17">
      <c r="D17" s="39" t="s">
        <v>21</v>
      </c>
      <c r="F17" s="39" t="s">
        <v>73</v>
      </c>
      <c r="G17" s="328" t="s">
        <v>435</v>
      </c>
      <c r="H17" s="328" t="s">
        <v>435</v>
      </c>
      <c r="J17" s="42" t="s">
        <v>36</v>
      </c>
      <c r="K17" s="23" t="s">
        <v>42</v>
      </c>
      <c r="L17" s="55" t="s">
        <v>86</v>
      </c>
      <c r="O17" s="119"/>
      <c r="P17" s="19"/>
      <c r="Q17" s="19"/>
    </row>
    <row r="18" spans="4:17">
      <c r="D18" s="39" t="s">
        <v>3</v>
      </c>
      <c r="F18" s="39" t="s">
        <v>74</v>
      </c>
      <c r="G18" s="328" t="s">
        <v>435</v>
      </c>
      <c r="H18" s="328" t="s">
        <v>435</v>
      </c>
      <c r="J18" s="42" t="s">
        <v>37</v>
      </c>
      <c r="K18" s="23" t="s">
        <v>43</v>
      </c>
      <c r="L18" s="55" t="s">
        <v>87</v>
      </c>
      <c r="O18" s="119"/>
      <c r="P18" s="19"/>
      <c r="Q18" s="19"/>
    </row>
    <row r="19" spans="4:17">
      <c r="D19" s="220" t="s">
        <v>267</v>
      </c>
      <c r="F19" s="39" t="s">
        <v>75</v>
      </c>
      <c r="G19" s="328" t="s">
        <v>435</v>
      </c>
      <c r="H19" s="328" t="s">
        <v>435</v>
      </c>
      <c r="J19" s="42" t="s">
        <v>38</v>
      </c>
      <c r="K19" s="23" t="s">
        <v>44</v>
      </c>
      <c r="L19" s="55" t="s">
        <v>88</v>
      </c>
      <c r="O19" s="119"/>
      <c r="P19" s="19"/>
      <c r="Q19" s="19"/>
    </row>
    <row r="20" spans="4:17">
      <c r="D20" s="41"/>
      <c r="F20" s="39" t="s">
        <v>76</v>
      </c>
      <c r="G20" s="328" t="s">
        <v>435</v>
      </c>
      <c r="H20" s="328" t="s">
        <v>435</v>
      </c>
      <c r="J20" s="42" t="s">
        <v>211</v>
      </c>
      <c r="K20" s="23" t="s">
        <v>45</v>
      </c>
      <c r="L20" s="55" t="s">
        <v>89</v>
      </c>
      <c r="O20" s="19"/>
      <c r="P20" s="19"/>
      <c r="Q20" s="19"/>
    </row>
    <row r="21" spans="4:17">
      <c r="D21" s="43"/>
      <c r="F21" s="39" t="s">
        <v>230</v>
      </c>
      <c r="G21" s="328" t="s">
        <v>435</v>
      </c>
      <c r="H21" s="328" t="s">
        <v>435</v>
      </c>
      <c r="J21" s="43"/>
      <c r="K21" s="23" t="s">
        <v>47</v>
      </c>
      <c r="L21" s="55" t="s">
        <v>90</v>
      </c>
      <c r="O21" s="19"/>
      <c r="P21" s="19"/>
      <c r="Q21" s="19"/>
    </row>
    <row r="22" spans="4:17">
      <c r="J22" s="43"/>
      <c r="K22" s="23" t="s">
        <v>48</v>
      </c>
      <c r="L22" s="55" t="s">
        <v>91</v>
      </c>
      <c r="O22" s="19"/>
      <c r="P22" s="19"/>
      <c r="Q22" s="19"/>
    </row>
    <row r="23" spans="4:17">
      <c r="K23" s="23" t="s">
        <v>46</v>
      </c>
      <c r="L23" s="55" t="s">
        <v>92</v>
      </c>
      <c r="O23" s="19"/>
      <c r="P23" s="19"/>
      <c r="Q23" s="19"/>
    </row>
    <row r="24" spans="4:17">
      <c r="K24" s="23" t="s">
        <v>240</v>
      </c>
      <c r="L24" s="55" t="s">
        <v>93</v>
      </c>
      <c r="O24" s="19"/>
      <c r="P24" s="19"/>
      <c r="Q24" s="19"/>
    </row>
    <row r="25" spans="4:17">
      <c r="K25" s="30"/>
      <c r="L25" s="55" t="s">
        <v>94</v>
      </c>
    </row>
    <row r="26" spans="4:17">
      <c r="K26" s="23" t="s">
        <v>241</v>
      </c>
      <c r="L26" s="55" t="s">
        <v>95</v>
      </c>
    </row>
    <row r="27" spans="4:17">
      <c r="K27" s="23" t="s">
        <v>239</v>
      </c>
      <c r="L27" s="55" t="s">
        <v>96</v>
      </c>
    </row>
    <row r="28" spans="4:17">
      <c r="K28" s="30"/>
      <c r="L28" s="55" t="s">
        <v>97</v>
      </c>
    </row>
    <row r="29" spans="4:17">
      <c r="K29" s="30"/>
      <c r="L29" s="55" t="s">
        <v>98</v>
      </c>
    </row>
    <row r="30" spans="4:17">
      <c r="K30" s="30"/>
      <c r="L30" s="55" t="s">
        <v>99</v>
      </c>
    </row>
    <row r="31" spans="4:17">
      <c r="L31" s="55" t="s">
        <v>100</v>
      </c>
    </row>
    <row r="32" spans="4:17">
      <c r="L32" s="55" t="s">
        <v>101</v>
      </c>
    </row>
    <row r="33" spans="12:12">
      <c r="L33" s="55" t="s">
        <v>102</v>
      </c>
    </row>
    <row r="34" spans="12:12">
      <c r="L34" s="55" t="s">
        <v>103</v>
      </c>
    </row>
    <row r="35" spans="12:12">
      <c r="L35" s="55" t="s">
        <v>104</v>
      </c>
    </row>
    <row r="36" spans="12:12">
      <c r="L36" s="55" t="s">
        <v>104</v>
      </c>
    </row>
    <row r="37" spans="12:12">
      <c r="L37" s="55" t="s">
        <v>105</v>
      </c>
    </row>
    <row r="38" spans="12:12">
      <c r="L38" s="55" t="s">
        <v>106</v>
      </c>
    </row>
    <row r="39" spans="12:12">
      <c r="L39" s="55" t="s">
        <v>107</v>
      </c>
    </row>
    <row r="40" spans="12:12">
      <c r="L40" s="55" t="s">
        <v>108</v>
      </c>
    </row>
    <row r="41" spans="12:12">
      <c r="L41" s="55" t="s">
        <v>109</v>
      </c>
    </row>
    <row r="42" spans="12:12">
      <c r="L42" s="55" t="s">
        <v>110</v>
      </c>
    </row>
    <row r="43" spans="12:12">
      <c r="L43" s="55" t="s">
        <v>111</v>
      </c>
    </row>
    <row r="44" spans="12:12">
      <c r="L44" s="55" t="s">
        <v>112</v>
      </c>
    </row>
    <row r="45" spans="12:12">
      <c r="L45" s="55" t="s">
        <v>113</v>
      </c>
    </row>
    <row r="46" spans="12:12">
      <c r="L46" s="55" t="s">
        <v>114</v>
      </c>
    </row>
    <row r="47" spans="12:12">
      <c r="L47" s="55" t="s">
        <v>115</v>
      </c>
    </row>
    <row r="48" spans="12:12">
      <c r="L48" s="55" t="s">
        <v>116</v>
      </c>
    </row>
    <row r="49" spans="12:12">
      <c r="L49" s="55" t="s">
        <v>117</v>
      </c>
    </row>
    <row r="50" spans="12:12">
      <c r="L50" s="55" t="s">
        <v>118</v>
      </c>
    </row>
    <row r="51" spans="12:12">
      <c r="L51" s="55" t="s">
        <v>119</v>
      </c>
    </row>
    <row r="52" spans="12:12">
      <c r="L52" s="55" t="s">
        <v>120</v>
      </c>
    </row>
    <row r="53" spans="12:12">
      <c r="L53" s="55" t="s">
        <v>121</v>
      </c>
    </row>
    <row r="54" spans="12:12">
      <c r="L54" s="55" t="s">
        <v>122</v>
      </c>
    </row>
    <row r="55" spans="12:12">
      <c r="L55" s="55" t="s">
        <v>123</v>
      </c>
    </row>
    <row r="56" spans="12:12">
      <c r="L56" s="55" t="s">
        <v>124</v>
      </c>
    </row>
    <row r="57" spans="12:12">
      <c r="L57" s="55" t="s">
        <v>125</v>
      </c>
    </row>
    <row r="58" spans="12:12">
      <c r="L58" s="55" t="s">
        <v>126</v>
      </c>
    </row>
    <row r="59" spans="12:12">
      <c r="L59" s="55" t="s">
        <v>127</v>
      </c>
    </row>
    <row r="60" spans="12:12">
      <c r="L60" s="55" t="s">
        <v>128</v>
      </c>
    </row>
    <row r="61" spans="12:12">
      <c r="L61" s="55" t="s">
        <v>129</v>
      </c>
    </row>
    <row r="62" spans="12:12">
      <c r="L62" s="55" t="s">
        <v>130</v>
      </c>
    </row>
    <row r="63" spans="12:12">
      <c r="L63" s="55" t="s">
        <v>131</v>
      </c>
    </row>
    <row r="64" spans="12:12">
      <c r="L64" s="55" t="s">
        <v>132</v>
      </c>
    </row>
    <row r="65" spans="12:12">
      <c r="L65" s="55" t="s">
        <v>133</v>
      </c>
    </row>
    <row r="66" spans="12:12">
      <c r="L66" s="55" t="s">
        <v>134</v>
      </c>
    </row>
    <row r="67" spans="12:12">
      <c r="L67" s="55" t="s">
        <v>135</v>
      </c>
    </row>
    <row r="68" spans="12:12">
      <c r="L68" s="55" t="s">
        <v>136</v>
      </c>
    </row>
    <row r="69" spans="12:12">
      <c r="L69" s="55" t="s">
        <v>137</v>
      </c>
    </row>
    <row r="70" spans="12:12">
      <c r="L70" s="55" t="s">
        <v>138</v>
      </c>
    </row>
    <row r="71" spans="12:12">
      <c r="L71" s="55" t="s">
        <v>139</v>
      </c>
    </row>
    <row r="72" spans="12:12">
      <c r="L72" s="55" t="s">
        <v>140</v>
      </c>
    </row>
    <row r="73" spans="12:12">
      <c r="L73" s="55" t="s">
        <v>141</v>
      </c>
    </row>
    <row r="74" spans="12:12">
      <c r="L74" s="55" t="s">
        <v>142</v>
      </c>
    </row>
    <row r="75" spans="12:12">
      <c r="L75" s="55" t="s">
        <v>143</v>
      </c>
    </row>
    <row r="76" spans="12:12">
      <c r="L76" s="55" t="s">
        <v>144</v>
      </c>
    </row>
    <row r="77" spans="12:12">
      <c r="L77" s="55" t="s">
        <v>145</v>
      </c>
    </row>
    <row r="78" spans="12:12">
      <c r="L78" s="55" t="s">
        <v>146</v>
      </c>
    </row>
    <row r="79" spans="12:12">
      <c r="L79" s="55" t="s">
        <v>147</v>
      </c>
    </row>
    <row r="80" spans="12:12">
      <c r="L80" s="55" t="s">
        <v>148</v>
      </c>
    </row>
    <row r="81" spans="12:12">
      <c r="L81" s="55" t="s">
        <v>149</v>
      </c>
    </row>
    <row r="82" spans="12:12">
      <c r="L82" s="55" t="s">
        <v>150</v>
      </c>
    </row>
    <row r="83" spans="12:12">
      <c r="L83" s="55" t="s">
        <v>151</v>
      </c>
    </row>
    <row r="84" spans="12:12">
      <c r="L84" s="55" t="s">
        <v>152</v>
      </c>
    </row>
    <row r="85" spans="12:12">
      <c r="L85" s="55" t="s">
        <v>153</v>
      </c>
    </row>
    <row r="86" spans="12:12">
      <c r="L86" s="55" t="s">
        <v>154</v>
      </c>
    </row>
    <row r="87" spans="12:12">
      <c r="L87" s="55" t="s">
        <v>155</v>
      </c>
    </row>
    <row r="88" spans="12:12">
      <c r="L88" s="55" t="s">
        <v>156</v>
      </c>
    </row>
    <row r="89" spans="12:12">
      <c r="L89" s="55" t="s">
        <v>157</v>
      </c>
    </row>
    <row r="90" spans="12:12">
      <c r="L90" s="55" t="s">
        <v>158</v>
      </c>
    </row>
    <row r="91" spans="12:12">
      <c r="L91" s="55" t="s">
        <v>159</v>
      </c>
    </row>
    <row r="92" spans="12:12">
      <c r="L92" s="55" t="s">
        <v>160</v>
      </c>
    </row>
    <row r="93" spans="12:12">
      <c r="L93" s="55" t="s">
        <v>161</v>
      </c>
    </row>
    <row r="94" spans="12:12">
      <c r="L94" s="55" t="s">
        <v>162</v>
      </c>
    </row>
    <row r="95" spans="12:12">
      <c r="L95" s="55" t="s">
        <v>163</v>
      </c>
    </row>
    <row r="96" spans="12:12">
      <c r="L96" s="55" t="s">
        <v>164</v>
      </c>
    </row>
    <row r="97" spans="12:12">
      <c r="L97" s="55" t="s">
        <v>165</v>
      </c>
    </row>
    <row r="98" spans="12:12">
      <c r="L98" s="55" t="s">
        <v>166</v>
      </c>
    </row>
    <row r="99" spans="12:12">
      <c r="L99" s="55" t="s">
        <v>167</v>
      </c>
    </row>
    <row r="100" spans="12:12">
      <c r="L100" s="55" t="s">
        <v>168</v>
      </c>
    </row>
    <row r="101" spans="12:12">
      <c r="L101" s="55" t="s">
        <v>169</v>
      </c>
    </row>
    <row r="102" spans="12:12">
      <c r="L102" s="55" t="s">
        <v>170</v>
      </c>
    </row>
    <row r="103" spans="12:12">
      <c r="L103" s="55" t="s">
        <v>171</v>
      </c>
    </row>
    <row r="104" spans="12:12">
      <c r="L104" s="55" t="s">
        <v>172</v>
      </c>
    </row>
    <row r="105" spans="12:12">
      <c r="L105" s="55" t="s">
        <v>173</v>
      </c>
    </row>
    <row r="106" spans="12:12">
      <c r="L106" s="55" t="s">
        <v>174</v>
      </c>
    </row>
    <row r="107" spans="12:12">
      <c r="L107" s="55" t="s">
        <v>175</v>
      </c>
    </row>
    <row r="108" spans="12:12">
      <c r="L108" s="55" t="s">
        <v>176</v>
      </c>
    </row>
    <row r="109" spans="12:12">
      <c r="L109" s="55" t="s">
        <v>177</v>
      </c>
    </row>
    <row r="110" spans="12:12">
      <c r="L110" s="55" t="s">
        <v>178</v>
      </c>
    </row>
    <row r="111" spans="12:12">
      <c r="L111" s="55" t="s">
        <v>49</v>
      </c>
    </row>
    <row r="112" spans="12:12">
      <c r="L112" s="55" t="s">
        <v>179</v>
      </c>
    </row>
    <row r="113" spans="12:12">
      <c r="L113" s="55" t="s">
        <v>180</v>
      </c>
    </row>
    <row r="114" spans="12:12">
      <c r="L114" s="55" t="s">
        <v>181</v>
      </c>
    </row>
    <row r="115" spans="12:12">
      <c r="L115" s="55" t="s">
        <v>182</v>
      </c>
    </row>
    <row r="116" spans="12:12">
      <c r="L116" s="55" t="s">
        <v>183</v>
      </c>
    </row>
    <row r="117" spans="12:12">
      <c r="L117" s="55" t="s">
        <v>184</v>
      </c>
    </row>
    <row r="118" spans="12:12">
      <c r="L118" s="55" t="s">
        <v>185</v>
      </c>
    </row>
    <row r="119" spans="12:12">
      <c r="L119" s="55" t="s">
        <v>186</v>
      </c>
    </row>
    <row r="120" spans="12:12">
      <c r="L120" s="55" t="s">
        <v>187</v>
      </c>
    </row>
    <row r="121" spans="12:12">
      <c r="L121" s="55" t="s">
        <v>188</v>
      </c>
    </row>
    <row r="122" spans="12:12">
      <c r="L122" s="55" t="s">
        <v>189</v>
      </c>
    </row>
    <row r="123" spans="12:12">
      <c r="L123" s="55" t="s">
        <v>190</v>
      </c>
    </row>
    <row r="124" spans="12:12">
      <c r="L124" s="55" t="s">
        <v>191</v>
      </c>
    </row>
    <row r="125" spans="12:12">
      <c r="L125" s="55" t="s">
        <v>192</v>
      </c>
    </row>
    <row r="126" spans="12:12">
      <c r="L126" s="55" t="s">
        <v>193</v>
      </c>
    </row>
    <row r="127" spans="12:12">
      <c r="L127" s="55" t="s">
        <v>194</v>
      </c>
    </row>
    <row r="128" spans="12:12">
      <c r="L128" s="55" t="s">
        <v>195</v>
      </c>
    </row>
    <row r="129" spans="12:12">
      <c r="L129" s="55" t="s">
        <v>196</v>
      </c>
    </row>
    <row r="130" spans="12:12">
      <c r="L130" s="55" t="s">
        <v>197</v>
      </c>
    </row>
    <row r="131" spans="12:12">
      <c r="L131" s="55" t="s">
        <v>198</v>
      </c>
    </row>
    <row r="132" spans="12:12">
      <c r="L132" s="55" t="s">
        <v>199</v>
      </c>
    </row>
    <row r="133" spans="12:12">
      <c r="L133" s="55" t="s">
        <v>200</v>
      </c>
    </row>
    <row r="134" spans="12:12">
      <c r="L134" s="55" t="s">
        <v>201</v>
      </c>
    </row>
    <row r="135" spans="12:12">
      <c r="L135" s="55" t="s">
        <v>202</v>
      </c>
    </row>
    <row r="136" spans="12:12">
      <c r="L136" s="55" t="s">
        <v>203</v>
      </c>
    </row>
    <row r="137" spans="12:12">
      <c r="L137" s="55" t="s">
        <v>204</v>
      </c>
    </row>
    <row r="138" spans="12:12">
      <c r="L138" s="55" t="s">
        <v>205</v>
      </c>
    </row>
    <row r="139" spans="12:12">
      <c r="L139" s="55" t="s">
        <v>206</v>
      </c>
    </row>
    <row r="140" spans="12:12">
      <c r="L140" s="55" t="s">
        <v>207</v>
      </c>
    </row>
    <row r="141" spans="12:12">
      <c r="L141" s="55" t="s">
        <v>208</v>
      </c>
    </row>
    <row r="142" spans="12:12">
      <c r="L142" s="55" t="s">
        <v>209</v>
      </c>
    </row>
    <row r="143" spans="12:12">
      <c r="L143" s="55" t="s">
        <v>210</v>
      </c>
    </row>
    <row r="144" spans="12:12">
      <c r="L144" s="216"/>
    </row>
  </sheetData>
  <mergeCells count="2">
    <mergeCell ref="B3:J3"/>
    <mergeCell ref="B6:J6"/>
  </mergeCells>
  <phoneticPr fontId="23" type="noConversion"/>
  <dataValidations count="1">
    <dataValidation type="list" allowBlank="1" showInputMessage="1" showErrorMessage="1" sqref="O28" xr:uid="{00000000-0002-0000-0900-000000000000}">
      <formula1>$L$10:$L$143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5"/>
  <sheetViews>
    <sheetView zoomScale="85" zoomScaleNormal="85" workbookViewId="0">
      <pane xSplit="1" ySplit="1" topLeftCell="B58" activePane="bottomRight" state="frozen"/>
      <selection pane="topRight" activeCell="B1" sqref="B1"/>
      <selection pane="bottomLeft" activeCell="A2" sqref="A2"/>
      <selection pane="bottomRight" activeCell="D58" sqref="D58:F110"/>
    </sheetView>
  </sheetViews>
  <sheetFormatPr defaultRowHeight="15"/>
  <cols>
    <col min="2" max="2" width="20.140625" bestFit="1" customWidth="1"/>
    <col min="3" max="3" width="13.42578125" customWidth="1"/>
    <col min="4" max="4" width="45.140625" customWidth="1"/>
    <col min="5" max="5" width="96.140625" customWidth="1"/>
    <col min="6" max="6" width="33.28515625" bestFit="1" customWidth="1"/>
    <col min="7" max="7" width="90.5703125" bestFit="1" customWidth="1"/>
  </cols>
  <sheetData>
    <row r="1" spans="1:7">
      <c r="A1" s="334" t="s">
        <v>464</v>
      </c>
      <c r="B1" s="352" t="s">
        <v>462</v>
      </c>
      <c r="C1" s="334" t="s">
        <v>463</v>
      </c>
      <c r="D1" s="334" t="s">
        <v>250</v>
      </c>
      <c r="E1" s="334" t="s">
        <v>461</v>
      </c>
      <c r="F1" s="334" t="s">
        <v>405</v>
      </c>
      <c r="G1" s="353" t="s">
        <v>406</v>
      </c>
    </row>
    <row r="2" spans="1:7" ht="45">
      <c r="A2" s="327">
        <v>1</v>
      </c>
      <c r="B2" s="351" t="s">
        <v>445</v>
      </c>
      <c r="C2" s="30" t="s">
        <v>15</v>
      </c>
      <c r="D2" s="408" t="s">
        <v>469</v>
      </c>
      <c r="E2" s="409" t="s">
        <v>482</v>
      </c>
      <c r="F2" s="410" t="s">
        <v>407</v>
      </c>
      <c r="G2" s="411" t="s">
        <v>467</v>
      </c>
    </row>
    <row r="3" spans="1:7" ht="62.25" customHeight="1">
      <c r="A3" s="327">
        <v>2</v>
      </c>
      <c r="B3" s="351" t="s">
        <v>445</v>
      </c>
      <c r="C3" s="30" t="s">
        <v>15</v>
      </c>
      <c r="D3" s="408" t="s">
        <v>470</v>
      </c>
      <c r="E3" s="409" t="s">
        <v>474</v>
      </c>
      <c r="F3" s="410" t="s">
        <v>407</v>
      </c>
      <c r="G3" s="411" t="s">
        <v>467</v>
      </c>
    </row>
    <row r="4" spans="1:7" ht="57">
      <c r="A4" s="327">
        <v>3</v>
      </c>
      <c r="B4" s="351" t="s">
        <v>445</v>
      </c>
      <c r="C4" s="30" t="s">
        <v>460</v>
      </c>
      <c r="D4" s="346" t="s">
        <v>441</v>
      </c>
      <c r="E4" s="347" t="s">
        <v>473</v>
      </c>
      <c r="F4" s="348" t="s">
        <v>407</v>
      </c>
      <c r="G4" s="336" t="s">
        <v>472</v>
      </c>
    </row>
    <row r="5" spans="1:7" ht="42.75">
      <c r="A5" s="327">
        <v>4</v>
      </c>
      <c r="B5" s="351" t="s">
        <v>445</v>
      </c>
      <c r="C5" s="30" t="s">
        <v>460</v>
      </c>
      <c r="D5" s="346" t="s">
        <v>475</v>
      </c>
      <c r="E5" s="347" t="s">
        <v>471</v>
      </c>
      <c r="F5" s="348" t="s">
        <v>442</v>
      </c>
      <c r="G5" s="414" t="s">
        <v>506</v>
      </c>
    </row>
    <row r="6" spans="1:7" ht="30">
      <c r="A6" s="327">
        <v>5</v>
      </c>
      <c r="B6" s="351" t="s">
        <v>445</v>
      </c>
      <c r="C6" s="30" t="s">
        <v>460</v>
      </c>
      <c r="D6" s="346" t="s">
        <v>476</v>
      </c>
      <c r="E6" s="347" t="s">
        <v>443</v>
      </c>
      <c r="F6" s="348" t="s">
        <v>442</v>
      </c>
      <c r="G6" s="414" t="s">
        <v>507</v>
      </c>
    </row>
    <row r="7" spans="1:7" ht="30">
      <c r="A7" s="327">
        <v>6</v>
      </c>
      <c r="B7" s="351" t="s">
        <v>445</v>
      </c>
      <c r="C7" s="30" t="s">
        <v>460</v>
      </c>
      <c r="D7" s="346" t="s">
        <v>477</v>
      </c>
      <c r="E7" s="349" t="s">
        <v>444</v>
      </c>
      <c r="F7" s="350" t="s">
        <v>442</v>
      </c>
      <c r="G7" s="414" t="s">
        <v>507</v>
      </c>
    </row>
    <row r="8" spans="1:7" ht="57">
      <c r="A8" s="327">
        <v>7</v>
      </c>
      <c r="B8" s="351" t="s">
        <v>451</v>
      </c>
      <c r="C8" s="30" t="s">
        <v>15</v>
      </c>
      <c r="D8" s="408" t="s">
        <v>478</v>
      </c>
      <c r="E8" s="410" t="s">
        <v>480</v>
      </c>
      <c r="F8" s="410" t="s">
        <v>416</v>
      </c>
      <c r="G8" s="411" t="s">
        <v>467</v>
      </c>
    </row>
    <row r="9" spans="1:7" ht="57">
      <c r="A9" s="327">
        <v>8</v>
      </c>
      <c r="B9" s="351" t="s">
        <v>451</v>
      </c>
      <c r="C9" s="30" t="s">
        <v>15</v>
      </c>
      <c r="D9" s="408" t="s">
        <v>479</v>
      </c>
      <c r="E9" s="410" t="s">
        <v>481</v>
      </c>
      <c r="F9" s="410" t="s">
        <v>416</v>
      </c>
      <c r="G9" s="411" t="s">
        <v>467</v>
      </c>
    </row>
    <row r="10" spans="1:7" ht="57">
      <c r="A10" s="327">
        <v>9</v>
      </c>
      <c r="B10" s="351" t="s">
        <v>451</v>
      </c>
      <c r="C10" s="30" t="s">
        <v>15</v>
      </c>
      <c r="D10" s="408" t="s">
        <v>483</v>
      </c>
      <c r="E10" s="410" t="s">
        <v>484</v>
      </c>
      <c r="F10" s="410" t="s">
        <v>407</v>
      </c>
      <c r="G10" s="411" t="s">
        <v>485</v>
      </c>
    </row>
    <row r="11" spans="1:7" ht="85.5">
      <c r="A11" s="327">
        <v>10</v>
      </c>
      <c r="B11" s="351" t="s">
        <v>451</v>
      </c>
      <c r="C11" s="30" t="s">
        <v>460</v>
      </c>
      <c r="D11" s="346" t="s">
        <v>486</v>
      </c>
      <c r="E11" s="348" t="s">
        <v>487</v>
      </c>
      <c r="F11" s="348" t="s">
        <v>407</v>
      </c>
      <c r="G11" s="336" t="s">
        <v>505</v>
      </c>
    </row>
    <row r="12" spans="1:7" ht="60">
      <c r="A12" s="327">
        <v>11</v>
      </c>
      <c r="B12" s="351" t="s">
        <v>451</v>
      </c>
      <c r="C12" s="30" t="s">
        <v>460</v>
      </c>
      <c r="D12" s="346" t="s">
        <v>446</v>
      </c>
      <c r="E12" s="348" t="s">
        <v>466</v>
      </c>
      <c r="F12" s="348" t="s">
        <v>442</v>
      </c>
      <c r="G12" s="414" t="s">
        <v>507</v>
      </c>
    </row>
    <row r="13" spans="1:7" ht="45">
      <c r="A13" s="327">
        <v>12</v>
      </c>
      <c r="B13" s="351" t="s">
        <v>451</v>
      </c>
      <c r="C13" s="30" t="s">
        <v>460</v>
      </c>
      <c r="D13" s="346" t="s">
        <v>447</v>
      </c>
      <c r="E13" s="348" t="s">
        <v>449</v>
      </c>
      <c r="F13" s="348" t="s">
        <v>442</v>
      </c>
      <c r="G13" s="414" t="s">
        <v>507</v>
      </c>
    </row>
    <row r="14" spans="1:7" ht="60">
      <c r="A14" s="327">
        <v>13</v>
      </c>
      <c r="B14" s="351" t="s">
        <v>451</v>
      </c>
      <c r="C14" s="30" t="s">
        <v>460</v>
      </c>
      <c r="D14" s="346" t="s">
        <v>448</v>
      </c>
      <c r="E14" s="350" t="s">
        <v>450</v>
      </c>
      <c r="F14" s="350" t="s">
        <v>442</v>
      </c>
      <c r="G14" s="414" t="s">
        <v>507</v>
      </c>
    </row>
    <row r="15" spans="1:7" ht="45">
      <c r="A15" s="327">
        <v>14</v>
      </c>
      <c r="B15" s="351" t="s">
        <v>459</v>
      </c>
      <c r="C15" s="30" t="s">
        <v>15</v>
      </c>
      <c r="D15" s="408" t="s">
        <v>488</v>
      </c>
      <c r="E15" s="410" t="s">
        <v>491</v>
      </c>
      <c r="F15" s="348" t="s">
        <v>407</v>
      </c>
      <c r="G15" s="411" t="s">
        <v>425</v>
      </c>
    </row>
    <row r="16" spans="1:7" ht="75">
      <c r="A16" s="327">
        <v>15</v>
      </c>
      <c r="B16" s="351" t="s">
        <v>459</v>
      </c>
      <c r="C16" s="30" t="s">
        <v>15</v>
      </c>
      <c r="D16" s="408" t="s">
        <v>489</v>
      </c>
      <c r="E16" s="410" t="s">
        <v>490</v>
      </c>
      <c r="F16" s="348" t="s">
        <v>407</v>
      </c>
      <c r="G16" s="411" t="s">
        <v>423</v>
      </c>
    </row>
    <row r="17" spans="1:7" ht="57">
      <c r="A17" s="327">
        <v>16</v>
      </c>
      <c r="B17" s="351" t="s">
        <v>459</v>
      </c>
      <c r="C17" s="30" t="s">
        <v>15</v>
      </c>
      <c r="D17" s="408" t="s">
        <v>492</v>
      </c>
      <c r="E17" s="410" t="s">
        <v>493</v>
      </c>
      <c r="F17" s="348" t="s">
        <v>407</v>
      </c>
      <c r="G17" s="411" t="s">
        <v>424</v>
      </c>
    </row>
    <row r="18" spans="1:7" ht="49.5" customHeight="1">
      <c r="A18" s="327">
        <v>17</v>
      </c>
      <c r="B18" s="351" t="s">
        <v>459</v>
      </c>
      <c r="C18" s="30" t="s">
        <v>15</v>
      </c>
      <c r="D18" s="408" t="s">
        <v>494</v>
      </c>
      <c r="E18" s="410" t="s">
        <v>495</v>
      </c>
      <c r="F18" s="348" t="s">
        <v>407</v>
      </c>
      <c r="G18" s="411" t="s">
        <v>424</v>
      </c>
    </row>
    <row r="19" spans="1:7" ht="99.75">
      <c r="A19" s="327">
        <v>18</v>
      </c>
      <c r="B19" s="351" t="s">
        <v>459</v>
      </c>
      <c r="C19" s="30" t="s">
        <v>460</v>
      </c>
      <c r="D19" s="346" t="s">
        <v>452</v>
      </c>
      <c r="E19" s="348" t="s">
        <v>501</v>
      </c>
      <c r="F19" s="348" t="s">
        <v>407</v>
      </c>
      <c r="G19" s="336" t="s">
        <v>496</v>
      </c>
    </row>
    <row r="20" spans="1:7" ht="60">
      <c r="A20" s="327">
        <v>19</v>
      </c>
      <c r="B20" s="351" t="s">
        <v>459</v>
      </c>
      <c r="C20" s="30" t="s">
        <v>460</v>
      </c>
      <c r="D20" s="346" t="s">
        <v>453</v>
      </c>
      <c r="E20" s="348" t="s">
        <v>499</v>
      </c>
      <c r="F20" s="348" t="s">
        <v>407</v>
      </c>
      <c r="G20" s="336" t="s">
        <v>496</v>
      </c>
    </row>
    <row r="21" spans="1:7" ht="99.75">
      <c r="A21" s="327">
        <v>20</v>
      </c>
      <c r="B21" s="351" t="s">
        <v>459</v>
      </c>
      <c r="C21" s="30" t="s">
        <v>460</v>
      </c>
      <c r="D21" s="346" t="s">
        <v>454</v>
      </c>
      <c r="E21" s="348" t="s">
        <v>502</v>
      </c>
      <c r="F21" s="348" t="s">
        <v>407</v>
      </c>
      <c r="G21" s="336" t="s">
        <v>496</v>
      </c>
    </row>
    <row r="22" spans="1:7" ht="45">
      <c r="A22" s="327">
        <v>21</v>
      </c>
      <c r="B22" s="351" t="s">
        <v>459</v>
      </c>
      <c r="C22" s="30" t="s">
        <v>460</v>
      </c>
      <c r="D22" s="346" t="s">
        <v>455</v>
      </c>
      <c r="E22" s="348" t="s">
        <v>504</v>
      </c>
      <c r="F22" s="348" t="s">
        <v>407</v>
      </c>
      <c r="G22" s="336" t="s">
        <v>496</v>
      </c>
    </row>
    <row r="23" spans="1:7" ht="99.75">
      <c r="A23" s="327">
        <v>22</v>
      </c>
      <c r="B23" s="351" t="s">
        <v>459</v>
      </c>
      <c r="C23" s="30" t="s">
        <v>460</v>
      </c>
      <c r="D23" s="346" t="s">
        <v>456</v>
      </c>
      <c r="E23" s="348" t="s">
        <v>503</v>
      </c>
      <c r="F23" s="348" t="s">
        <v>407</v>
      </c>
      <c r="G23" s="336" t="s">
        <v>497</v>
      </c>
    </row>
    <row r="24" spans="1:7" ht="57">
      <c r="A24" s="327">
        <v>23</v>
      </c>
      <c r="B24" s="351" t="s">
        <v>459</v>
      </c>
      <c r="C24" s="30" t="s">
        <v>460</v>
      </c>
      <c r="D24" s="346" t="s">
        <v>457</v>
      </c>
      <c r="E24" s="348" t="s">
        <v>500</v>
      </c>
      <c r="F24" s="348" t="s">
        <v>407</v>
      </c>
      <c r="G24" s="336" t="s">
        <v>496</v>
      </c>
    </row>
    <row r="25" spans="1:7" ht="71.25">
      <c r="A25" s="327">
        <v>24</v>
      </c>
      <c r="B25" s="354" t="s">
        <v>459</v>
      </c>
      <c r="C25" s="355" t="s">
        <v>460</v>
      </c>
      <c r="D25" s="356" t="s">
        <v>458</v>
      </c>
      <c r="E25" s="357" t="s">
        <v>498</v>
      </c>
      <c r="F25" s="357" t="s">
        <v>407</v>
      </c>
      <c r="G25" s="358" t="s">
        <v>505</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1:O61"/>
  <sheetViews>
    <sheetView showGridLines="0" view="pageBreakPreview" zoomScale="70" zoomScaleNormal="70" zoomScaleSheetLayoutView="70" workbookViewId="0">
      <pane ySplit="2" topLeftCell="A3" activePane="bottomLeft" state="frozen"/>
      <selection activeCell="E22" sqref="E22"/>
      <selection pane="bottomLeft" activeCell="C65" sqref="C65"/>
    </sheetView>
  </sheetViews>
  <sheetFormatPr defaultColWidth="11" defaultRowHeight="15"/>
  <cols>
    <col min="1" max="1" width="3.42578125" style="359" bestFit="1" customWidth="1"/>
    <col min="2" max="2" width="4" customWidth="1"/>
    <col min="3" max="3" width="78.42578125" customWidth="1"/>
    <col min="4" max="4" width="183.5703125" bestFit="1" customWidth="1"/>
    <col min="5" max="5" width="33" bestFit="1" customWidth="1"/>
    <col min="6" max="6" width="40.7109375" bestFit="1" customWidth="1"/>
    <col min="7" max="7" width="2.85546875" style="29" customWidth="1"/>
    <col min="8" max="8" width="3" style="29" customWidth="1"/>
    <col min="9" max="9" width="2.5703125" customWidth="1"/>
    <col min="10" max="10" width="16.140625" customWidth="1"/>
    <col min="11" max="11" width="13.7109375" customWidth="1"/>
    <col min="12" max="12" width="11.42578125" customWidth="1"/>
    <col min="13" max="13" width="14.85546875" customWidth="1"/>
    <col min="14" max="14" width="16" customWidth="1"/>
    <col min="15" max="15" width="11.42578125" hidden="1" customWidth="1"/>
    <col min="16" max="16" width="15.5703125" customWidth="1"/>
    <col min="17" max="17" width="11.42578125" customWidth="1"/>
    <col min="18" max="18" width="2.28515625" customWidth="1"/>
    <col min="19" max="19" width="1.140625" customWidth="1"/>
    <col min="20" max="20" width="3.28515625" customWidth="1"/>
    <col min="21" max="21" width="17" customWidth="1"/>
    <col min="22" max="22" width="15" customWidth="1"/>
    <col min="23" max="23" width="11.42578125" customWidth="1"/>
    <col min="24" max="24" width="13.5703125" customWidth="1"/>
    <col min="25" max="25" width="16.85546875" customWidth="1"/>
    <col min="26" max="26" width="11.42578125" customWidth="1"/>
    <col min="27" max="27" width="2" customWidth="1"/>
    <col min="28" max="28" width="3.28515625" customWidth="1"/>
    <col min="29" max="29" width="2.28515625" customWidth="1"/>
    <col min="30" max="30" width="40.7109375" customWidth="1"/>
    <col min="31" max="31" width="15.42578125" customWidth="1"/>
  </cols>
  <sheetData>
    <row r="1" spans="1:8">
      <c r="B1" s="3"/>
      <c r="C1" s="3"/>
      <c r="D1" s="3"/>
      <c r="E1" s="3"/>
      <c r="F1" s="3"/>
    </row>
    <row r="2" spans="1:8" ht="28.5">
      <c r="B2" s="3"/>
      <c r="C2" s="400" t="str">
        <f>+"Tabel Programatic de Evaluare: "&amp;" "&amp;+IF('Introducerea datelor'!C4="Please Select","",'Introducerea datelor'!C4&amp;" - ")&amp;+IF('Introducerea datelor'!G6="Please Select","",'Introducerea datelor'!G6)</f>
        <v>Tabel Programatic de Evaluare:  Moldova - HIVAIDS / TB</v>
      </c>
      <c r="D2" s="400"/>
      <c r="E2" s="400"/>
      <c r="F2" s="400"/>
    </row>
    <row r="3" spans="1:8" ht="28.5">
      <c r="B3" s="3"/>
      <c r="C3" s="130"/>
      <c r="D3" s="130"/>
      <c r="E3" s="130"/>
      <c r="F3" s="3"/>
    </row>
    <row r="5" spans="1:8" ht="23.25">
      <c r="C5" s="367" t="s">
        <v>226</v>
      </c>
      <c r="D5" s="367"/>
      <c r="E5" s="367"/>
      <c r="F5" s="367"/>
      <c r="G5" s="367"/>
      <c r="H5" s="367"/>
    </row>
    <row r="7" spans="1:8" ht="21">
      <c r="C7" s="401" t="s">
        <v>215</v>
      </c>
      <c r="D7" s="401" t="s">
        <v>216</v>
      </c>
      <c r="E7" s="401" t="s">
        <v>217</v>
      </c>
      <c r="F7" s="401" t="s">
        <v>251</v>
      </c>
      <c r="G7" s="402"/>
      <c r="H7" s="403"/>
    </row>
    <row r="8" spans="1:8" ht="85.5">
      <c r="C8" s="380" t="str">
        <f>+'Introducerea datelor'!B27</f>
        <v>F1: Bugetul și debursările de către Fondul Global</v>
      </c>
      <c r="D8" s="404" t="s">
        <v>269</v>
      </c>
      <c r="E8" s="377" t="s">
        <v>252</v>
      </c>
      <c r="F8" s="377" t="s">
        <v>270</v>
      </c>
      <c r="G8" s="378"/>
      <c r="H8" s="379"/>
    </row>
    <row r="9" spans="1:8" ht="71.25">
      <c r="C9" s="380" t="str">
        <f>+'Introducerea datelor'!B36</f>
        <v>F2: Bugetul și cheltuielile actuale după Obiectivele Grantului</v>
      </c>
      <c r="D9" s="399" t="s">
        <v>260</v>
      </c>
      <c r="E9" s="377" t="s">
        <v>254</v>
      </c>
      <c r="F9" s="377" t="s">
        <v>270</v>
      </c>
      <c r="G9" s="378"/>
      <c r="H9" s="379"/>
    </row>
    <row r="10" spans="1:8" ht="156.75">
      <c r="C10" s="380" t="str">
        <f>+'Introducerea datelor'!B51</f>
        <v>F3: Debursări și cheltuieli</v>
      </c>
      <c r="D10" s="399" t="s">
        <v>271</v>
      </c>
      <c r="E10" s="377" t="s">
        <v>261</v>
      </c>
      <c r="F10" s="377" t="s">
        <v>253</v>
      </c>
      <c r="G10" s="378"/>
      <c r="H10" s="379"/>
    </row>
    <row r="11" spans="1:8" ht="174.75">
      <c r="C11" s="380" t="str">
        <f>+'Introducerea datelor'!B60</f>
        <v xml:space="preserve">F4: Ultima perioadă de raportare și debursare a RP </v>
      </c>
      <c r="D11" s="399" t="s">
        <v>274</v>
      </c>
      <c r="E11" s="377" t="s">
        <v>262</v>
      </c>
      <c r="F11" s="377" t="s">
        <v>220</v>
      </c>
      <c r="G11" s="378"/>
      <c r="H11" s="379"/>
    </row>
    <row r="12" spans="1:8" s="19" customFormat="1">
      <c r="A12" s="360"/>
      <c r="C12" s="406"/>
      <c r="D12" s="405"/>
      <c r="E12" s="405"/>
      <c r="F12" s="405"/>
      <c r="G12" s="405"/>
      <c r="H12" s="405"/>
    </row>
    <row r="13" spans="1:8" s="19" customFormat="1">
      <c r="A13" s="360"/>
      <c r="C13" s="398"/>
      <c r="D13" s="394"/>
      <c r="E13" s="394"/>
      <c r="F13" s="394"/>
      <c r="G13" s="394"/>
      <c r="H13" s="394"/>
    </row>
    <row r="14" spans="1:8" s="19" customFormat="1">
      <c r="A14" s="360"/>
      <c r="C14" s="398"/>
      <c r="D14" s="394"/>
      <c r="E14" s="394"/>
      <c r="F14" s="394"/>
      <c r="G14" s="394"/>
      <c r="H14" s="394"/>
    </row>
    <row r="15" spans="1:8" s="19" customFormat="1">
      <c r="A15" s="360"/>
      <c r="C15" s="398"/>
      <c r="D15" s="394"/>
      <c r="E15" s="394"/>
      <c r="F15" s="394"/>
      <c r="G15" s="394"/>
      <c r="H15" s="394"/>
    </row>
    <row r="16" spans="1:8" ht="23.25">
      <c r="C16" s="367" t="s">
        <v>227</v>
      </c>
      <c r="D16" s="367"/>
      <c r="E16" s="367"/>
      <c r="F16" s="367"/>
      <c r="G16" s="367"/>
      <c r="H16" s="367"/>
    </row>
    <row r="18" spans="2:8" ht="21">
      <c r="C18" s="395" t="s">
        <v>215</v>
      </c>
      <c r="D18" s="395" t="s">
        <v>216</v>
      </c>
      <c r="E18" s="395" t="s">
        <v>217</v>
      </c>
      <c r="F18" s="395" t="s">
        <v>218</v>
      </c>
      <c r="G18" s="396"/>
      <c r="H18" s="397"/>
    </row>
    <row r="19" spans="2:8" ht="99.75">
      <c r="C19" s="380" t="str">
        <f>+'Introducerea datelor'!B71</f>
        <v xml:space="preserve">M1: Statutul Condițiilor Precedente și a Acțiunilor Prestabilite în Timp </v>
      </c>
      <c r="D19" s="399" t="s">
        <v>225</v>
      </c>
      <c r="E19" s="377" t="s">
        <v>255</v>
      </c>
      <c r="F19" s="377" t="s">
        <v>256</v>
      </c>
      <c r="G19" s="378"/>
      <c r="H19" s="379"/>
    </row>
    <row r="20" spans="2:8" ht="43.5">
      <c r="C20" s="380" t="str">
        <f>+'Introducerea datelor'!B78</f>
        <v xml:space="preserve">M2: Statutul pozițiilor cheie a RP </v>
      </c>
      <c r="D20" s="399" t="s">
        <v>272</v>
      </c>
      <c r="E20" s="377" t="s">
        <v>222</v>
      </c>
      <c r="F20" s="377" t="s">
        <v>221</v>
      </c>
      <c r="G20" s="378"/>
      <c r="H20" s="379"/>
    </row>
    <row r="21" spans="2:8" ht="102.75">
      <c r="C21" s="380" t="str">
        <f>+'Introducerea datelor'!B83</f>
        <v xml:space="preserve">M3: Aranjamente contractuale (SR) </v>
      </c>
      <c r="D21" s="377" t="s">
        <v>0</v>
      </c>
      <c r="E21" s="377" t="s">
        <v>257</v>
      </c>
      <c r="F21" s="377" t="s">
        <v>258</v>
      </c>
      <c r="G21" s="378"/>
      <c r="H21" s="379"/>
    </row>
    <row r="22" spans="2:8" ht="42.75">
      <c r="C22" s="380" t="str">
        <f>+'Introducerea datelor'!B88</f>
        <v>M4: Numărul rapoartelor complete recepționate la timp</v>
      </c>
      <c r="D22" s="377" t="s">
        <v>275</v>
      </c>
      <c r="E22" s="377" t="s">
        <v>263</v>
      </c>
      <c r="F22" s="377" t="s">
        <v>223</v>
      </c>
      <c r="G22" s="378"/>
      <c r="H22" s="379"/>
    </row>
    <row r="23" spans="2:8" ht="102.75">
      <c r="C23" s="385" t="str">
        <f>+'Introducerea datelor'!B94</f>
        <v xml:space="preserve">M5: Bugetul și Procurarea produselor medicale, echipamentului medical, medicamentelor și produselor farmaceutice </v>
      </c>
      <c r="D23" s="376" t="s">
        <v>264</v>
      </c>
      <c r="E23" s="388" t="s">
        <v>219</v>
      </c>
      <c r="F23" s="388" t="s">
        <v>224</v>
      </c>
      <c r="G23" s="389"/>
      <c r="H23" s="390"/>
    </row>
    <row r="24" spans="2:8" ht="29.25">
      <c r="C24" s="386"/>
      <c r="D24" s="387" t="s">
        <v>259</v>
      </c>
      <c r="E24" s="391"/>
      <c r="F24" s="391"/>
      <c r="G24" s="392"/>
      <c r="H24" s="393"/>
    </row>
    <row r="25" spans="2:8" ht="142.5">
      <c r="C25" s="380" t="str">
        <f>+'Introducerea datelor'!B107</f>
        <v>M6: Diferență între stocul curent și stocul de siguranță</v>
      </c>
      <c r="D25" s="381" t="s">
        <v>276</v>
      </c>
      <c r="E25" s="382" t="s">
        <v>265</v>
      </c>
      <c r="F25" s="382" t="s">
        <v>266</v>
      </c>
      <c r="G25" s="383"/>
      <c r="H25" s="384"/>
    </row>
    <row r="29" spans="2:8" ht="18.75">
      <c r="C29" s="143"/>
    </row>
    <row r="30" spans="2:8" ht="23.25">
      <c r="C30" s="367" t="s">
        <v>414</v>
      </c>
      <c r="D30" s="367"/>
      <c r="E30" s="367"/>
      <c r="F30" s="367"/>
      <c r="G30" s="367"/>
      <c r="H30" s="367"/>
    </row>
    <row r="32" spans="2:8" ht="15.75">
      <c r="B32" s="140"/>
      <c r="C32" s="368" t="s">
        <v>250</v>
      </c>
      <c r="D32" s="369" t="s">
        <v>461</v>
      </c>
      <c r="E32" s="361" t="s">
        <v>405</v>
      </c>
      <c r="F32" s="361" t="s">
        <v>406</v>
      </c>
      <c r="G32" s="362"/>
      <c r="H32" s="363"/>
    </row>
    <row r="33" spans="1:8" ht="30">
      <c r="A33" s="359">
        <v>1</v>
      </c>
      <c r="B33" s="628" t="s">
        <v>445</v>
      </c>
      <c r="C33" s="335" t="str">
        <f>IFERROR(VLOOKUP(A33,Table1[],4,0),"")</f>
        <v>TB I-3(M): Rata mortalităţii  - Numărul estimat de decese cauzate de TB (toate formele) pe an, la 100,000 persoane</v>
      </c>
      <c r="D33" s="341" t="str">
        <f>IFERROR(VLOOKUP(A33,Table1[],5,0),"")</f>
        <v>Numărător: Numărul de decese cauzate de TB (toate formele) înregistrate într-o anumită perioadă per 100,000 persoane.                                                                                                                                                      Numitor: Numărul total al populației în țară.</v>
      </c>
      <c r="E33" s="336" t="str">
        <f>IFERROR(VLOOKUP(A33,Table1[],6,0),"")</f>
        <v xml:space="preserve">Colectat anual </v>
      </c>
      <c r="F33" s="336" t="str">
        <f>IFERROR(VLOOKUP(A33,Table1[],7,0),"")</f>
        <v>Sistemul R&amp;R TB; Rapoarte trimestriale; SYME TB</v>
      </c>
      <c r="G33" s="339"/>
      <c r="H33" s="340"/>
    </row>
    <row r="34" spans="1:8" ht="28.5">
      <c r="A34" s="359">
        <v>2</v>
      </c>
      <c r="B34" s="628"/>
      <c r="C34" s="335" t="str">
        <f>IFERROR(VLOOKUP(A34,Table1[],4,0),"")</f>
        <v xml:space="preserve">TB I-4(M): Prevalența TB MDR printre cazurile noi de tuberculoză </v>
      </c>
      <c r="D34" s="341" t="str">
        <f>IFERROR(VLOOKUP(A34,Sheet1!$A$2:$E$25,5,0),"")</f>
        <v>Numărător: Numărul cazurilor noi TB cu RR-TB și/sau MDR-TB, testate la sensibilitate pentru preparatele de linia I, diagnosticate cu MDR.                                                                                                       Numitor: Numărul total de cazuri noi de tuberculoză cu cultura pozitivă, testate la sensibilitate pentru preparatele de linia I, pe parcursul anului.</v>
      </c>
      <c r="E34" s="336" t="str">
        <f>IFERROR(VLOOKUP(A34,Table1[],6,0),"")</f>
        <v xml:space="preserve">Colectat anual </v>
      </c>
      <c r="F34" s="336" t="str">
        <f>IFERROR(VLOOKUP(A34,Table1[],7,0),"")</f>
        <v>Sistemul R&amp;R TB; Rapoarte trimestriale; SYME TB</v>
      </c>
      <c r="G34" s="344"/>
      <c r="H34" s="345"/>
    </row>
    <row r="35" spans="1:8" ht="42.75">
      <c r="A35" s="359">
        <v>3</v>
      </c>
      <c r="B35" s="628"/>
      <c r="C35" s="335" t="str">
        <f>IFERROR(VLOOKUP(A35,Table1[],4,0),"")</f>
        <v>HIV I-4: Mortalitatea asociată cu SIDA la 100,000 populaţie</v>
      </c>
      <c r="D35" s="341" t="str">
        <f>IFERROR(VLOOKUP(A35,Sheet1!$A$2:$E$25,5,0),"")</f>
        <v xml:space="preserve">Numărător: Numărul de decese cauzate de HIV/ SIDA într-o anumită perioadă de timp.                                                  Numitor: Adulți (15+): Numărul total al populației (per 100 000 persoane). Copii (&lt;15): Numărul total al populației (per 1 000 nou-născuți).                                      
                                </v>
      </c>
      <c r="E35" s="336" t="str">
        <f>IFERROR(VLOOKUP(A35,Table1[],6,0),"")</f>
        <v xml:space="preserve">Colectat anual </v>
      </c>
      <c r="F35" s="336" t="str">
        <f>IFERROR(VLOOKUP(A35,Table1[],7,0),"")</f>
        <v xml:space="preserve">Registru pacienți/ Registru Național Decese
</v>
      </c>
      <c r="G35" s="342"/>
      <c r="H35" s="343"/>
    </row>
    <row r="36" spans="1:8" ht="42.75">
      <c r="A36" s="359">
        <v>4</v>
      </c>
      <c r="B36" s="628"/>
      <c r="C36" s="335" t="str">
        <f>IFERROR(VLOOKUP(A36,Table1[],4,0),"")</f>
        <v xml:space="preserve">HIV I-9a (M): Procentul BSB care trăiesc cu HIV </v>
      </c>
      <c r="D36" s="341" t="str">
        <f>IFERROR(VLOOKUP(A36,Sheet1!$A$2:$E$25,5,0),"")</f>
        <v xml:space="preserve">Numărător: Numărul de respondenți care au rezultat HIV pozitiv.                                                                                                             
Numitor: Numărul de respondenți testați pentru HIV.                                                   
                                </v>
      </c>
      <c r="E36" s="336" t="str">
        <f>IFERROR(VLOOKUP(A36,Table1[],6,0),"")</f>
        <v>Studiu Bio-comportamental (BSS)</v>
      </c>
      <c r="F36" s="336" t="str">
        <f>IFERROR(VLOOKUP(A36,Table1[],7,0),"")</f>
        <v xml:space="preserve">
BSS. Data de raportare - 31 August 2020
</v>
      </c>
      <c r="G36" s="342"/>
      <c r="H36" s="343"/>
    </row>
    <row r="37" spans="1:8" ht="28.5">
      <c r="A37" s="359">
        <v>5</v>
      </c>
      <c r="B37" s="628"/>
      <c r="C37" s="335" t="str">
        <f>IFERROR(VLOOKUP(A37,Table1[],4,0),"")</f>
        <v>HIV I-10 (M): Procentul LSC care trăiesc cu HIV</v>
      </c>
      <c r="D37" s="341" t="str">
        <f>IFERROR(VLOOKUP(A37,Sheet1!$A$2:$E$25,5,0),"")</f>
        <v xml:space="preserve">Numărător: Numărul de respondenți care au rezultat HIV pozitiv.                                                                                                             
Numitor: Numărul de respondenți testați pentru HIV.                                                                                       </v>
      </c>
      <c r="E37" s="336" t="str">
        <f>IFERROR(VLOOKUP(A37,Table1[],6,0),"")</f>
        <v>Studiu Bio-comportamental (BSS)</v>
      </c>
      <c r="F37" s="336" t="str">
        <f>IFERROR(VLOOKUP(A37,Table1[],7,0),"")</f>
        <v>BSS. Data de raportare - 31 August 2020</v>
      </c>
      <c r="G37" s="342"/>
      <c r="H37" s="343"/>
    </row>
    <row r="38" spans="1:8" ht="30">
      <c r="A38" s="359">
        <v>6</v>
      </c>
      <c r="B38" s="628"/>
      <c r="C38" s="335" t="str">
        <f>IFERROR(VLOOKUP(A38,Table1[],4,0),"")</f>
        <v>HIV I-11 (M): Procentul consumatorilor de droguri injectabile care trăiesc cu HIV</v>
      </c>
      <c r="D38" s="341" t="str">
        <f>IFERROR(VLOOKUP(A38,Sheet1!$A$2:$E$25,5,0),"")</f>
        <v xml:space="preserve">Numărător: Numărul de respondenți care au rezultat HIV pozitiv.
Numitor: Numărul de respondenți testați pentru HIV.    </v>
      </c>
      <c r="E38" s="336" t="str">
        <f>IFERROR(VLOOKUP(A38,Table1[],6,0),"")</f>
        <v>Studiu Bio-comportamental (BSS)</v>
      </c>
      <c r="F38" s="336" t="str">
        <f>IFERROR(VLOOKUP(A38,Table1[],7,0),"")</f>
        <v>BSS. Data de raportare - 31 August 2020</v>
      </c>
      <c r="G38" s="342"/>
      <c r="H38" s="343"/>
    </row>
    <row r="39" spans="1:8" ht="15.75">
      <c r="B39" s="141"/>
      <c r="C39" s="368" t="str">
        <f>IFERROR(VLOOKUP(A39,Table1[],4,0),"")</f>
        <v/>
      </c>
      <c r="D39" s="369" t="str">
        <f>IFERROR(VLOOKUP(A39,Sheet1!$A$2:$E$25,5,0),"")</f>
        <v/>
      </c>
      <c r="E39" s="361" t="str">
        <f>IFERROR(VLOOKUP(A39,Table1[],6,0),"")</f>
        <v/>
      </c>
      <c r="F39" s="361" t="str">
        <f>IFERROR(VLOOKUP(A39,Table1[],7,0),"")</f>
        <v/>
      </c>
      <c r="G39" s="362"/>
      <c r="H39" s="363"/>
    </row>
    <row r="40" spans="1:8" ht="30">
      <c r="A40" s="359">
        <v>7</v>
      </c>
      <c r="B40" s="628" t="s">
        <v>451</v>
      </c>
      <c r="C40" s="335" t="str">
        <f>IFERROR(VLOOKUP(A40,Table1[],4,0),"")</f>
        <v xml:space="preserve">TB O-4(M): Rata succesului tratamentului pacienților cu RR TB și/sau MDR-TB </v>
      </c>
      <c r="D40" s="341" t="str">
        <f>IFERROR(VLOOKUP(A40,Sheet1!$A$2:$E$25,5,0),"")</f>
        <v>Numărător: Numărul cazurilor de TB DR confirmate bacteriologic (RR-TB și/sau MDR-TB), tratate cu succes (vindecate și cu tratamente încheiate).
Numitor: Numărul total de cazuri înregistrate sub DOTS Plus într-o anumită perioadă de timp (dezagregate în funcție de sex și vîrstă &lt;15, 15+).</v>
      </c>
      <c r="E40" s="336" t="str">
        <f>IFERROR(VLOOKUP(A40,Table1[],6,0),"")</f>
        <v xml:space="preserve">Colectat trimestrial și anual </v>
      </c>
      <c r="F40" s="336" t="str">
        <f>IFERROR(VLOOKUP(A40,Table1[],7,0),"")</f>
        <v>Sistemul R&amp;R TB; Rapoarte trimestriale; SYME TB</v>
      </c>
      <c r="G40" s="339"/>
      <c r="H40" s="340"/>
    </row>
    <row r="41" spans="1:8" ht="42.75">
      <c r="A41" s="359">
        <v>8</v>
      </c>
      <c r="B41" s="628"/>
      <c r="C41" s="335" t="str">
        <f>IFERROR(VLOOKUP(A41,Table1[],4,0),"")</f>
        <v>TB O-1a: Rata de notificare a cazurilor de tuberculoză (toate formele) per 100,000 populație</v>
      </c>
      <c r="D41" s="341" t="str">
        <f>IFERROR(VLOOKUP(A41,Sheet1!$A$2:$E$25,5,0),"")</f>
        <v>Numărător: Toate cazurile de tuberculoză (bacteriologic confirmate și diagnosticate clinic, cazuri noi și recidive) notificate către autoritatea națională într-o perioadă anumită de timp per 100,000 populație.
Numitor: Numărul total al populației în țară.</v>
      </c>
      <c r="E41" s="336" t="str">
        <f>IFERROR(VLOOKUP(A41,Table1[],6,0),"")</f>
        <v xml:space="preserve">Colectat trimestrial și anual </v>
      </c>
      <c r="F41" s="336" t="str">
        <f>IFERROR(VLOOKUP(A41,Table1[],7,0),"")</f>
        <v>Sistemul R&amp;R TB; Rapoarte trimestriale; SYME TB</v>
      </c>
      <c r="G41" s="339"/>
      <c r="H41" s="340"/>
    </row>
    <row r="42" spans="1:8" ht="57">
      <c r="A42" s="359">
        <v>9</v>
      </c>
      <c r="B42" s="628"/>
      <c r="C42" s="335" t="str">
        <f>IFERROR(VLOOKUP(A42,Table1[],4,0),"")</f>
        <v>TB O-5(M): Rata de acoperire cu tratament antituberculos</v>
      </c>
      <c r="D42" s="341" t="str">
        <f>IFERROR(VLOOKUP(A42,Sheet1!$A$2:$E$25,5,0),"")</f>
        <v>Numărător: Number de cazuri noi și recidive notificate și acoperite cu tratament, during specified period of time.
Numitor: Numărul estimat de cazuri TB din același an (toate formele TB - bacteriologic confirmate și diagnosticate clinic), din baza de date a OMS (WHO Global TB).</v>
      </c>
      <c r="E42" s="336" t="str">
        <f>IFERROR(VLOOKUP(A42,Table1[],6,0),"")</f>
        <v xml:space="preserve">Colectat anual </v>
      </c>
      <c r="F42" s="336" t="str">
        <f>IFERROR(VLOOKUP(A42,Table1[],7,0),"")</f>
        <v>Sistemul R&amp;R TB; Rapoarte trimestriale; SYME TB
Date estimative ale OMS (WHO Global TB)</v>
      </c>
      <c r="G42" s="339"/>
      <c r="H42" s="338"/>
    </row>
    <row r="43" spans="1:8" ht="57">
      <c r="A43" s="359">
        <v>10</v>
      </c>
      <c r="B43" s="628"/>
      <c r="C43" s="335" t="str">
        <f>IFERROR(VLOOKUP(A43,Table1[],4,0),"")</f>
        <v xml:space="preserve">HIV O-1 (M): Procentul adulţilor şi copiilor HIV infectaţi care se află în tratament 12 luni după iniţierea tratamentului antiretroviral </v>
      </c>
      <c r="D43" s="341" t="str">
        <f>IFERROR(VLOOKUP(A43,Sheet1!$A$2:$E$25,5,0),"")</f>
        <v xml:space="preserve">Numărător: Numărul adulților și copiilor care sunt în viață și în terapie ARV 12 luni după inițierea tratamentului.
Numitor: Numărul total de adulți ăi copii care în perioada de raportare au facut 12 luni de la inițierea TARV.                                                                         
</v>
      </c>
      <c r="E43" s="336" t="str">
        <f>IFERROR(VLOOKUP(A43,Table1[],6,0),"")</f>
        <v xml:space="preserve">Colectat anual </v>
      </c>
      <c r="F43" s="336" t="str">
        <f>IFERROR(VLOOKUP(A43,Table1[],7,0),"")</f>
        <v>Registrele pacienților în TARV (Centrele TARV)</v>
      </c>
      <c r="G43" s="337"/>
      <c r="H43" s="338"/>
    </row>
    <row r="44" spans="1:8" ht="30">
      <c r="A44" s="359">
        <v>11</v>
      </c>
      <c r="B44" s="628"/>
      <c r="C44" s="335" t="str">
        <f>IFERROR(VLOOKUP(A44,Table1[],4,0),"")</f>
        <v>HIV O-4a (M): Procentul BSB care raportează utilizarea prezervativului în timpul ultimului act de sex anal cu partenerul de gen masculin</v>
      </c>
      <c r="D44" s="341" t="str">
        <f>IFERROR(VLOOKUP(A44,Sheet1!$A$2:$E$25,5,0),"")</f>
        <v xml:space="preserve">Numărător: Numărul de respondenți care au raportat utilizarea prezervativului în timpul ultimului act de sex anal.                                                       
Numitor: Numărul de respondenți care au raportat practicarea sexului anal în ultimele 6 luni.                                                                                      </v>
      </c>
      <c r="E44" s="336" t="str">
        <f>IFERROR(VLOOKUP(A44,Table1[],6,0),"")</f>
        <v>Studiu Bio-comportamental (BSS)</v>
      </c>
      <c r="F44" s="336" t="str">
        <f>IFERROR(VLOOKUP(A44,Table1[],7,0),"")</f>
        <v>BSS. Data de raportare - 31 August 2020</v>
      </c>
      <c r="G44" s="337"/>
      <c r="H44" s="338"/>
    </row>
    <row r="45" spans="1:8" ht="30">
      <c r="A45" s="359">
        <v>12</v>
      </c>
      <c r="B45" s="628"/>
      <c r="C45" s="335" t="str">
        <f>IFERROR(VLOOKUP(A45,Table1[],4,0),"")</f>
        <v>HIV O-5 (M): Procentul LSC care raportează utilizarea prezervativului cu ultimul lor client</v>
      </c>
      <c r="D45" s="341" t="str">
        <f>IFERROR(VLOOKUP(A45,Sheet1!$A$2:$E$25,5,0),"")</f>
        <v xml:space="preserve">Numărător: Numărul de respondenți care au raportat utilizarea prezervativului cu ultimul lor client.
Numitor: Numărul de respondenți care au raportat practicarea sexului comercial în ultimele 12 luni.                                                             </v>
      </c>
      <c r="E45" s="336" t="str">
        <f>IFERROR(VLOOKUP(A45,Table1[],6,0),"")</f>
        <v>Studiu Bio-comportamental (BSS)</v>
      </c>
      <c r="F45" s="336" t="str">
        <f>IFERROR(VLOOKUP(A45,Table1[],7,0),"")</f>
        <v>BSS. Data de raportare - 31 August 2020</v>
      </c>
      <c r="G45" s="337"/>
      <c r="H45" s="338"/>
    </row>
    <row r="46" spans="1:8" ht="30">
      <c r="A46" s="359">
        <v>13</v>
      </c>
      <c r="B46" s="412"/>
      <c r="C46" s="335" t="str">
        <f>IFERROR(VLOOKUP(A46,Table1[],4,0),"")</f>
        <v>HIV O-6 (M): Procentul consumatorilor de droguri injectabile care raportează utilizarea setului pentru injectare steril la ultima injectare</v>
      </c>
      <c r="D46" s="341" t="str">
        <f>IFERROR(VLOOKUP(A46,Sheet1!$A$2:$E$25,5,0),"")</f>
        <v xml:space="preserve">Numărător: Numărul de respondenți care au raportat utilizarea setului pentru injectare steril, la ultima consumare de droguri injectabile.
Numitor: Numărul de respondenți care au raportat consumarea de droguri injectabile în ultima lună.                                                                                    </v>
      </c>
      <c r="E46" s="336" t="str">
        <f>IFERROR(VLOOKUP(A46,Table1[],6,0),"")</f>
        <v>Studiu Bio-comportamental (BSS)</v>
      </c>
      <c r="F46" s="336" t="str">
        <f>IFERROR(VLOOKUP(A46,Table1[],7,0),"")</f>
        <v>BSS. Data de raportare - 31 August 2020</v>
      </c>
      <c r="G46" s="337"/>
      <c r="H46" s="338"/>
    </row>
    <row r="47" spans="1:8" ht="15.75">
      <c r="B47" s="141"/>
      <c r="C47" s="368" t="str">
        <f>IFERROR(VLOOKUP(A47,Table1[],4,0),"")</f>
        <v/>
      </c>
      <c r="D47" s="369" t="str">
        <f>IFERROR(VLOOKUP(A47,Sheet1!$A$2:$E$25,5,0),"")</f>
        <v/>
      </c>
      <c r="E47" s="361" t="str">
        <f>IFERROR(VLOOKUP(A47,Table1[],6,0),"")</f>
        <v/>
      </c>
      <c r="F47" s="361" t="str">
        <f>IFERROR(VLOOKUP(A47,Table1[],7,0),"")</f>
        <v/>
      </c>
      <c r="G47" s="362"/>
      <c r="H47" s="363"/>
    </row>
    <row r="48" spans="1:8" ht="57">
      <c r="A48" s="359">
        <v>14</v>
      </c>
      <c r="B48" s="628" t="s">
        <v>459</v>
      </c>
      <c r="C48" s="335" t="str">
        <f>IFERROR(VLOOKUP(A48,Table1[],4,0),"")</f>
        <v>MDR TB-2(M): Numărul cazurilor de TB DR (RR-TB și/sau MDR-TB), confirmate bacteriologic, notificate</v>
      </c>
      <c r="D48" s="341" t="str">
        <f>IFERROR(VLOOKUP(A48,Sheet1!$A$2:$E$25,5,0),"")</f>
        <v xml:space="preserve">Numărător: Numărul de cazuri de TB DR (RR-TB și/sau MDR-TB), confirmate bacteriologic, notificate către autoritatea națională, în perioada raportată.                                                                                              Numitor: Nu este   </v>
      </c>
      <c r="E48" s="336" t="str">
        <f>IFERROR(VLOOKUP(A48,Table1[],6,0),"")</f>
        <v xml:space="preserve">Colectat anual </v>
      </c>
      <c r="F48" s="336" t="str">
        <f>IFERROR(VLOOKUP(A48,Table1[],7,0),"")</f>
        <v xml:space="preserve">Sistemul R&amp;R TB; Rapoarte anuale; Supraveghere de rutină a DR (Drog Rezistenței); SYME TB
</v>
      </c>
      <c r="G48" s="339"/>
      <c r="H48" s="340"/>
    </row>
    <row r="49" spans="1:8" ht="45">
      <c r="A49" s="359">
        <v>15</v>
      </c>
      <c r="B49" s="628"/>
      <c r="C49" s="335" t="str">
        <f>IFERROR(VLOOKUP(A49,Table1[],4,0),"")</f>
        <v xml:space="preserve">MDR TB-3(M): Numărul cazurilor cu tuberculoză drog-rezistentă (RR-TB și/sau MDR-TB), confirmate bacteriologic, care au demarat tratamentul DOTS-Plus în perioada raportată                </v>
      </c>
      <c r="D49" s="341" t="str">
        <f>IFERROR(VLOOKUP(A49,Sheet1!$A$2:$E$25,5,0),"")</f>
        <v xml:space="preserve">Numărător: Numărul cazurilor cu tuberculoză drog-rezistentă (RR-TB și/sau MDR-TB), confirmate bacteriologic, care au demarat tratamentul DOTS-Plus în perioada raportată.
Numitor: Nu este   </v>
      </c>
      <c r="E49" s="336" t="str">
        <f>IFERROR(VLOOKUP(A49,Table1[],6,0),"")</f>
        <v xml:space="preserve">Colectat anual </v>
      </c>
      <c r="F49" s="336" t="str">
        <f>IFERROR(VLOOKUP(A49,Table1[],7,0),"")</f>
        <v xml:space="preserve">Sistemul R&amp;R TB; Rapoarte trimestriale; SYME TB; Modul DOTS Plus </v>
      </c>
      <c r="G49" s="339"/>
      <c r="H49" s="340"/>
    </row>
    <row r="50" spans="1:8" ht="42.75">
      <c r="A50" s="359">
        <v>16</v>
      </c>
      <c r="B50" s="628"/>
      <c r="C50" s="335" t="str">
        <f>IFERROR(VLOOKUP(A50,Table1[],4,0),"")</f>
        <v>MDR TB-4: Rezultatul interimar de abandon al tratamentului cazurilor MDR-TB</v>
      </c>
      <c r="D50" s="341" t="str">
        <f>IFERROR(VLOOKUP(A50,Sheet1!$A$2:$E$25,5,0),"")</f>
        <v xml:space="preserve">Numărător: Numărul pacienţilor cu tuberculoză drog-rezistentă (RR-TB și/sau MDR-TB) care au întrerupt tratamentul DOTS-Plus către luna a 6 de la demararea acestuia.
Numitor: Numărul total de cazuri cu tuberculoză drog-rezistentă (RR-TB și/sau MDR-TB), confirmate bacteriologic, care au demarat tratamentul DOTS-Plus în perioada raportată.         </v>
      </c>
      <c r="E50" s="336" t="str">
        <f>IFERROR(VLOOKUP(A50,Table1[],6,0),"")</f>
        <v xml:space="preserve">Colectat anual </v>
      </c>
      <c r="F50" s="336" t="str">
        <f>IFERROR(VLOOKUP(A50,Table1[],7,0),"")</f>
        <v>Sistemul R&amp;R TB; Rapoarte trimestriale/ anuale; Rapoarte NTP; SYME TB; Modul DOTS Plus</v>
      </c>
      <c r="G50" s="339"/>
      <c r="H50" s="340"/>
    </row>
    <row r="51" spans="1:8" ht="42.75">
      <c r="A51" s="359">
        <v>17</v>
      </c>
      <c r="B51" s="628"/>
      <c r="C51" s="335" t="str">
        <f>IFERROR(VLOOKUP(A51,Table1[],4,0),"")</f>
        <v>MDR TB-8: Numărul cazurilor de XDR TB incluși în tratament în perioada raportată</v>
      </c>
      <c r="D51" s="341" t="str">
        <f>IFERROR(VLOOKUP(A51,Sheet1!$A$2:$E$25,5,0),"")</f>
        <v xml:space="preserve">Numărător: Numărul cazurilor de XDR TB incluși în tratament în perioada raportată.                                    Numitor: Nu este                                                            </v>
      </c>
      <c r="E51" s="336" t="str">
        <f>IFERROR(VLOOKUP(A51,Table1[],6,0),"")</f>
        <v xml:space="preserve">Colectat anual </v>
      </c>
      <c r="F51" s="336" t="str">
        <f>IFERROR(VLOOKUP(A51,Table1[],7,0),"")</f>
        <v>Sistemul R&amp;R TB; Rapoarte trimestriale/ anuale; Rapoarte NTP; SYME TB; Modul DOTS Plus</v>
      </c>
      <c r="G51" s="337"/>
      <c r="H51" s="338"/>
    </row>
    <row r="52" spans="1:8" ht="57">
      <c r="A52" s="359">
        <v>18</v>
      </c>
      <c r="B52" s="628"/>
      <c r="C52" s="335" t="str">
        <f>IFERROR(VLOOKUP(A52,Table1[],4,0),"")</f>
        <v xml:space="preserve">KP-1d(M): Procentul consumatorilor de droguri injectabile acoperiți de programele de prevenire HIV - pachet definit de servicii </v>
      </c>
      <c r="D52" s="341" t="str">
        <f>IFERROR(VLOOKUP(A52,Sheet1!$A$2:$E$25,5,0),"")</f>
        <v xml:space="preserve">Numărător: Numărul de consumatori de droguri injectabile (CDI) care au beneficiat de un pachet definit de servicii de prevenire HIV*.                                                   
Numitor: Numărul estimat de CDI în Rep. Moldova.                                                             
Notă* - CDI care au beneficiat de cel puțin 2 servicii din pachetul sus-menționat, dintre care unul a fost distribuția de seringi. Pachetul de servicii include: distribuția de seringi, distribuția de prezervative, consiliere profesională (psiholog, asistent social/ medical), distribuția de  materiale informaționale, consultare de la egal la egal, servicii VCT (consiliere și testare voluntară).                                                      </v>
      </c>
      <c r="E52" s="336" t="str">
        <f>IFERROR(VLOOKUP(A52,Table1[],6,0),"")</f>
        <v xml:space="preserve">Colectat anual </v>
      </c>
      <c r="F52" s="336" t="str">
        <f>IFERROR(VLOOKUP(A52,Table1[],7,0),"")</f>
        <v xml:space="preserve">Forme de raportare ONG, bazate pe IDU Ident  
</v>
      </c>
      <c r="G52" s="337"/>
      <c r="H52" s="338"/>
    </row>
    <row r="53" spans="1:8" ht="42.75">
      <c r="A53" s="359">
        <v>19</v>
      </c>
      <c r="B53" s="628"/>
      <c r="C53" s="335" t="str">
        <f>IFERROR(VLOOKUP(A53,Table1[],4,0),"")</f>
        <v>KP-3d(M): Procentul consumatorilor de droguri injectabile care au fost testați pentru HIV în perioada de raportare și își cunosc rezultatele</v>
      </c>
      <c r="D53" s="341" t="str">
        <f>IFERROR(VLOOKUP(A53,Sheet1!$A$2:$E$25,5,0),"")</f>
        <v xml:space="preserve">Numărător: Numărul de CDI respondenți, care au fost testați pentru HIV în perioada de raportare și își cunosc rezultatele.
Numitor: Numărul estimat de CDI în Rep. Moldova.      
</v>
      </c>
      <c r="E53" s="336" t="str">
        <f>IFERROR(VLOOKUP(A53,Table1[],6,0),"")</f>
        <v xml:space="preserve">Colectat anual </v>
      </c>
      <c r="F53" s="336" t="str">
        <f>IFERROR(VLOOKUP(A53,Table1[],7,0),"")</f>
        <v xml:space="preserve">Forme de raportare ONG, bazate pe IDU Ident  
</v>
      </c>
      <c r="G53" s="337"/>
      <c r="H53" s="338"/>
    </row>
    <row r="54" spans="1:8" ht="77.25" customHeight="1">
      <c r="A54" s="359">
        <v>20</v>
      </c>
      <c r="B54" s="628"/>
      <c r="C54" s="335" t="str">
        <f>IFERROR(VLOOKUP(A54,Table1[],4,0),"")</f>
        <v xml:space="preserve">KP-1c(M): Procentul LSC acoperiți de programele de prevenire HIV - pachet definit de servicii </v>
      </c>
      <c r="D54" s="341" t="str">
        <f>IFERROR(VLOOKUP(A54,Sheet1!$A$2:$E$25,5,0),"")</f>
        <v xml:space="preserve">Numărător: Numărul de LSC care au beneficiat de un pachet definit de servicii de prevenire HIV*.                                                   Numitor: Numărul estimat de LSC în Rep. Moldova.                                                    
Notă* - LSC care au beneficiat de cel puțin 2 servicii din pachetul sus-menționat, dintre care unul a fost distribuția de prezervative. Pachetul de servicii include: distribuția de prezervative, consiliere profesională (psiholog, asistent social/ medical), distribuția de  materiale informaționale, managementul ITS (infecții cu transmitere sexuală), consultare de la egal la egal, servicii VCT (consiliere și testare voluntară), distribuția de seringi și distribuția de dezinfectanți.                     </v>
      </c>
      <c r="E54" s="336" t="str">
        <f>IFERROR(VLOOKUP(A54,Table1[],6,0),"")</f>
        <v xml:space="preserve">Colectat anual </v>
      </c>
      <c r="F54" s="336" t="str">
        <f>IFERROR(VLOOKUP(A54,Table1[],7,0),"")</f>
        <v xml:space="preserve">Forme de raportare ONG, bazate pe IDU Ident  
</v>
      </c>
      <c r="G54" s="337"/>
      <c r="H54" s="338"/>
    </row>
    <row r="55" spans="1:8" ht="42.75">
      <c r="A55" s="359">
        <v>21</v>
      </c>
      <c r="B55" s="628"/>
      <c r="C55" s="335" t="str">
        <f>IFERROR(VLOOKUP(A55,Table1[],4,0),"")</f>
        <v>KP-3c(M): Procentul LSC care au fost testați pentru HIV în perioada de raportare și își cunosc rezultatele</v>
      </c>
      <c r="D55" s="341" t="str">
        <f>IFERROR(VLOOKUP(A55,Sheet1!$A$2:$E$25,5,0),"")</f>
        <v xml:space="preserve">Numărător: Numărul de LSC care au fost testați pentru HIV în perioada de raportare și își cunosc rezultatele.                                                                                                                                                             Numitor: Numărul estimat de LSC în Rep. Moldova.                                                           </v>
      </c>
      <c r="E55" s="336" t="str">
        <f>IFERROR(VLOOKUP(A55,Table1[],6,0),"")</f>
        <v xml:space="preserve">Colectat anual </v>
      </c>
      <c r="F55" s="336" t="str">
        <f>IFERROR(VLOOKUP(A55,Table1[],7,0),"")</f>
        <v xml:space="preserve">Forme de raportare ONG, bazate pe IDU Ident  
</v>
      </c>
      <c r="G55" s="337"/>
      <c r="H55" s="338"/>
    </row>
    <row r="56" spans="1:8" ht="57">
      <c r="A56" s="359">
        <v>22</v>
      </c>
      <c r="B56" s="628"/>
      <c r="C56" s="335" t="str">
        <f>IFERROR(VLOOKUP(A56,Table1[],4,0),"")</f>
        <v xml:space="preserve">KP-1a(M): Procentul BSB acoperiți de programele de prevenire HIV - pachet definit de servicii </v>
      </c>
      <c r="D56" s="341" t="str">
        <f>IFERROR(VLOOKUP(A56,Sheet1!$A$2:$E$25,5,0),"")</f>
        <v xml:space="preserve">Numărător: Numărul de BSB care au beneficiat de un pachet definit de servicii de prevenire HIV*.                                                   Numitor: Numărul estimat de BSB în Rep. Moldova.                                                    
Notă* - BSB care au beneficiat de cel puțin 2 servicii din pachetul sus-menționat, dintre care unul a fost distribuția de prezervative și/ sau lubrifiante. Pachetul de servicii include: distribuția de prezervative, distribuția de lubrifiante, consiliere psihologică profesională, consiliere IEC (informare, educare, comunicare), consultare de la egal la egal, servicii VCT (consiliere și testare voluntară), distribuția de seringi și distribuția de dezinfectanți.                                           </v>
      </c>
      <c r="E56" s="336" t="str">
        <f>IFERROR(VLOOKUP(A56,Table1[],6,0),"")</f>
        <v xml:space="preserve">Colectat anual </v>
      </c>
      <c r="F56" s="336" t="str">
        <f>IFERROR(VLOOKUP(A56,Table1[],7,0),"")</f>
        <v xml:space="preserve">Forme de raportare ONG, bazate pe IDU Ident
</v>
      </c>
      <c r="G56" s="337"/>
      <c r="H56" s="338"/>
    </row>
    <row r="57" spans="1:8" ht="42.75">
      <c r="A57" s="359">
        <v>23</v>
      </c>
      <c r="B57" s="628"/>
      <c r="C57" s="335" t="str">
        <f>IFERROR(VLOOKUP(A57,Table1[],4,0),"")</f>
        <v>KP-3a(M): Procentul BSB care au fost testați pentru HIV în perioada de raportare și își cunosc rezultatele</v>
      </c>
      <c r="D57" s="341" t="str">
        <f>IFERROR(VLOOKUP(A57,Sheet1!$A$2:$E$25,5,0),"")</f>
        <v xml:space="preserve">Numărător: Numărul de BSB care au fost testați pentru HIV în perioada de raportare și își cunosc rezultatele.
Numitor: Numărul estimat de BSB în Rep. Moldova.   
</v>
      </c>
      <c r="E57" s="336" t="str">
        <f>IFERROR(VLOOKUP(A57,Table1[],6,0),"")</f>
        <v xml:space="preserve">Colectat anual </v>
      </c>
      <c r="F57" s="336" t="str">
        <f>IFERROR(VLOOKUP(A57,Table1[],7,0),"")</f>
        <v xml:space="preserve">Forme de raportare ONG, bazate pe IDU Ident  
</v>
      </c>
      <c r="G57" s="337"/>
      <c r="H57" s="338"/>
    </row>
    <row r="58" spans="1:8" ht="57">
      <c r="A58" s="359">
        <v>24</v>
      </c>
      <c r="B58" s="628"/>
      <c r="C58" s="335" t="str">
        <f>IFERROR(VLOOKUP(A58,Table1[],4,0),"")</f>
        <v xml:space="preserve">TCS-1 (M): Procentul adulţilor şi copiilor care trăiesc cu HIV și urmează tratament antiretroviral </v>
      </c>
      <c r="D58" s="341" t="str">
        <f>IFERROR(VLOOKUP(A58,Sheet1!$A$2:$E$25,5,0),"")</f>
        <v xml:space="preserve">Numărător: Numărul adulților și copiilor cu infecția HIV avansată, care urmează, la etapa actuală, terapie antiretrovirală, în conformitate cu protocoalele de tratament, aprobate la nivel național la sfârșitul perioadei de raportare.
Numitor: Numărul estimat de adulți și copii care trăiesc cu HIV (date - generate de SPECTRUM).                                     
</v>
      </c>
      <c r="E58" s="413" t="str">
        <f>IFERROR(VLOOKUP(A58,Table1[],6,0),"")</f>
        <v xml:space="preserve">Colectat anual </v>
      </c>
      <c r="F58" s="336" t="str">
        <f>IFERROR(VLOOKUP(A58,Table1[],7,0),"")</f>
        <v>Registrele pacienților în TARV (Centrele TARV)</v>
      </c>
      <c r="G58" s="337"/>
      <c r="H58" s="338"/>
    </row>
    <row r="59" spans="1:8" ht="15.75">
      <c r="C59" s="372" t="s">
        <v>234</v>
      </c>
      <c r="D59" s="373" t="s">
        <v>216</v>
      </c>
      <c r="E59" s="373" t="s">
        <v>217</v>
      </c>
      <c r="F59" s="373" t="s">
        <v>218</v>
      </c>
      <c r="G59" s="374"/>
      <c r="H59" s="375"/>
    </row>
    <row r="60" spans="1:8" ht="15.75">
      <c r="C60" s="138"/>
      <c r="D60" s="331"/>
      <c r="E60" s="331"/>
      <c r="F60" s="330"/>
      <c r="G60" s="331"/>
      <c r="H60" s="332"/>
    </row>
    <row r="61" spans="1:8" ht="31.5">
      <c r="C61" s="370" t="s">
        <v>233</v>
      </c>
      <c r="D61" s="371"/>
      <c r="E61" s="371"/>
      <c r="F61" s="364" t="s">
        <v>228</v>
      </c>
      <c r="G61" s="365"/>
      <c r="H61" s="366"/>
    </row>
  </sheetData>
  <sheetProtection sheet="1" objects="1" scenarios="1"/>
  <mergeCells count="3">
    <mergeCell ref="B48:B58"/>
    <mergeCell ref="B40:B45"/>
    <mergeCell ref="B33:B38"/>
  </mergeCells>
  <phoneticPr fontId="23" type="noConversion"/>
  <pageMargins left="0.70866141732283472" right="0.70866141732283472" top="0.74803149606299213" bottom="0.74803149606299213" header="0.31496062992125984" footer="0.31496062992125984"/>
  <pageSetup paperSize="9" scale="37" orientation="landscape" r:id="rId1"/>
  <headerFooter alignWithMargins="0">
    <oddFooter>&amp;L&amp;F&amp;C&amp;A&amp;RV1.0          &amp;D</oddFooter>
  </headerFooter>
  <rowBreaks count="2" manualBreakCount="2">
    <brk id="14" max="16383" man="1"/>
    <brk id="25"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pageSetUpPr fitToPage="1"/>
  </sheetPr>
  <dimension ref="A1:AJ179"/>
  <sheetViews>
    <sheetView showGridLines="0" zoomScale="70" zoomScaleNormal="70" zoomScaleSheetLayoutView="75" workbookViewId="0">
      <selection activeCell="G4" sqref="G4:J4"/>
    </sheetView>
  </sheetViews>
  <sheetFormatPr defaultColWidth="11" defaultRowHeight="15"/>
  <cols>
    <col min="1" max="1" width="5.140625" style="415" customWidth="1"/>
    <col min="2" max="2" width="53" style="3" customWidth="1"/>
    <col min="3" max="3" width="23" style="3" customWidth="1"/>
    <col min="4" max="4" width="19.140625" style="3" customWidth="1"/>
    <col min="5" max="5" width="18.7109375" style="3" customWidth="1"/>
    <col min="6" max="6" width="17.42578125" style="3" customWidth="1"/>
    <col min="7" max="7" width="16.42578125" style="3" customWidth="1"/>
    <col min="8" max="8" width="15.85546875" style="3" customWidth="1"/>
    <col min="9" max="9" width="11.85546875" style="3" customWidth="1"/>
    <col min="10" max="10" width="13.28515625" style="3" customWidth="1"/>
    <col min="11" max="11" width="12" style="3" customWidth="1"/>
    <col min="12" max="12" width="15.28515625" style="3" customWidth="1"/>
    <col min="13" max="13" width="15.42578125" style="3" customWidth="1"/>
    <col min="14" max="14" width="14.28515625" style="238" customWidth="1"/>
    <col min="15" max="15" width="20.42578125" style="238" customWidth="1"/>
    <col min="16" max="16" width="19.42578125" style="3" customWidth="1"/>
    <col min="17" max="17" width="16.140625" style="3" customWidth="1"/>
    <col min="18" max="18" width="13.7109375" style="3" customWidth="1"/>
    <col min="19" max="19" width="13.42578125" style="3" customWidth="1"/>
    <col min="20" max="20" width="14.85546875" style="3" customWidth="1"/>
    <col min="21" max="21" width="16" style="3" customWidth="1"/>
    <col min="22" max="22" width="11.42578125" style="3" hidden="1" customWidth="1"/>
    <col min="23" max="23" width="15.5703125" style="3" customWidth="1"/>
    <col min="24" max="24" width="11.42578125" style="3" customWidth="1"/>
    <col min="25" max="25" width="2.28515625" style="3" customWidth="1"/>
    <col min="26" max="26" width="1.140625" style="3" customWidth="1"/>
    <col min="27" max="27" width="3.28515625" style="3" customWidth="1"/>
    <col min="28" max="28" width="17" style="3" customWidth="1"/>
    <col min="29" max="29" width="15" style="3" customWidth="1"/>
    <col min="30" max="30" width="11.42578125" style="3" customWidth="1"/>
    <col min="31" max="31" width="13.5703125" style="3" customWidth="1"/>
    <col min="32" max="32" width="16.85546875" style="3" customWidth="1"/>
    <col min="33" max="33" width="11.42578125" style="3" customWidth="1"/>
    <col min="34" max="34" width="2" style="238" customWidth="1"/>
    <col min="35" max="35" width="3.28515625" style="238" customWidth="1"/>
    <col min="36" max="36" width="2.28515625" style="238" customWidth="1"/>
    <col min="37" max="37" width="40.7109375" style="3" customWidth="1"/>
    <col min="38" max="38" width="15.42578125" style="3" customWidth="1"/>
    <col min="39" max="16384" width="11" style="3"/>
  </cols>
  <sheetData>
    <row r="1" spans="1:13" ht="29.25" customHeight="1"/>
    <row r="2" spans="1:13" ht="15.75" customHeight="1">
      <c r="B2" s="639" t="s">
        <v>278</v>
      </c>
      <c r="C2" s="639"/>
      <c r="D2" s="639"/>
      <c r="E2" s="639"/>
      <c r="F2" s="639"/>
      <c r="G2" s="639"/>
      <c r="H2" s="639"/>
      <c r="I2" s="639"/>
      <c r="J2" s="639"/>
      <c r="K2" s="156"/>
      <c r="L2" s="156"/>
      <c r="M2" s="156"/>
    </row>
    <row r="3" spans="1:13" ht="4.5" customHeight="1"/>
    <row r="4" spans="1:13" ht="34.5" customHeight="1">
      <c r="B4" s="420" t="s">
        <v>279</v>
      </c>
      <c r="C4" s="640" t="s">
        <v>155</v>
      </c>
      <c r="D4" s="641"/>
      <c r="E4" s="642" t="s">
        <v>283</v>
      </c>
      <c r="F4" s="642"/>
      <c r="G4" s="643" t="s">
        <v>432</v>
      </c>
      <c r="H4" s="644"/>
      <c r="I4" s="644"/>
      <c r="J4" s="645"/>
    </row>
    <row r="5" spans="1:13" ht="3" customHeight="1">
      <c r="B5" s="420"/>
      <c r="E5" s="157"/>
      <c r="F5" s="157"/>
    </row>
    <row r="6" spans="1:13">
      <c r="B6" s="420" t="s">
        <v>280</v>
      </c>
      <c r="C6" s="640" t="s">
        <v>431</v>
      </c>
      <c r="D6" s="641"/>
      <c r="E6" s="642" t="s">
        <v>284</v>
      </c>
      <c r="F6" s="642"/>
      <c r="G6" s="439" t="s">
        <v>50</v>
      </c>
      <c r="H6" s="420" t="s">
        <v>285</v>
      </c>
      <c r="I6" s="651">
        <v>11931624</v>
      </c>
      <c r="J6" s="652"/>
    </row>
    <row r="7" spans="1:13" ht="3" customHeight="1">
      <c r="B7" s="420"/>
      <c r="E7" s="157"/>
      <c r="F7" s="157"/>
      <c r="H7" s="420"/>
    </row>
    <row r="8" spans="1:13">
      <c r="B8" s="420" t="s">
        <v>281</v>
      </c>
      <c r="C8" s="640" t="s">
        <v>418</v>
      </c>
      <c r="D8" s="641"/>
      <c r="E8" s="158"/>
      <c r="F8" s="421" t="s">
        <v>286</v>
      </c>
      <c r="G8" s="440" t="s">
        <v>268</v>
      </c>
      <c r="H8" s="421" t="s">
        <v>287</v>
      </c>
      <c r="I8" s="640" t="s">
        <v>426</v>
      </c>
      <c r="J8" s="641"/>
    </row>
    <row r="9" spans="1:13" ht="3" customHeight="1">
      <c r="B9" s="157"/>
      <c r="E9" s="157"/>
      <c r="F9" s="157"/>
    </row>
    <row r="10" spans="1:13">
      <c r="B10" s="420" t="s">
        <v>366</v>
      </c>
      <c r="C10" s="648">
        <v>43101</v>
      </c>
      <c r="D10" s="649"/>
      <c r="E10" s="650" t="s">
        <v>288</v>
      </c>
      <c r="F10" s="673"/>
      <c r="G10" s="640" t="s">
        <v>37</v>
      </c>
      <c r="H10" s="654"/>
      <c r="I10" s="654"/>
      <c r="J10" s="641"/>
    </row>
    <row r="11" spans="1:13" ht="5.25" customHeight="1"/>
    <row r="12" spans="1:13" ht="15" customHeight="1">
      <c r="B12" s="420" t="s">
        <v>282</v>
      </c>
      <c r="C12" s="655" t="s">
        <v>268</v>
      </c>
      <c r="D12" s="655"/>
      <c r="E12" s="650" t="s">
        <v>231</v>
      </c>
      <c r="F12" s="642"/>
      <c r="G12" s="653" t="s">
        <v>419</v>
      </c>
      <c r="H12" s="653"/>
      <c r="I12" s="653"/>
      <c r="J12" s="653"/>
    </row>
    <row r="13" spans="1:13" ht="5.25" customHeight="1"/>
    <row r="14" spans="1:13" ht="15.75" customHeight="1">
      <c r="B14" s="639" t="s">
        <v>289</v>
      </c>
      <c r="C14" s="639"/>
      <c r="D14" s="639"/>
      <c r="E14" s="639"/>
      <c r="F14" s="639"/>
      <c r="G14" s="639"/>
      <c r="H14" s="639"/>
      <c r="I14" s="639"/>
      <c r="J14" s="639"/>
    </row>
    <row r="15" spans="1:13" ht="12" customHeight="1"/>
    <row r="16" spans="1:13" s="238" customFormat="1" ht="30" customHeight="1">
      <c r="A16" s="416"/>
      <c r="B16" s="239" t="s">
        <v>290</v>
      </c>
      <c r="C16" s="441" t="s">
        <v>60</v>
      </c>
      <c r="D16" s="273" t="s">
        <v>291</v>
      </c>
      <c r="E16" s="333">
        <f>VLOOKUP(C16,Setup!$F$8:$H$21,2,0)</f>
        <v>43101</v>
      </c>
      <c r="F16" s="274" t="s">
        <v>292</v>
      </c>
      <c r="G16" s="333">
        <f>VLOOKUP(C16,Setup!$F$8:$H$21,3,0)</f>
        <v>43281</v>
      </c>
      <c r="H16" s="646" t="s">
        <v>408</v>
      </c>
      <c r="I16" s="647"/>
      <c r="J16" s="329">
        <v>43353</v>
      </c>
    </row>
    <row r="17" spans="2:35" ht="3" customHeight="1"/>
    <row r="18" spans="2:35">
      <c r="B18" s="672" t="s">
        <v>369</v>
      </c>
      <c r="C18" s="673"/>
      <c r="D18" s="674" t="s">
        <v>418</v>
      </c>
      <c r="E18" s="674"/>
      <c r="F18" s="674"/>
      <c r="G18" s="159"/>
      <c r="H18" s="159"/>
      <c r="I18" s="159"/>
      <c r="J18" s="159"/>
    </row>
    <row r="19" spans="2:35" ht="30" customHeight="1"/>
    <row r="20" spans="2:35" ht="21" customHeight="1"/>
    <row r="21" spans="2:35" ht="15.75" customHeight="1">
      <c r="B21" s="639" t="s">
        <v>293</v>
      </c>
      <c r="C21" s="639"/>
      <c r="D21" s="639"/>
      <c r="E21" s="639"/>
      <c r="F21" s="639"/>
      <c r="G21" s="639"/>
      <c r="H21" s="639"/>
      <c r="I21" s="639"/>
      <c r="J21" s="639"/>
    </row>
    <row r="22" spans="2:35">
      <c r="B22" s="157" t="s">
        <v>410</v>
      </c>
      <c r="E22" s="160"/>
      <c r="F22" s="160"/>
      <c r="I22" s="160"/>
      <c r="J22" s="160"/>
    </row>
    <row r="23" spans="2:35" ht="3" customHeight="1"/>
    <row r="24" spans="2:35" ht="15.75" thickBot="1">
      <c r="B24" s="420" t="s">
        <v>294</v>
      </c>
      <c r="C24" s="205"/>
      <c r="D24" s="642" t="s">
        <v>295</v>
      </c>
      <c r="E24" s="642"/>
      <c r="F24" s="206"/>
      <c r="G24" s="642" t="s">
        <v>296</v>
      </c>
      <c r="H24" s="642"/>
      <c r="I24" s="669"/>
      <c r="J24" s="670"/>
      <c r="N24" s="15"/>
    </row>
    <row r="25" spans="2:35" ht="26.25" customHeight="1" thickBot="1">
      <c r="B25" s="56" t="s">
        <v>294</v>
      </c>
      <c r="C25" s="57"/>
      <c r="D25" s="57"/>
      <c r="E25" s="57"/>
      <c r="F25" s="57"/>
      <c r="G25" s="57"/>
      <c r="H25" s="147"/>
      <c r="I25" s="58"/>
      <c r="J25" s="58"/>
      <c r="K25" s="147" t="s">
        <v>409</v>
      </c>
      <c r="L25" s="57"/>
      <c r="M25" s="57"/>
      <c r="N25" s="212"/>
      <c r="O25" s="60"/>
      <c r="AI25" s="76"/>
    </row>
    <row r="26" spans="2:35">
      <c r="B26" s="661" t="s">
        <v>297</v>
      </c>
      <c r="C26" s="662"/>
      <c r="D26" s="442" t="s">
        <v>2</v>
      </c>
      <c r="E26" s="60"/>
      <c r="F26" s="60"/>
      <c r="G26" s="60"/>
      <c r="H26" s="60"/>
      <c r="I26" s="60"/>
      <c r="J26" s="61"/>
      <c r="K26" s="60"/>
      <c r="L26" s="60"/>
      <c r="M26" s="60"/>
      <c r="N26" s="60"/>
      <c r="O26" s="60"/>
      <c r="AI26" s="76"/>
    </row>
    <row r="27" spans="2:35" ht="18.75">
      <c r="B27" s="59" t="s">
        <v>298</v>
      </c>
      <c r="C27" s="60"/>
      <c r="D27" s="60"/>
      <c r="E27" s="60"/>
      <c r="F27" s="60"/>
      <c r="G27" s="60"/>
      <c r="H27" s="60"/>
      <c r="I27" s="60"/>
      <c r="J27" s="61"/>
      <c r="K27" s="60"/>
      <c r="L27" s="60"/>
      <c r="M27" s="60"/>
      <c r="N27" s="60"/>
      <c r="O27" s="60"/>
      <c r="AI27" s="76"/>
    </row>
    <row r="28" spans="2:35" ht="15.75" thickBot="1">
      <c r="P28" s="238"/>
      <c r="Q28" s="238"/>
    </row>
    <row r="29" spans="2:35" ht="15.75" thickBot="1">
      <c r="B29" s="663" t="s">
        <v>302</v>
      </c>
      <c r="C29" s="664"/>
      <c r="D29" s="664"/>
      <c r="E29" s="664"/>
      <c r="F29" s="664"/>
      <c r="G29" s="664"/>
      <c r="H29" s="664"/>
      <c r="I29" s="664"/>
      <c r="J29" s="664"/>
      <c r="K29" s="664"/>
      <c r="L29" s="664"/>
      <c r="M29" s="664"/>
      <c r="N29" s="665"/>
      <c r="P29" s="443"/>
      <c r="Q29" s="266"/>
      <c r="R29" s="444">
        <f>+C33</f>
        <v>2030552.71</v>
      </c>
      <c r="S29" s="445"/>
    </row>
    <row r="30" spans="2:35">
      <c r="B30" s="62" t="s">
        <v>299</v>
      </c>
      <c r="C30" s="446" t="s">
        <v>60</v>
      </c>
      <c r="D30" s="446" t="s">
        <v>61</v>
      </c>
      <c r="E30" s="446" t="s">
        <v>62</v>
      </c>
      <c r="F30" s="446" t="s">
        <v>63</v>
      </c>
      <c r="G30" s="446" t="s">
        <v>70</v>
      </c>
      <c r="H30" s="446" t="s">
        <v>71</v>
      </c>
      <c r="I30" s="446" t="s">
        <v>72</v>
      </c>
      <c r="J30" s="446" t="s">
        <v>73</v>
      </c>
      <c r="K30" s="446" t="s">
        <v>74</v>
      </c>
      <c r="L30" s="446" t="s">
        <v>75</v>
      </c>
      <c r="M30" s="446" t="s">
        <v>76</v>
      </c>
      <c r="N30" s="447" t="s">
        <v>230</v>
      </c>
      <c r="O30" s="448" t="s">
        <v>305</v>
      </c>
      <c r="P30" s="443"/>
      <c r="Q30" s="266"/>
      <c r="R30" s="444">
        <f>+D33</f>
        <v>0</v>
      </c>
      <c r="S30" s="445"/>
    </row>
    <row r="31" spans="2:35">
      <c r="B31" s="154" t="str">
        <f>CONCATENATE("Buget (in ",'Introducerea datelor'!$D$26,")")</f>
        <v>Buget (in €)</v>
      </c>
      <c r="C31" s="275">
        <v>2030552.71</v>
      </c>
      <c r="D31" s="275"/>
      <c r="E31" s="201"/>
      <c r="F31" s="258"/>
      <c r="G31" s="201"/>
      <c r="H31" s="258"/>
      <c r="I31" s="258"/>
      <c r="J31" s="201"/>
      <c r="K31" s="201"/>
      <c r="L31" s="201"/>
      <c r="M31" s="201"/>
      <c r="N31" s="201"/>
      <c r="O31" s="706">
        <f>LOOKUP(2,1/(C34:N34&gt;0),C34:N34)/I6</f>
        <v>0.23713551483016895</v>
      </c>
      <c r="P31" s="449"/>
      <c r="Q31" s="266"/>
      <c r="R31" s="444">
        <f>+E33</f>
        <v>0</v>
      </c>
      <c r="S31" s="445"/>
    </row>
    <row r="32" spans="2:35">
      <c r="B32" s="62" t="str">
        <f>CONCATENATE("Debursări de către FG (in ", $D$26,")")</f>
        <v>Debursări de către FG (in €)</v>
      </c>
      <c r="C32" s="275">
        <v>2829411.8</v>
      </c>
      <c r="D32" s="275"/>
      <c r="E32" s="315"/>
      <c r="F32" s="316"/>
      <c r="G32" s="202"/>
      <c r="H32" s="259"/>
      <c r="I32" s="258"/>
      <c r="J32" s="201"/>
      <c r="K32" s="201"/>
      <c r="L32" s="201"/>
      <c r="M32" s="201"/>
      <c r="N32" s="201"/>
      <c r="O32" s="707"/>
      <c r="P32" s="443"/>
      <c r="Q32" s="266"/>
      <c r="R32" s="444">
        <f>+F33</f>
        <v>0</v>
      </c>
      <c r="S32" s="445"/>
    </row>
    <row r="33" spans="2:35">
      <c r="B33" s="63" t="s">
        <v>300</v>
      </c>
      <c r="C33" s="450">
        <f>C31</f>
        <v>2030552.71</v>
      </c>
      <c r="D33" s="260">
        <f>IF(AND(D31=0,D32=0),0,+C33+D31)</f>
        <v>0</v>
      </c>
      <c r="E33" s="260">
        <f t="shared" ref="E33:G33" si="0">IF(AND(E31=0,E32=0),0,+D33+E31)</f>
        <v>0</v>
      </c>
      <c r="F33" s="260">
        <f t="shared" si="0"/>
        <v>0</v>
      </c>
      <c r="G33" s="260">
        <f t="shared" si="0"/>
        <v>0</v>
      </c>
      <c r="H33" s="260">
        <f>IF(AND(H31=0,H32=0),0,+G33+H31)</f>
        <v>0</v>
      </c>
      <c r="I33" s="260">
        <f t="shared" ref="I33:N33" si="1">IF(AND(I31=0,I32=0),0,+H33+I31)</f>
        <v>0</v>
      </c>
      <c r="J33" s="203">
        <f t="shared" si="1"/>
        <v>0</v>
      </c>
      <c r="K33" s="203">
        <f t="shared" si="1"/>
        <v>0</v>
      </c>
      <c r="L33" s="203">
        <f t="shared" si="1"/>
        <v>0</v>
      </c>
      <c r="M33" s="203">
        <f t="shared" si="1"/>
        <v>0</v>
      </c>
      <c r="N33" s="203">
        <f t="shared" si="1"/>
        <v>0</v>
      </c>
      <c r="O33" s="707"/>
      <c r="P33" s="451"/>
      <c r="Q33" s="266"/>
      <c r="R33" s="444">
        <f>+G33</f>
        <v>0</v>
      </c>
      <c r="S33" s="445"/>
    </row>
    <row r="34" spans="2:35" ht="15.75" thickBot="1">
      <c r="B34" s="64" t="s">
        <v>301</v>
      </c>
      <c r="C34" s="276">
        <f>C32</f>
        <v>2829411.8</v>
      </c>
      <c r="D34" s="261">
        <f t="shared" ref="D34" si="2">IF(AND(D31=0,D32=0),0,+C34+D32)</f>
        <v>0</v>
      </c>
      <c r="E34" s="261">
        <f t="shared" ref="E34" si="3">IF(AND(E31=0,E32=0),0,+D34+E32)</f>
        <v>0</v>
      </c>
      <c r="F34" s="261">
        <f t="shared" ref="F34" si="4">IF(AND(F31=0,F32=0),0,+E34+F32)</f>
        <v>0</v>
      </c>
      <c r="G34" s="261">
        <f t="shared" ref="G34" si="5">IF(AND(G31=0,G32=0),0,+F34+G32)</f>
        <v>0</v>
      </c>
      <c r="H34" s="261">
        <f t="shared" ref="H34:N34" si="6">IF(AND(H31=0,H32=0),0,+G34+H32)</f>
        <v>0</v>
      </c>
      <c r="I34" s="261">
        <f t="shared" si="6"/>
        <v>0</v>
      </c>
      <c r="J34" s="204">
        <f t="shared" si="6"/>
        <v>0</v>
      </c>
      <c r="K34" s="204">
        <f t="shared" si="6"/>
        <v>0</v>
      </c>
      <c r="L34" s="204">
        <f t="shared" si="6"/>
        <v>0</v>
      </c>
      <c r="M34" s="204">
        <f t="shared" si="6"/>
        <v>0</v>
      </c>
      <c r="N34" s="204">
        <f t="shared" si="6"/>
        <v>0</v>
      </c>
      <c r="O34" s="708"/>
      <c r="P34" s="451"/>
      <c r="Q34" s="266"/>
      <c r="R34" s="444">
        <f>+H33</f>
        <v>0</v>
      </c>
      <c r="S34" s="445"/>
    </row>
    <row r="35" spans="2:35">
      <c r="C35" s="189">
        <f>+IF(AND(C30=$C$16,C33&lt;&gt;0),C34/C33,0)</f>
        <v>1.3934195286169153</v>
      </c>
      <c r="D35" s="189">
        <f t="shared" ref="D35:N35" si="7">+IF(AND(D30=$C$16,D33&lt;&gt;0),D34/D33,0)</f>
        <v>0</v>
      </c>
      <c r="E35" s="189">
        <f t="shared" si="7"/>
        <v>0</v>
      </c>
      <c r="F35" s="189">
        <f>+IF(AND(F30=$C$16,F33&lt;&gt;0),F34/F33,0)</f>
        <v>0</v>
      </c>
      <c r="G35" s="189">
        <f t="shared" si="7"/>
        <v>0</v>
      </c>
      <c r="H35" s="189">
        <f t="shared" si="7"/>
        <v>0</v>
      </c>
      <c r="I35" s="189">
        <f t="shared" si="7"/>
        <v>0</v>
      </c>
      <c r="J35" s="189">
        <f t="shared" si="7"/>
        <v>0</v>
      </c>
      <c r="K35" s="189">
        <f t="shared" si="7"/>
        <v>0</v>
      </c>
      <c r="L35" s="189">
        <f t="shared" si="7"/>
        <v>0</v>
      </c>
      <c r="M35" s="189">
        <f t="shared" si="7"/>
        <v>0</v>
      </c>
      <c r="N35" s="189">
        <f t="shared" si="7"/>
        <v>0</v>
      </c>
      <c r="O35" s="313"/>
      <c r="P35" s="307"/>
      <c r="Q35" s="266"/>
      <c r="R35" s="444">
        <f>+I33</f>
        <v>0</v>
      </c>
      <c r="S35" s="445"/>
    </row>
    <row r="36" spans="2:35" ht="18.75">
      <c r="B36" s="59" t="s">
        <v>303</v>
      </c>
      <c r="E36" s="196"/>
      <c r="G36" s="145"/>
      <c r="N36" s="452"/>
      <c r="O36" s="452"/>
      <c r="P36" s="238"/>
      <c r="Q36" s="238"/>
      <c r="AI36" s="15"/>
    </row>
    <row r="37" spans="2:35" ht="15.75" thickBot="1">
      <c r="M37" s="430"/>
      <c r="N37" s="453"/>
      <c r="O37" s="453"/>
      <c r="P37" s="238"/>
      <c r="Q37" s="238"/>
    </row>
    <row r="38" spans="2:35" ht="30" customHeight="1">
      <c r="B38" s="207" t="s">
        <v>304</v>
      </c>
      <c r="C38" s="208" t="str">
        <f>CONCATENATE("Bugetul Cumulativ (în ",'Introducerea datelor'!$D$26,")")</f>
        <v>Bugetul Cumulativ (în €)</v>
      </c>
      <c r="D38" s="209" t="str">
        <f>CONCATENATE("Cheltuielile Cumulative (în ",'Introducerea datelor'!$D$26,")")</f>
        <v>Cheltuielile Cumulative (în €)</v>
      </c>
      <c r="E38" s="314" t="s">
        <v>429</v>
      </c>
      <c r="F38" s="161" t="s">
        <v>430</v>
      </c>
      <c r="J38" s="68"/>
      <c r="K38" s="68"/>
      <c r="N38" s="3"/>
      <c r="O38" s="3"/>
      <c r="Q38" s="238"/>
      <c r="AE38" s="15"/>
      <c r="AF38" s="238"/>
    </row>
    <row r="39" spans="2:35" ht="46.5" customHeight="1">
      <c r="B39" s="454" t="s">
        <v>436</v>
      </c>
      <c r="C39" s="482">
        <v>81306.37</v>
      </c>
      <c r="D39" s="483">
        <v>44967.38</v>
      </c>
      <c r="E39" s="415">
        <f>C39-D39</f>
        <v>36338.99</v>
      </c>
      <c r="F39" s="319">
        <f>IFERROR(D39/C39,"")</f>
        <v>0.55306097172952129</v>
      </c>
      <c r="G39" s="198"/>
      <c r="J39" s="69"/>
      <c r="K39" s="69"/>
      <c r="N39" s="3"/>
      <c r="O39" s="3"/>
      <c r="Q39" s="238"/>
      <c r="AE39" s="15"/>
      <c r="AF39" s="238"/>
    </row>
    <row r="40" spans="2:35" ht="49.5" customHeight="1">
      <c r="B40" s="454" t="s">
        <v>437</v>
      </c>
      <c r="C40" s="482">
        <v>603188.44999999995</v>
      </c>
      <c r="D40" s="483">
        <v>212685.9</v>
      </c>
      <c r="E40" s="415">
        <f t="shared" ref="E40:E49" si="8">C40-D40</f>
        <v>390502.54999999993</v>
      </c>
      <c r="F40" s="319">
        <f t="shared" ref="F40:F49" si="9">IFERROR(D40/C40,"")</f>
        <v>0.35260273965789629</v>
      </c>
      <c r="G40" s="198"/>
      <c r="K40" s="69"/>
      <c r="N40" s="3"/>
      <c r="O40" s="3"/>
      <c r="Q40" s="238"/>
      <c r="AE40" s="15"/>
      <c r="AF40" s="238"/>
    </row>
    <row r="41" spans="2:35" ht="48" customHeight="1">
      <c r="B41" s="454" t="s">
        <v>421</v>
      </c>
      <c r="C41" s="484">
        <v>26193.29</v>
      </c>
      <c r="D41" s="483">
        <v>21408.23</v>
      </c>
      <c r="E41" s="415">
        <f t="shared" si="8"/>
        <v>4785.0600000000013</v>
      </c>
      <c r="F41" s="319">
        <f t="shared" si="9"/>
        <v>0.81731733585204447</v>
      </c>
      <c r="K41" s="69"/>
      <c r="N41" s="3"/>
      <c r="O41" s="3"/>
      <c r="Q41" s="238"/>
      <c r="AE41" s="15"/>
      <c r="AF41" s="238"/>
    </row>
    <row r="42" spans="2:35" ht="48" customHeight="1">
      <c r="B42" s="454" t="s">
        <v>438</v>
      </c>
      <c r="C42" s="484">
        <v>803124.29</v>
      </c>
      <c r="D42" s="483">
        <v>577492.89</v>
      </c>
      <c r="E42" s="415">
        <f t="shared" ref="E42:E44" si="10">C42-D42</f>
        <v>225631.40000000002</v>
      </c>
      <c r="F42" s="319">
        <f t="shared" si="9"/>
        <v>0.71905793062241963</v>
      </c>
      <c r="K42" s="69"/>
      <c r="N42" s="3"/>
      <c r="O42" s="3"/>
      <c r="Q42" s="238"/>
      <c r="AE42" s="15"/>
      <c r="AF42" s="238"/>
    </row>
    <row r="43" spans="2:35" ht="48" customHeight="1">
      <c r="B43" s="454" t="s">
        <v>439</v>
      </c>
      <c r="C43" s="484">
        <v>296554.33</v>
      </c>
      <c r="D43" s="483">
        <v>479609.59999999998</v>
      </c>
      <c r="E43" s="415">
        <f t="shared" si="10"/>
        <v>-183055.26999999996</v>
      </c>
      <c r="F43" s="319">
        <f t="shared" si="9"/>
        <v>1.6172739747215963</v>
      </c>
      <c r="K43" s="69"/>
      <c r="N43" s="3"/>
      <c r="O43" s="3"/>
      <c r="Q43" s="238"/>
      <c r="AE43" s="15"/>
      <c r="AF43" s="238"/>
    </row>
    <row r="44" spans="2:35" ht="48" customHeight="1">
      <c r="B44" s="454" t="s">
        <v>440</v>
      </c>
      <c r="C44" s="484">
        <v>35499</v>
      </c>
      <c r="D44" s="483">
        <v>31779.45</v>
      </c>
      <c r="E44" s="415">
        <f t="shared" si="10"/>
        <v>3719.5499999999993</v>
      </c>
      <c r="F44" s="319">
        <f t="shared" si="9"/>
        <v>0.89522099214062367</v>
      </c>
      <c r="H44" s="430"/>
      <c r="K44" s="69"/>
      <c r="N44" s="3"/>
      <c r="O44" s="3"/>
      <c r="Q44" s="238"/>
      <c r="AE44" s="15"/>
      <c r="AF44" s="238"/>
    </row>
    <row r="45" spans="2:35" ht="24.75" customHeight="1">
      <c r="B45" s="455" t="s">
        <v>422</v>
      </c>
      <c r="C45" s="484">
        <v>184686.98</v>
      </c>
      <c r="D45" s="483">
        <v>190541.05</v>
      </c>
      <c r="E45" s="415">
        <f t="shared" si="8"/>
        <v>-5854.0699999999779</v>
      </c>
      <c r="F45" s="319">
        <f t="shared" si="9"/>
        <v>1.0316972533743309</v>
      </c>
      <c r="K45" s="15"/>
      <c r="N45" s="3"/>
      <c r="O45" s="3"/>
      <c r="Q45" s="238"/>
      <c r="AE45" s="15"/>
      <c r="AF45" s="238"/>
    </row>
    <row r="46" spans="2:35" ht="26.25" customHeight="1">
      <c r="B46" s="455" t="s">
        <v>428</v>
      </c>
      <c r="C46" s="484"/>
      <c r="D46" s="483"/>
      <c r="E46" s="415"/>
      <c r="F46" s="319" t="str">
        <f t="shared" si="9"/>
        <v/>
      </c>
      <c r="K46" s="15"/>
      <c r="N46" s="3"/>
      <c r="O46" s="3"/>
      <c r="Q46" s="238"/>
      <c r="AE46" s="15"/>
      <c r="AF46" s="238"/>
    </row>
    <row r="47" spans="2:35">
      <c r="B47" s="455" t="s">
        <v>412</v>
      </c>
      <c r="C47" s="484"/>
      <c r="D47" s="483">
        <v>7809.98</v>
      </c>
      <c r="E47" s="415">
        <f t="shared" si="8"/>
        <v>-7809.98</v>
      </c>
      <c r="F47" s="319" t="str">
        <f t="shared" si="9"/>
        <v/>
      </c>
      <c r="J47" s="15"/>
      <c r="K47" s="15"/>
      <c r="N47" s="3"/>
      <c r="O47" s="3"/>
      <c r="Q47" s="238"/>
      <c r="AE47" s="238"/>
      <c r="AF47" s="238"/>
    </row>
    <row r="48" spans="2:35">
      <c r="B48" s="456"/>
      <c r="C48" s="485"/>
      <c r="D48" s="486"/>
      <c r="E48" s="415"/>
      <c r="F48" s="319" t="str">
        <f t="shared" si="9"/>
        <v/>
      </c>
      <c r="J48" s="15"/>
      <c r="K48" s="15"/>
      <c r="N48" s="3"/>
      <c r="O48" s="3"/>
      <c r="Q48" s="238"/>
      <c r="AE48" s="238"/>
      <c r="AF48" s="238"/>
    </row>
    <row r="49" spans="2:35" ht="15.75" thickBot="1">
      <c r="B49" s="210" t="s">
        <v>39</v>
      </c>
      <c r="C49" s="310">
        <f>SUM(C39:C48)</f>
        <v>2030552.71</v>
      </c>
      <c r="D49" s="317">
        <f>SUM(D39:D48)</f>
        <v>1566294.48</v>
      </c>
      <c r="E49" s="415">
        <f t="shared" si="8"/>
        <v>464258.23</v>
      </c>
      <c r="F49" s="319">
        <f t="shared" si="9"/>
        <v>0.77136361557440192</v>
      </c>
      <c r="N49" s="127"/>
      <c r="O49" s="444"/>
      <c r="P49" s="445"/>
      <c r="Q49" s="238"/>
      <c r="AE49" s="238"/>
      <c r="AF49" s="238"/>
    </row>
    <row r="50" spans="2:35">
      <c r="C50" s="124"/>
      <c r="D50" s="124"/>
      <c r="E50" s="150"/>
      <c r="F50" s="124"/>
      <c r="G50" s="124"/>
      <c r="H50" s="124"/>
      <c r="I50" s="124"/>
      <c r="J50" s="124"/>
      <c r="K50" s="124"/>
      <c r="L50" s="124"/>
      <c r="M50" s="124"/>
      <c r="N50" s="124"/>
      <c r="O50" s="124"/>
      <c r="P50" s="126"/>
      <c r="Q50" s="266"/>
      <c r="R50" s="444"/>
      <c r="S50" s="445"/>
    </row>
    <row r="51" spans="2:35" ht="18.75">
      <c r="B51" s="59" t="s">
        <v>306</v>
      </c>
      <c r="P51" s="445"/>
      <c r="Q51" s="266"/>
      <c r="R51" s="444">
        <f>+J33</f>
        <v>0</v>
      </c>
      <c r="S51" s="445"/>
    </row>
    <row r="52" spans="2:35" ht="15.75" thickBot="1">
      <c r="P52" s="445"/>
      <c r="Q52" s="127"/>
      <c r="R52" s="444">
        <f>+K33</f>
        <v>0</v>
      </c>
      <c r="S52" s="445"/>
    </row>
    <row r="53" spans="2:35" ht="35.25" customHeight="1">
      <c r="B53" s="164"/>
      <c r="C53" s="165" t="s">
        <v>311</v>
      </c>
      <c r="D53" s="165" t="s">
        <v>312</v>
      </c>
      <c r="E53" s="217" t="str">
        <f>CONCATENATE("Total Cheltuit și debursat (în ",D26,")")</f>
        <v>Total Cheltuit și debursat (în €)</v>
      </c>
      <c r="F53" s="238"/>
      <c r="G53" s="267"/>
      <c r="H53" s="161"/>
      <c r="I53" s="155"/>
      <c r="J53" s="155"/>
      <c r="K53" s="155"/>
      <c r="L53" s="155"/>
      <c r="M53" s="155"/>
      <c r="N53" s="155"/>
      <c r="O53" s="445"/>
      <c r="P53" s="127"/>
      <c r="Q53" s="444">
        <f>+M33</f>
        <v>0</v>
      </c>
      <c r="R53" s="445"/>
      <c r="AH53" s="15"/>
    </row>
    <row r="54" spans="2:35">
      <c r="B54" s="162" t="s">
        <v>307</v>
      </c>
      <c r="C54" s="487"/>
      <c r="D54" s="487">
        <v>2829411.8</v>
      </c>
      <c r="E54" s="311">
        <f>+D54+C54</f>
        <v>2829411.8</v>
      </c>
      <c r="F54" s="238"/>
      <c r="G54" s="268"/>
      <c r="H54" s="67"/>
      <c r="I54" s="65"/>
      <c r="J54" s="457"/>
      <c r="K54" s="458"/>
      <c r="L54" s="66"/>
      <c r="M54" s="66"/>
      <c r="N54" s="66"/>
      <c r="O54" s="445"/>
      <c r="P54" s="445"/>
      <c r="Q54" s="445"/>
      <c r="R54" s="445"/>
      <c r="AH54" s="15"/>
    </row>
    <row r="55" spans="2:35">
      <c r="B55" s="162" t="s">
        <v>308</v>
      </c>
      <c r="C55" s="488"/>
      <c r="D55" s="489">
        <v>1566294.48</v>
      </c>
      <c r="E55" s="311">
        <f>+D55+C55</f>
        <v>1566294.48</v>
      </c>
      <c r="F55" s="238"/>
      <c r="G55" s="269"/>
      <c r="H55" s="67"/>
      <c r="I55" s="65"/>
      <c r="J55" s="457"/>
      <c r="K55" s="457"/>
      <c r="L55" s="66"/>
      <c r="M55" s="66"/>
      <c r="N55" s="66"/>
      <c r="O55" s="445"/>
      <c r="P55" s="445"/>
      <c r="Q55" s="445"/>
      <c r="R55" s="445"/>
      <c r="AH55" s="15"/>
    </row>
    <row r="56" spans="2:35">
      <c r="B56" s="162" t="s">
        <v>309</v>
      </c>
      <c r="C56" s="488"/>
      <c r="D56" s="488">
        <v>237737.87</v>
      </c>
      <c r="E56" s="311">
        <f>+D56+C56</f>
        <v>237737.87</v>
      </c>
      <c r="F56" s="238"/>
      <c r="G56" s="268"/>
      <c r="H56" s="67"/>
      <c r="I56" s="65"/>
      <c r="J56" s="457"/>
      <c r="K56" s="458"/>
      <c r="L56" s="66"/>
      <c r="M56" s="66"/>
      <c r="N56" s="66"/>
      <c r="O56" s="3"/>
      <c r="AH56" s="15"/>
    </row>
    <row r="57" spans="2:35" ht="15.75" thickBot="1">
      <c r="B57" s="163" t="s">
        <v>310</v>
      </c>
      <c r="C57" s="490"/>
      <c r="D57" s="490">
        <v>227452.2</v>
      </c>
      <c r="E57" s="312">
        <f>+D57+C57</f>
        <v>227452.2</v>
      </c>
      <c r="F57" s="238"/>
      <c r="G57" s="270"/>
      <c r="H57" s="459"/>
      <c r="I57" s="67"/>
      <c r="J57" s="67"/>
      <c r="K57" s="67"/>
      <c r="L57" s="66"/>
      <c r="M57" s="66"/>
      <c r="N57" s="66"/>
      <c r="O57" s="3"/>
      <c r="AH57" s="15"/>
    </row>
    <row r="58" spans="2:35" ht="15.75" customHeight="1">
      <c r="E58" s="318"/>
      <c r="F58" s="15"/>
      <c r="AI58" s="15"/>
    </row>
    <row r="59" spans="2:35">
      <c r="D59" s="153"/>
    </row>
    <row r="60" spans="2:35" ht="18.75">
      <c r="B60" s="59" t="s">
        <v>371</v>
      </c>
    </row>
    <row r="61" spans="2:35" ht="15.75" thickBot="1"/>
    <row r="62" spans="2:35">
      <c r="B62" s="666" t="s">
        <v>313</v>
      </c>
      <c r="C62" s="667"/>
      <c r="D62" s="668"/>
      <c r="M62" s="238"/>
      <c r="O62" s="3"/>
    </row>
    <row r="63" spans="2:35">
      <c r="B63" s="70"/>
      <c r="C63" s="167" t="s">
        <v>314</v>
      </c>
      <c r="D63" s="168" t="s">
        <v>315</v>
      </c>
      <c r="E63" s="238"/>
      <c r="M63" s="238"/>
      <c r="O63" s="3"/>
    </row>
    <row r="64" spans="2:35">
      <c r="B64" s="71" t="s">
        <v>316</v>
      </c>
      <c r="C64" s="491">
        <v>60</v>
      </c>
      <c r="D64" s="492">
        <v>60</v>
      </c>
      <c r="E64" s="238"/>
      <c r="F64" s="238"/>
      <c r="M64" s="238"/>
      <c r="O64" s="3"/>
    </row>
    <row r="65" spans="2:30">
      <c r="B65" s="166" t="s">
        <v>317</v>
      </c>
      <c r="C65" s="491">
        <v>5</v>
      </c>
      <c r="D65" s="492">
        <v>5</v>
      </c>
      <c r="H65" s="67"/>
      <c r="I65" s="67"/>
      <c r="M65" s="238"/>
      <c r="O65" s="3"/>
    </row>
    <row r="66" spans="2:30" ht="15.75" thickBot="1">
      <c r="B66" s="72" t="s">
        <v>318</v>
      </c>
      <c r="C66" s="493">
        <v>5</v>
      </c>
      <c r="D66" s="494">
        <v>5</v>
      </c>
      <c r="H66" s="67"/>
      <c r="I66" s="67"/>
      <c r="M66" s="238"/>
      <c r="O66" s="3"/>
    </row>
    <row r="68" spans="2:30" ht="15.75" thickBot="1">
      <c r="L68" s="213"/>
      <c r="AC68" s="2"/>
      <c r="AD68" s="2"/>
    </row>
    <row r="69" spans="2:30" ht="19.5" thickBot="1">
      <c r="B69" s="73" t="s">
        <v>320</v>
      </c>
      <c r="C69" s="74"/>
      <c r="D69" s="74"/>
      <c r="E69" s="74"/>
      <c r="F69" s="74"/>
      <c r="G69" s="74" t="s">
        <v>420</v>
      </c>
      <c r="H69" s="232"/>
      <c r="I69" s="74"/>
      <c r="J69" s="75"/>
      <c r="K69" s="75"/>
      <c r="L69" s="214"/>
      <c r="M69" s="215"/>
      <c r="N69" s="460"/>
      <c r="O69" s="460"/>
      <c r="P69" s="460"/>
      <c r="S69" s="76"/>
      <c r="AC69" s="2"/>
      <c r="AD69" s="2"/>
    </row>
    <row r="70" spans="2:30" ht="18.75">
      <c r="B70" s="77"/>
      <c r="C70" s="76"/>
      <c r="D70" s="76"/>
      <c r="E70" s="76"/>
      <c r="F70" s="76"/>
      <c r="G70" s="76"/>
      <c r="H70" s="76"/>
      <c r="I70" s="76"/>
      <c r="J70" s="76"/>
      <c r="K70" s="78"/>
      <c r="L70" s="78"/>
      <c r="M70" s="76"/>
      <c r="N70" s="460"/>
      <c r="O70" s="460"/>
      <c r="P70" s="460"/>
      <c r="S70" s="76"/>
      <c r="AC70" s="2"/>
      <c r="AD70" s="2"/>
    </row>
    <row r="71" spans="2:30" ht="18.75">
      <c r="B71" s="77" t="s">
        <v>321</v>
      </c>
      <c r="C71" s="76"/>
      <c r="D71" s="76"/>
      <c r="E71" s="76"/>
      <c r="F71" s="76"/>
      <c r="G71" s="76"/>
      <c r="H71" s="76"/>
      <c r="I71" s="76"/>
      <c r="J71" s="76"/>
      <c r="K71" s="78"/>
      <c r="L71" s="78"/>
      <c r="M71" s="76"/>
      <c r="N71" s="460"/>
      <c r="O71" s="460"/>
      <c r="P71" s="460"/>
      <c r="S71" s="76"/>
      <c r="AC71" s="2"/>
      <c r="AD71" s="2"/>
    </row>
    <row r="72" spans="2:30" ht="15.75" thickBot="1">
      <c r="B72" s="2"/>
      <c r="C72" s="79"/>
      <c r="D72" s="79"/>
      <c r="E72" s="79"/>
      <c r="F72" s="79"/>
      <c r="G72" s="79"/>
      <c r="H72" s="2"/>
      <c r="I72" s="79"/>
      <c r="J72" s="2"/>
      <c r="K72" s="2"/>
      <c r="L72" s="2"/>
      <c r="M72" s="2"/>
      <c r="N72" s="15"/>
      <c r="O72" s="2"/>
      <c r="P72" s="2"/>
      <c r="Q72" s="2"/>
      <c r="R72" s="2"/>
      <c r="S72" s="2"/>
      <c r="AD72" s="2"/>
    </row>
    <row r="73" spans="2:30" ht="60">
      <c r="B73" s="723"/>
      <c r="C73" s="724"/>
      <c r="D73" s="80" t="s">
        <v>324</v>
      </c>
      <c r="E73" s="81" t="s">
        <v>325</v>
      </c>
      <c r="F73" s="81" t="s">
        <v>326</v>
      </c>
      <c r="G73" s="82" t="s">
        <v>39</v>
      </c>
      <c r="H73" s="171"/>
      <c r="I73" s="172"/>
      <c r="J73" s="15"/>
      <c r="K73" s="2"/>
      <c r="L73" s="2"/>
      <c r="M73" s="2"/>
      <c r="N73" s="15"/>
      <c r="O73" s="2"/>
      <c r="P73" s="2"/>
      <c r="Q73" s="2"/>
      <c r="R73" s="2"/>
      <c r="S73" s="2"/>
    </row>
    <row r="74" spans="2:30">
      <c r="B74" s="656" t="s">
        <v>322</v>
      </c>
      <c r="C74" s="657"/>
      <c r="D74" s="495"/>
      <c r="E74" s="495">
        <v>2</v>
      </c>
      <c r="F74" s="495"/>
      <c r="G74" s="277">
        <f>SUM(D74:F74)</f>
        <v>2</v>
      </c>
      <c r="H74" s="15"/>
      <c r="I74" s="461"/>
      <c r="J74" s="461"/>
      <c r="K74" s="2" t="s">
        <v>319</v>
      </c>
      <c r="L74" s="2"/>
      <c r="M74" s="2"/>
      <c r="N74" s="15"/>
      <c r="O74" s="2"/>
      <c r="P74" s="2"/>
      <c r="Q74" s="2"/>
      <c r="R74" s="2"/>
      <c r="S74" s="2"/>
    </row>
    <row r="75" spans="2:30" ht="15.75" thickBot="1">
      <c r="B75" s="719" t="s">
        <v>323</v>
      </c>
      <c r="C75" s="720"/>
      <c r="D75" s="496"/>
      <c r="E75" s="496"/>
      <c r="F75" s="496"/>
      <c r="G75" s="85">
        <f>SUM(D75:F75)</f>
        <v>0</v>
      </c>
      <c r="H75" s="15"/>
      <c r="I75" s="15"/>
      <c r="J75" s="15"/>
      <c r="K75" s="2"/>
      <c r="L75" s="2"/>
      <c r="M75" s="2"/>
      <c r="N75" s="2"/>
      <c r="O75" s="2"/>
      <c r="P75" s="2"/>
      <c r="Q75" s="2"/>
      <c r="R75" s="2"/>
      <c r="S75" s="2"/>
    </row>
    <row r="76" spans="2:30">
      <c r="B76" s="2"/>
      <c r="C76" s="2"/>
      <c r="D76" s="2"/>
      <c r="E76" s="2"/>
      <c r="F76" s="2"/>
      <c r="G76" s="2"/>
      <c r="H76" s="2"/>
      <c r="I76" s="2"/>
      <c r="J76" s="2"/>
      <c r="K76" s="2"/>
      <c r="L76" s="2"/>
      <c r="M76" s="2"/>
      <c r="N76" s="2"/>
      <c r="O76" s="2"/>
      <c r="P76" s="2"/>
      <c r="Q76" s="2"/>
      <c r="R76" s="2"/>
      <c r="S76" s="2"/>
    </row>
    <row r="77" spans="2:30">
      <c r="B77" s="2"/>
      <c r="C77" s="2"/>
      <c r="D77" s="2"/>
      <c r="E77" s="2"/>
      <c r="F77" s="2"/>
      <c r="G77" s="2"/>
      <c r="H77" s="2"/>
      <c r="I77" s="2"/>
      <c r="J77" s="2"/>
      <c r="K77" s="2"/>
      <c r="L77" s="2"/>
      <c r="M77" s="2"/>
      <c r="N77" s="2"/>
      <c r="O77" s="2"/>
      <c r="P77" s="2"/>
      <c r="S77" s="2"/>
    </row>
    <row r="78" spans="2:30" ht="18.75">
      <c r="B78" s="77" t="s">
        <v>327</v>
      </c>
      <c r="C78" s="2"/>
      <c r="D78" s="2"/>
      <c r="E78" s="2"/>
      <c r="F78" s="2"/>
      <c r="G78" s="2"/>
      <c r="H78" s="2"/>
      <c r="I78" s="2"/>
      <c r="J78" s="2"/>
      <c r="K78" s="2"/>
      <c r="L78" s="2"/>
      <c r="M78" s="2"/>
      <c r="N78" s="2"/>
      <c r="O78" s="2"/>
      <c r="P78" s="2"/>
      <c r="S78" s="2"/>
    </row>
    <row r="79" spans="2:30" ht="15.75" thickBot="1">
      <c r="B79" s="2"/>
      <c r="C79" s="2"/>
      <c r="D79" s="2"/>
      <c r="E79" s="2"/>
      <c r="F79" s="2"/>
      <c r="G79" s="2"/>
      <c r="H79" s="2"/>
      <c r="I79" s="2"/>
      <c r="J79" s="2"/>
      <c r="K79" s="2"/>
      <c r="L79" s="2"/>
      <c r="M79" s="2"/>
      <c r="N79" s="2"/>
      <c r="O79" s="2"/>
      <c r="P79" s="2"/>
      <c r="S79" s="2"/>
    </row>
    <row r="80" spans="2:30">
      <c r="B80" s="86"/>
      <c r="C80" s="419" t="s">
        <v>328</v>
      </c>
      <c r="D80" s="419" t="s">
        <v>329</v>
      </c>
      <c r="E80" s="87" t="s">
        <v>330</v>
      </c>
      <c r="F80" s="15"/>
      <c r="G80" s="15"/>
      <c r="H80" s="15"/>
      <c r="I80" s="172"/>
      <c r="J80" s="2"/>
      <c r="K80" s="2"/>
      <c r="L80" s="2"/>
      <c r="M80" s="2"/>
      <c r="N80" s="2"/>
      <c r="O80" s="2"/>
      <c r="P80" s="2"/>
      <c r="S80" s="2"/>
    </row>
    <row r="81" spans="2:36" ht="15.75" thickBot="1">
      <c r="B81" s="88" t="s">
        <v>418</v>
      </c>
      <c r="C81" s="497">
        <v>14</v>
      </c>
      <c r="D81" s="497">
        <v>14</v>
      </c>
      <c r="E81" s="278">
        <f>+C81-D81</f>
        <v>0</v>
      </c>
      <c r="F81" s="146"/>
      <c r="G81" s="151"/>
      <c r="H81" s="15"/>
      <c r="I81" s="461"/>
      <c r="J81" s="2"/>
      <c r="K81" s="2"/>
      <c r="L81" s="2"/>
      <c r="M81" s="2"/>
      <c r="N81" s="2"/>
      <c r="O81" s="2"/>
      <c r="P81" s="2"/>
      <c r="S81" s="2"/>
    </row>
    <row r="82" spans="2:36">
      <c r="B82" s="2"/>
      <c r="C82" s="2"/>
      <c r="D82" s="2"/>
      <c r="E82" s="2"/>
      <c r="F82" s="2"/>
      <c r="G82" s="2"/>
      <c r="H82" s="2"/>
      <c r="I82" s="2"/>
      <c r="J82" s="2"/>
      <c r="K82" s="2"/>
      <c r="L82" s="2"/>
      <c r="M82" s="2"/>
      <c r="N82" s="2"/>
      <c r="O82" s="2"/>
      <c r="P82" s="2"/>
      <c r="S82" s="2"/>
    </row>
    <row r="83" spans="2:36" ht="18.75">
      <c r="B83" s="77" t="s">
        <v>331</v>
      </c>
      <c r="C83" s="2"/>
      <c r="D83" s="2"/>
      <c r="E83" s="2"/>
      <c r="F83" s="2"/>
      <c r="G83" s="2"/>
      <c r="H83" s="2"/>
      <c r="I83" s="2"/>
      <c r="J83" s="2"/>
      <c r="K83" s="2"/>
      <c r="L83" s="2"/>
      <c r="M83" s="2"/>
      <c r="N83" s="2"/>
      <c r="O83" s="2"/>
      <c r="P83" s="2"/>
      <c r="S83" s="2"/>
    </row>
    <row r="84" spans="2:36" ht="15.75" thickBot="1">
      <c r="B84" s="2"/>
      <c r="C84" s="2"/>
      <c r="D84" s="2"/>
      <c r="E84" s="2"/>
      <c r="F84" s="2"/>
      <c r="G84" s="2"/>
      <c r="H84" s="2"/>
      <c r="I84" s="2"/>
      <c r="J84" s="2"/>
      <c r="K84" s="2"/>
      <c r="L84" s="2"/>
      <c r="M84" s="2"/>
      <c r="N84" s="2"/>
      <c r="O84" s="2"/>
      <c r="P84" s="2"/>
      <c r="S84" s="2"/>
    </row>
    <row r="85" spans="2:36" ht="30">
      <c r="B85" s="86"/>
      <c r="C85" s="419" t="s">
        <v>332</v>
      </c>
      <c r="D85" s="419" t="s">
        <v>333</v>
      </c>
      <c r="E85" s="419" t="s">
        <v>334</v>
      </c>
      <c r="F85" s="419" t="s">
        <v>335</v>
      </c>
      <c r="G85" s="105" t="s">
        <v>336</v>
      </c>
      <c r="H85" s="152"/>
      <c r="I85" s="172"/>
      <c r="J85" s="2"/>
      <c r="K85" s="2"/>
      <c r="L85" s="2"/>
      <c r="M85" s="2"/>
      <c r="N85" s="2"/>
      <c r="O85" s="2"/>
      <c r="P85" s="2"/>
      <c r="S85" s="2"/>
    </row>
    <row r="86" spans="2:36" ht="15.75" thickBot="1">
      <c r="B86" s="88" t="s">
        <v>77</v>
      </c>
      <c r="C86" s="497">
        <v>2</v>
      </c>
      <c r="D86" s="497">
        <v>2</v>
      </c>
      <c r="E86" s="497">
        <v>2</v>
      </c>
      <c r="F86" s="497">
        <v>2</v>
      </c>
      <c r="G86" s="498">
        <v>2</v>
      </c>
      <c r="H86" s="462"/>
      <c r="I86" s="15"/>
      <c r="J86" s="2"/>
      <c r="K86" s="2"/>
      <c r="L86" s="2"/>
      <c r="M86" s="2"/>
      <c r="N86" s="2"/>
      <c r="O86" s="2"/>
      <c r="P86" s="2"/>
      <c r="S86" s="2"/>
    </row>
    <row r="87" spans="2:36">
      <c r="B87" s="2"/>
      <c r="C87" s="279"/>
      <c r="D87" s="279"/>
      <c r="E87" s="279"/>
      <c r="F87" s="279"/>
      <c r="G87" s="279"/>
      <c r="H87" s="2"/>
      <c r="J87" s="2"/>
      <c r="K87" s="2"/>
      <c r="L87" s="2"/>
      <c r="M87" s="2"/>
      <c r="N87" s="2"/>
      <c r="O87" s="2"/>
      <c r="P87" s="2"/>
      <c r="S87" s="2"/>
    </row>
    <row r="88" spans="2:36" ht="18.75">
      <c r="B88" s="77" t="s">
        <v>337</v>
      </c>
      <c r="C88" s="2"/>
      <c r="D88" s="2"/>
      <c r="E88" s="2"/>
      <c r="F88" s="2"/>
      <c r="G88" s="2"/>
      <c r="H88" s="2"/>
      <c r="I88" s="2"/>
      <c r="J88" s="2"/>
      <c r="K88" s="2"/>
      <c r="L88" s="2"/>
      <c r="M88" s="2"/>
      <c r="N88" s="2"/>
      <c r="O88" s="2"/>
      <c r="P88" s="2"/>
      <c r="S88" s="2"/>
    </row>
    <row r="89" spans="2:36" ht="15.75" thickBot="1">
      <c r="B89" s="2"/>
      <c r="C89" s="2"/>
      <c r="D89" s="2"/>
      <c r="E89" s="2"/>
      <c r="F89" s="2"/>
      <c r="G89" s="2"/>
      <c r="H89" s="2"/>
      <c r="I89" s="2"/>
      <c r="J89" s="2"/>
      <c r="K89" s="2"/>
      <c r="L89" s="2"/>
      <c r="M89" s="2"/>
      <c r="N89" s="2"/>
      <c r="O89" s="2"/>
      <c r="P89" s="2"/>
      <c r="S89" s="2"/>
    </row>
    <row r="90" spans="2:36">
      <c r="B90" s="86"/>
      <c r="C90" s="89" t="s">
        <v>340</v>
      </c>
      <c r="D90" s="89" t="s">
        <v>341</v>
      </c>
      <c r="E90" s="90" t="s">
        <v>342</v>
      </c>
      <c r="F90" s="2"/>
      <c r="G90" s="2"/>
      <c r="H90" s="2"/>
      <c r="I90" s="2"/>
      <c r="J90" s="2"/>
      <c r="K90" s="2"/>
      <c r="L90" s="2"/>
      <c r="N90" s="3"/>
      <c r="O90" s="2"/>
      <c r="AG90" s="238"/>
      <c r="AJ90" s="3"/>
    </row>
    <row r="91" spans="2:36">
      <c r="B91" s="83" t="s">
        <v>338</v>
      </c>
      <c r="C91" s="495">
        <v>8</v>
      </c>
      <c r="D91" s="499">
        <v>8</v>
      </c>
      <c r="E91" s="280">
        <f>C91-D91</f>
        <v>0</v>
      </c>
      <c r="F91" s="2"/>
      <c r="G91" s="2"/>
      <c r="H91" s="2"/>
      <c r="I91" s="2"/>
      <c r="J91" s="2"/>
      <c r="K91" s="2"/>
      <c r="L91" s="2"/>
      <c r="N91" s="3"/>
      <c r="O91" s="2"/>
      <c r="AG91" s="238"/>
      <c r="AJ91" s="3"/>
    </row>
    <row r="92" spans="2:36" ht="15.75" thickBot="1">
      <c r="B92" s="84" t="s">
        <v>339</v>
      </c>
      <c r="C92" s="496">
        <v>4</v>
      </c>
      <c r="D92" s="500">
        <v>4</v>
      </c>
      <c r="E92" s="463">
        <f>C92-D92</f>
        <v>0</v>
      </c>
      <c r="F92" s="2"/>
      <c r="G92" s="2"/>
      <c r="H92" s="2"/>
      <c r="I92" s="2"/>
      <c r="J92" s="2"/>
      <c r="K92" s="2"/>
      <c r="L92" s="2"/>
      <c r="N92" s="3"/>
      <c r="O92" s="2"/>
      <c r="AG92" s="238"/>
      <c r="AJ92" s="3"/>
    </row>
    <row r="93" spans="2:36">
      <c r="B93" s="2"/>
      <c r="C93" s="2"/>
      <c r="D93" s="2"/>
      <c r="E93" s="2"/>
      <c r="F93" s="2"/>
      <c r="G93" s="2"/>
      <c r="H93" s="2"/>
      <c r="I93" s="2"/>
      <c r="J93" s="2"/>
      <c r="K93" s="2"/>
      <c r="L93" s="2"/>
      <c r="M93" s="2"/>
      <c r="N93" s="2"/>
      <c r="O93" s="2"/>
      <c r="P93" s="2"/>
      <c r="S93" s="2"/>
    </row>
    <row r="94" spans="2:36" ht="18.75">
      <c r="B94" s="77" t="s">
        <v>343</v>
      </c>
      <c r="C94" s="2"/>
      <c r="D94" s="2"/>
      <c r="E94" s="2"/>
      <c r="F94" s="2"/>
      <c r="G94" s="2"/>
      <c r="H94" s="2"/>
      <c r="I94" s="2"/>
      <c r="J94" s="2"/>
      <c r="K94" s="2"/>
      <c r="L94" s="2"/>
      <c r="M94" s="2"/>
      <c r="N94" s="2"/>
      <c r="O94" s="2"/>
      <c r="P94" s="2"/>
      <c r="S94" s="2"/>
    </row>
    <row r="95" spans="2:36" ht="15.75" thickBot="1">
      <c r="B95" s="2"/>
      <c r="C95" s="2"/>
      <c r="D95" s="2"/>
      <c r="E95" s="2"/>
      <c r="F95" s="2"/>
      <c r="G95" s="2"/>
      <c r="H95" s="2"/>
      <c r="I95" s="15"/>
      <c r="J95" s="15"/>
      <c r="K95" s="15"/>
      <c r="L95" s="15"/>
      <c r="M95" s="15"/>
      <c r="N95" s="15"/>
      <c r="O95" s="15"/>
      <c r="P95" s="15"/>
      <c r="S95" s="2"/>
    </row>
    <row r="96" spans="2:36">
      <c r="B96" s="129"/>
      <c r="C96" s="464" t="s">
        <v>60</v>
      </c>
      <c r="D96" s="464" t="s">
        <v>61</v>
      </c>
      <c r="E96" s="464" t="s">
        <v>62</v>
      </c>
      <c r="F96" s="464" t="s">
        <v>63</v>
      </c>
      <c r="G96" s="464" t="s">
        <v>70</v>
      </c>
      <c r="H96" s="464" t="s">
        <v>71</v>
      </c>
      <c r="I96" s="464" t="s">
        <v>72</v>
      </c>
      <c r="J96" s="464" t="s">
        <v>73</v>
      </c>
      <c r="K96" s="464" t="s">
        <v>74</v>
      </c>
      <c r="L96" s="464" t="s">
        <v>75</v>
      </c>
      <c r="M96" s="464" t="s">
        <v>76</v>
      </c>
      <c r="N96" s="465" t="s">
        <v>230</v>
      </c>
      <c r="O96" s="15"/>
      <c r="P96" s="15"/>
      <c r="S96" s="2"/>
    </row>
    <row r="97" spans="2:19" ht="15" customHeight="1">
      <c r="B97" s="199" t="s">
        <v>344</v>
      </c>
      <c r="C97" s="501">
        <v>1160869.74</v>
      </c>
      <c r="D97" s="501"/>
      <c r="E97" s="502"/>
      <c r="F97" s="502"/>
      <c r="G97" s="502"/>
      <c r="H97" s="501"/>
      <c r="I97" s="501"/>
      <c r="J97" s="502"/>
      <c r="K97" s="502"/>
      <c r="L97" s="502"/>
      <c r="M97" s="502"/>
      <c r="N97" s="503"/>
      <c r="O97" s="15"/>
      <c r="P97" s="15"/>
      <c r="S97" s="2"/>
    </row>
    <row r="98" spans="2:19" ht="15" customHeight="1">
      <c r="B98" s="199" t="s">
        <v>345</v>
      </c>
      <c r="C98" s="501">
        <v>1079919</v>
      </c>
      <c r="D98" s="501"/>
      <c r="E98" s="502"/>
      <c r="F98" s="502"/>
      <c r="G98" s="502"/>
      <c r="H98" s="501"/>
      <c r="I98" s="501"/>
      <c r="J98" s="502"/>
      <c r="K98" s="502"/>
      <c r="L98" s="502"/>
      <c r="M98" s="502"/>
      <c r="N98" s="503"/>
      <c r="O98" s="15"/>
      <c r="P98" s="15"/>
      <c r="S98" s="2"/>
    </row>
    <row r="99" spans="2:19" ht="15" customHeight="1">
      <c r="B99" s="199" t="s">
        <v>346</v>
      </c>
      <c r="C99" s="501">
        <v>693006.73</v>
      </c>
      <c r="D99" s="501"/>
      <c r="E99" s="502"/>
      <c r="F99" s="502"/>
      <c r="G99" s="502"/>
      <c r="H99" s="501"/>
      <c r="I99" s="501"/>
      <c r="J99" s="502"/>
      <c r="K99" s="502"/>
      <c r="L99" s="502"/>
      <c r="M99" s="502"/>
      <c r="N99" s="503"/>
      <c r="O99" s="15"/>
      <c r="P99" s="15"/>
      <c r="S99" s="2"/>
    </row>
    <row r="100" spans="2:19" ht="15" customHeight="1">
      <c r="B100" s="173" t="s">
        <v>347</v>
      </c>
      <c r="C100" s="504">
        <f>C97</f>
        <v>1160869.74</v>
      </c>
      <c r="D100" s="505"/>
      <c r="E100" s="506"/>
      <c r="F100" s="506"/>
      <c r="G100" s="506"/>
      <c r="H100" s="505"/>
      <c r="I100" s="505"/>
      <c r="J100" s="506"/>
      <c r="K100" s="506"/>
      <c r="L100" s="505"/>
      <c r="M100" s="505"/>
      <c r="N100" s="507"/>
      <c r="O100" s="15"/>
      <c r="P100" s="15"/>
      <c r="S100" s="2"/>
    </row>
    <row r="101" spans="2:19" ht="15" customHeight="1">
      <c r="B101" s="173" t="s">
        <v>348</v>
      </c>
      <c r="C101" s="504">
        <f>C98</f>
        <v>1079919</v>
      </c>
      <c r="D101" s="505"/>
      <c r="E101" s="506"/>
      <c r="F101" s="506"/>
      <c r="G101" s="506"/>
      <c r="H101" s="505"/>
      <c r="I101" s="505"/>
      <c r="J101" s="506"/>
      <c r="K101" s="506"/>
      <c r="L101" s="505"/>
      <c r="M101" s="505"/>
      <c r="N101" s="507"/>
      <c r="O101" s="15"/>
      <c r="P101" s="15"/>
      <c r="S101" s="2"/>
    </row>
    <row r="102" spans="2:19" ht="15.75" thickBot="1">
      <c r="B102" s="227" t="s">
        <v>349</v>
      </c>
      <c r="C102" s="508">
        <f>C99</f>
        <v>693006.73</v>
      </c>
      <c r="D102" s="509"/>
      <c r="E102" s="510"/>
      <c r="F102" s="510"/>
      <c r="G102" s="510"/>
      <c r="H102" s="509"/>
      <c r="I102" s="509"/>
      <c r="J102" s="510"/>
      <c r="K102" s="510"/>
      <c r="L102" s="509"/>
      <c r="M102" s="509"/>
      <c r="N102" s="511"/>
      <c r="O102" s="15"/>
      <c r="P102" s="15"/>
      <c r="S102" s="2"/>
    </row>
    <row r="103" spans="2:19">
      <c r="C103" s="2"/>
      <c r="D103" s="2"/>
      <c r="E103" s="2"/>
      <c r="F103" s="2"/>
      <c r="G103" s="2"/>
      <c r="H103" s="2"/>
      <c r="I103" s="15"/>
      <c r="J103" s="91"/>
      <c r="K103" s="92"/>
      <c r="L103" s="15"/>
      <c r="M103" s="93"/>
      <c r="N103" s="15"/>
      <c r="O103" s="15"/>
      <c r="P103" s="15"/>
      <c r="S103" s="2"/>
    </row>
    <row r="104" spans="2:19">
      <c r="B104" s="2" t="s">
        <v>427</v>
      </c>
      <c r="C104" s="2"/>
      <c r="D104" s="2"/>
      <c r="E104" s="2"/>
      <c r="F104" s="2"/>
      <c r="G104" s="2"/>
      <c r="H104" s="2"/>
      <c r="I104" s="15"/>
      <c r="J104" s="91"/>
      <c r="K104" s="92"/>
      <c r="L104" s="15"/>
      <c r="M104" s="93"/>
      <c r="N104" s="15"/>
      <c r="O104" s="15"/>
      <c r="P104" s="15"/>
      <c r="S104" s="2"/>
    </row>
    <row r="105" spans="2:19">
      <c r="C105" s="2"/>
      <c r="D105" s="2"/>
      <c r="E105" s="2"/>
      <c r="F105" s="2"/>
      <c r="G105" s="2"/>
      <c r="H105" s="2"/>
      <c r="I105" s="15"/>
      <c r="J105" s="91"/>
      <c r="K105" s="93"/>
      <c r="L105" s="15"/>
      <c r="M105" s="93"/>
      <c r="N105" s="466"/>
      <c r="O105" s="15"/>
      <c r="P105" s="15"/>
      <c r="S105" s="2"/>
    </row>
    <row r="106" spans="2:19">
      <c r="I106" s="15"/>
      <c r="J106" s="15"/>
      <c r="K106" s="15"/>
      <c r="L106" s="15"/>
      <c r="M106" s="15"/>
      <c r="N106" s="466"/>
      <c r="O106" s="15"/>
      <c r="P106" s="15"/>
    </row>
    <row r="107" spans="2:19" ht="18.75">
      <c r="B107" s="77" t="s">
        <v>350</v>
      </c>
      <c r="I107" s="15"/>
      <c r="J107" s="15"/>
      <c r="K107" s="15"/>
      <c r="L107" s="15"/>
      <c r="M107" s="15"/>
      <c r="N107" s="466"/>
      <c r="O107" s="15"/>
      <c r="P107" s="15"/>
    </row>
    <row r="108" spans="2:19" ht="15.75" thickBot="1">
      <c r="C108" s="15"/>
      <c r="D108" s="15"/>
      <c r="E108" s="15"/>
      <c r="F108" s="15"/>
      <c r="G108" s="2"/>
      <c r="H108" s="2"/>
      <c r="I108" s="2"/>
      <c r="J108" s="15"/>
      <c r="K108" s="2"/>
      <c r="L108" s="15"/>
      <c r="M108" s="15"/>
      <c r="N108" s="15"/>
      <c r="O108" s="15"/>
      <c r="P108" s="15"/>
      <c r="Q108" s="2"/>
      <c r="S108" s="15"/>
    </row>
    <row r="109" spans="2:19" ht="90.75" customHeight="1">
      <c r="B109" s="174" t="s">
        <v>351</v>
      </c>
      <c r="C109" s="175" t="s">
        <v>352</v>
      </c>
      <c r="D109" s="467" t="s">
        <v>353</v>
      </c>
      <c r="E109" s="467" t="s">
        <v>354</v>
      </c>
      <c r="F109" s="468" t="s">
        <v>355</v>
      </c>
      <c r="G109" s="468" t="s">
        <v>356</v>
      </c>
      <c r="H109" s="467" t="s">
        <v>357</v>
      </c>
      <c r="I109" s="467" t="s">
        <v>377</v>
      </c>
      <c r="J109" s="467" t="s">
        <v>358</v>
      </c>
      <c r="K109" s="176" t="s">
        <v>359</v>
      </c>
      <c r="L109" s="2"/>
      <c r="M109" s="15"/>
      <c r="N109" s="15"/>
      <c r="O109" s="15"/>
      <c r="P109" s="2"/>
      <c r="R109" s="15"/>
    </row>
    <row r="110" spans="2:19">
      <c r="B110" s="725" t="s">
        <v>268</v>
      </c>
      <c r="C110" s="469" t="s">
        <v>268</v>
      </c>
      <c r="D110" s="470"/>
      <c r="E110" s="211" t="str">
        <f>IF(ISBLANK(D110),"",D110*30)</f>
        <v/>
      </c>
      <c r="F110" s="471"/>
      <c r="G110" s="197" t="str">
        <f>IF(AND(E110&gt;0,F110&gt;0),(F110*E110),"")</f>
        <v/>
      </c>
      <c r="H110" s="471"/>
      <c r="I110" s="219" t="str">
        <f>IF(AND(G110&gt;0,H110&gt;0),H110/G110,"")</f>
        <v/>
      </c>
      <c r="J110" s="472"/>
      <c r="K110" s="228" t="str">
        <f>IF(AND(I110&gt;0,J110&gt;0),I110-J110,"")</f>
        <v/>
      </c>
      <c r="L110" s="2"/>
      <c r="M110" s="15"/>
      <c r="N110" s="15"/>
      <c r="O110" s="15"/>
      <c r="P110" s="2"/>
      <c r="R110" s="15"/>
    </row>
    <row r="111" spans="2:19">
      <c r="B111" s="726"/>
      <c r="C111" s="469" t="s">
        <v>268</v>
      </c>
      <c r="D111" s="470"/>
      <c r="E111" s="211" t="str">
        <f>IF(ISBLANK(D111),"",D111*30)</f>
        <v/>
      </c>
      <c r="F111" s="471"/>
      <c r="G111" s="197" t="str">
        <f>IF(AND(E111&gt;0,F111&gt;0),(F111*E111),"")</f>
        <v/>
      </c>
      <c r="H111" s="471"/>
      <c r="I111" s="219" t="str">
        <f>IF(AND(G111&gt;0,H111&gt;0),H111/G111,"")</f>
        <v/>
      </c>
      <c r="J111" s="472"/>
      <c r="K111" s="228" t="str">
        <f>IF(AND(I111&gt;0,J111&gt;0),I111-J111,"")</f>
        <v/>
      </c>
      <c r="L111" s="2"/>
      <c r="M111" s="15"/>
      <c r="N111" s="15"/>
      <c r="O111" s="15"/>
      <c r="P111" s="2"/>
    </row>
    <row r="112" spans="2:19">
      <c r="B112" s="726"/>
      <c r="C112" s="469" t="s">
        <v>268</v>
      </c>
      <c r="D112" s="470"/>
      <c r="E112" s="211" t="str">
        <f>IF(ISBLANK(D112),"",D112*30)</f>
        <v/>
      </c>
      <c r="F112" s="471"/>
      <c r="G112" s="197" t="str">
        <f>IF(AND(E112&gt;0,F112&gt;0),(F112*E112),"")</f>
        <v/>
      </c>
      <c r="H112" s="471"/>
      <c r="I112" s="219" t="str">
        <f>IF(AND(G112&gt;0,H112&gt;0),H112/G112,"")</f>
        <v/>
      </c>
      <c r="J112" s="472"/>
      <c r="K112" s="228" t="str">
        <f>IF(AND(I112&gt;0,J112&gt;0),I112-J112,"")</f>
        <v/>
      </c>
      <c r="L112" s="2"/>
      <c r="M112" s="15"/>
      <c r="N112" s="15"/>
      <c r="O112" s="15"/>
      <c r="P112" s="2"/>
      <c r="R112" s="15"/>
    </row>
    <row r="113" spans="2:20" ht="15.75" thickBot="1">
      <c r="B113" s="727"/>
      <c r="C113" s="473" t="s">
        <v>268</v>
      </c>
      <c r="D113" s="474"/>
      <c r="E113" s="224" t="str">
        <f>IF(ISBLANK(D113),"",D113*30)</f>
        <v/>
      </c>
      <c r="F113" s="475"/>
      <c r="G113" s="225" t="str">
        <f>IF(AND(E113&gt;0,F113&gt;0),(F113*E113),"")</f>
        <v/>
      </c>
      <c r="H113" s="475"/>
      <c r="I113" s="226" t="str">
        <f>IF(AND(G113&gt;0,H113&gt;0),H113/G113,"")</f>
        <v/>
      </c>
      <c r="J113" s="476"/>
      <c r="K113" s="229" t="str">
        <f>IF(AND(I113&gt;0,J113&gt;0),I113-J113,"")</f>
        <v/>
      </c>
      <c r="L113" s="2"/>
      <c r="M113" s="15"/>
      <c r="N113" s="15"/>
      <c r="O113" s="15"/>
      <c r="P113" s="2"/>
      <c r="R113" s="15"/>
    </row>
    <row r="114" spans="2:20">
      <c r="G114" s="2"/>
      <c r="H114" s="2"/>
      <c r="I114" s="2"/>
      <c r="L114" s="2"/>
      <c r="M114" s="2"/>
      <c r="N114" s="15"/>
      <c r="O114" s="15"/>
      <c r="P114" s="15"/>
      <c r="Q114" s="2"/>
      <c r="S114" s="15"/>
    </row>
    <row r="115" spans="2:20" ht="15.75" thickBot="1">
      <c r="I115" s="2"/>
      <c r="J115" s="76"/>
      <c r="K115" s="76"/>
    </row>
    <row r="116" spans="2:20" ht="19.5" thickBot="1">
      <c r="B116" s="136" t="s">
        <v>360</v>
      </c>
      <c r="C116" s="94"/>
      <c r="D116" s="94"/>
      <c r="E116" s="95"/>
      <c r="F116" s="95"/>
      <c r="G116" s="95"/>
      <c r="H116" s="142"/>
      <c r="I116" s="137"/>
      <c r="J116" s="186"/>
      <c r="K116" s="187" t="s">
        <v>415</v>
      </c>
      <c r="L116" s="95"/>
      <c r="M116" s="188"/>
      <c r="N116" s="188"/>
      <c r="O116" s="188"/>
      <c r="P116" s="477"/>
      <c r="Q116" s="238"/>
    </row>
    <row r="117" spans="2:20" ht="15.75" thickBot="1">
      <c r="N117" s="3"/>
      <c r="O117" s="3"/>
      <c r="P117" s="238"/>
      <c r="Q117" s="238"/>
    </row>
    <row r="118" spans="2:20" ht="42.75" customHeight="1">
      <c r="B118" s="658" t="s">
        <v>363</v>
      </c>
      <c r="C118" s="659"/>
      <c r="D118" s="660"/>
      <c r="E118" s="177" t="s">
        <v>465</v>
      </c>
      <c r="F118" s="234" t="s">
        <v>468</v>
      </c>
      <c r="G118" s="139"/>
      <c r="H118" s="478" t="s">
        <v>60</v>
      </c>
      <c r="I118" s="478" t="s">
        <v>61</v>
      </c>
      <c r="J118" s="478" t="s">
        <v>277</v>
      </c>
      <c r="K118" s="478" t="s">
        <v>63</v>
      </c>
      <c r="L118" s="478" t="s">
        <v>70</v>
      </c>
      <c r="M118" s="478" t="s">
        <v>71</v>
      </c>
      <c r="N118" s="478" t="s">
        <v>72</v>
      </c>
      <c r="O118" s="478" t="s">
        <v>73</v>
      </c>
      <c r="P118" s="478" t="s">
        <v>74</v>
      </c>
      <c r="Q118" s="478" t="s">
        <v>75</v>
      </c>
      <c r="R118" s="478" t="s">
        <v>76</v>
      </c>
      <c r="S118" s="479" t="s">
        <v>230</v>
      </c>
      <c r="T118" s="5"/>
    </row>
    <row r="119" spans="2:20" ht="16.5" customHeight="1">
      <c r="B119" s="671" t="str">
        <f>VLOOKUP(T119,Table1[],4,0)</f>
        <v>TB I-3(M): Rata mortalităţii  - Numărul estimat de decese cauzate de TB (toate formele) pe an, la 100,000 persoane</v>
      </c>
      <c r="C119" s="671"/>
      <c r="D119" s="671"/>
      <c r="E119" s="709" t="str">
        <f>VLOOKUP(T119,Table1[],2,0)</f>
        <v>Indicator de impact</v>
      </c>
      <c r="F119" s="711" t="str">
        <f>VLOOKUP(T119,Table1[],3,0)</f>
        <v>TB</v>
      </c>
      <c r="G119" s="230" t="s">
        <v>361</v>
      </c>
      <c r="H119" s="512">
        <v>8.6999999999999993</v>
      </c>
      <c r="I119" s="513"/>
      <c r="J119" s="514"/>
      <c r="K119" s="512"/>
      <c r="L119" s="515"/>
      <c r="M119" s="512"/>
      <c r="N119" s="512"/>
      <c r="O119" s="512"/>
      <c r="P119" s="512"/>
      <c r="Q119" s="512"/>
      <c r="R119" s="512"/>
      <c r="S119" s="516"/>
      <c r="T119" s="480">
        <v>1</v>
      </c>
    </row>
    <row r="120" spans="2:20" ht="16.5" customHeight="1">
      <c r="B120" s="671"/>
      <c r="C120" s="671"/>
      <c r="D120" s="671"/>
      <c r="E120" s="710"/>
      <c r="F120" s="712"/>
      <c r="G120" s="230" t="s">
        <v>362</v>
      </c>
      <c r="H120" s="517">
        <v>7.94</v>
      </c>
      <c r="I120" s="518"/>
      <c r="J120" s="518"/>
      <c r="K120" s="518"/>
      <c r="L120" s="518"/>
      <c r="M120" s="518"/>
      <c r="N120" s="518"/>
      <c r="O120" s="518"/>
      <c r="P120" s="518"/>
      <c r="Q120" s="518"/>
      <c r="R120" s="518"/>
      <c r="S120" s="519"/>
      <c r="T120" s="480"/>
    </row>
    <row r="121" spans="2:20" ht="16.5" customHeight="1">
      <c r="B121" s="705" t="str">
        <f>VLOOKUP(T121,Table1[],4,0)</f>
        <v xml:space="preserve">TB I-4(M): Prevalența TB MDR printre cazurile noi de tuberculoză </v>
      </c>
      <c r="C121" s="705"/>
      <c r="D121" s="705"/>
      <c r="E121" s="715" t="str">
        <f>VLOOKUP(T121,Table1[],2,0)</f>
        <v>Indicator de impact</v>
      </c>
      <c r="F121" s="713" t="str">
        <f>VLOOKUP(T121,Table1[],3,0)</f>
        <v>TB</v>
      </c>
      <c r="G121" s="264" t="s">
        <v>361</v>
      </c>
      <c r="H121" s="520">
        <v>0.20499999999999999</v>
      </c>
      <c r="I121" s="521"/>
      <c r="J121" s="522"/>
      <c r="K121" s="523"/>
      <c r="L121" s="523"/>
      <c r="M121" s="523"/>
      <c r="N121" s="523"/>
      <c r="O121" s="523"/>
      <c r="P121" s="523"/>
      <c r="Q121" s="523"/>
      <c r="R121" s="523"/>
      <c r="S121" s="524"/>
      <c r="T121" s="480">
        <v>2</v>
      </c>
    </row>
    <row r="122" spans="2:20" ht="16.5" customHeight="1">
      <c r="B122" s="705"/>
      <c r="C122" s="705"/>
      <c r="D122" s="705"/>
      <c r="E122" s="716"/>
      <c r="F122" s="714"/>
      <c r="G122" s="264" t="s">
        <v>362</v>
      </c>
      <c r="H122" s="525">
        <v>0.26600000000000001</v>
      </c>
      <c r="I122" s="526"/>
      <c r="J122" s="526"/>
      <c r="K122" s="526"/>
      <c r="L122" s="526"/>
      <c r="M122" s="526"/>
      <c r="N122" s="526"/>
      <c r="O122" s="526"/>
      <c r="P122" s="526"/>
      <c r="Q122" s="526"/>
      <c r="R122" s="526"/>
      <c r="S122" s="527"/>
      <c r="T122" s="480"/>
    </row>
    <row r="123" spans="2:20" ht="16.5" customHeight="1">
      <c r="B123" s="671" t="str">
        <f>VLOOKUP(T123,Table1[],4,0)</f>
        <v>HIV I-4: Mortalitatea asociată cu SIDA la 100,000 populaţie</v>
      </c>
      <c r="C123" s="671"/>
      <c r="D123" s="671"/>
      <c r="E123" s="721" t="str">
        <f>VLOOKUP(T123,Table1[],2,0)</f>
        <v>Indicator de impact</v>
      </c>
      <c r="F123" s="711" t="str">
        <f>VLOOKUP(T123,Table1[],3,0)</f>
        <v>HIV</v>
      </c>
      <c r="G123" s="230" t="s">
        <v>361</v>
      </c>
      <c r="H123" s="528">
        <v>3.0599999999999999E-2</v>
      </c>
      <c r="I123" s="529"/>
      <c r="J123" s="530"/>
      <c r="K123" s="531"/>
      <c r="L123" s="531"/>
      <c r="M123" s="532"/>
      <c r="N123" s="532"/>
      <c r="O123" s="532"/>
      <c r="P123" s="532"/>
      <c r="Q123" s="532"/>
      <c r="R123" s="532"/>
      <c r="S123" s="533"/>
      <c r="T123" s="480">
        <v>3</v>
      </c>
    </row>
    <row r="124" spans="2:20" ht="16.5" customHeight="1">
      <c r="B124" s="671"/>
      <c r="C124" s="671"/>
      <c r="D124" s="671"/>
      <c r="E124" s="722"/>
      <c r="F124" s="712"/>
      <c r="G124" s="230" t="s">
        <v>362</v>
      </c>
      <c r="H124" s="534">
        <v>3.5999999999999997E-2</v>
      </c>
      <c r="I124" s="534"/>
      <c r="J124" s="534"/>
      <c r="K124" s="535"/>
      <c r="L124" s="535"/>
      <c r="M124" s="535"/>
      <c r="N124" s="535"/>
      <c r="O124" s="535"/>
      <c r="P124" s="535"/>
      <c r="Q124" s="535"/>
      <c r="R124" s="535"/>
      <c r="S124" s="536"/>
      <c r="T124" s="480"/>
    </row>
    <row r="125" spans="2:20" ht="16.5" customHeight="1">
      <c r="B125" s="705" t="str">
        <f>VLOOKUP(T125,Table1[],4,0)</f>
        <v xml:space="preserve">HIV I-9a (M): Procentul BSB care trăiesc cu HIV </v>
      </c>
      <c r="C125" s="705"/>
      <c r="D125" s="705"/>
      <c r="E125" s="715" t="str">
        <f>VLOOKUP(T125,Table1[],2,0)</f>
        <v>Indicator de impact</v>
      </c>
      <c r="F125" s="713" t="str">
        <f>VLOOKUP(T125,Table1[],3,0)</f>
        <v>HIV</v>
      </c>
      <c r="G125" s="264" t="s">
        <v>361</v>
      </c>
      <c r="H125" s="523" t="s">
        <v>515</v>
      </c>
      <c r="I125" s="521"/>
      <c r="J125" s="522"/>
      <c r="K125" s="537"/>
      <c r="L125" s="537"/>
      <c r="M125" s="538"/>
      <c r="N125" s="538"/>
      <c r="O125" s="538"/>
      <c r="P125" s="538"/>
      <c r="Q125" s="538"/>
      <c r="R125" s="538"/>
      <c r="S125" s="524"/>
      <c r="T125" s="480">
        <v>4</v>
      </c>
    </row>
    <row r="126" spans="2:20" ht="16.5" customHeight="1">
      <c r="B126" s="705"/>
      <c r="C126" s="705"/>
      <c r="D126" s="705"/>
      <c r="E126" s="716"/>
      <c r="F126" s="714"/>
      <c r="G126" s="264" t="s">
        <v>362</v>
      </c>
      <c r="H126" s="523" t="s">
        <v>515</v>
      </c>
      <c r="I126" s="523"/>
      <c r="J126" s="522"/>
      <c r="K126" s="537"/>
      <c r="L126" s="537"/>
      <c r="M126" s="538"/>
      <c r="N126" s="538"/>
      <c r="O126" s="538"/>
      <c r="P126" s="538"/>
      <c r="Q126" s="538"/>
      <c r="R126" s="538"/>
      <c r="S126" s="524"/>
      <c r="T126" s="480"/>
    </row>
    <row r="127" spans="2:20" ht="16.5" customHeight="1">
      <c r="B127" s="688" t="str">
        <f>VLOOKUP(T127,Table1[],4,0)</f>
        <v>HIV I-10 (M): Procentul LSC care trăiesc cu HIV</v>
      </c>
      <c r="C127" s="688"/>
      <c r="D127" s="688"/>
      <c r="E127" s="635" t="str">
        <f>VLOOKUP(T127,Table1[],2,0)</f>
        <v>Indicator de impact</v>
      </c>
      <c r="F127" s="637" t="str">
        <f>VLOOKUP(T127,Table1[],3,0)</f>
        <v>HIV</v>
      </c>
      <c r="G127" s="223" t="s">
        <v>361</v>
      </c>
      <c r="H127" s="539" t="s">
        <v>515</v>
      </c>
      <c r="I127" s="539"/>
      <c r="J127" s="539"/>
      <c r="K127" s="540"/>
      <c r="L127" s="540"/>
      <c r="M127" s="540"/>
      <c r="N127" s="540"/>
      <c r="O127" s="540"/>
      <c r="P127" s="540"/>
      <c r="Q127" s="540"/>
      <c r="R127" s="540"/>
      <c r="S127" s="541"/>
      <c r="T127" s="480">
        <v>5</v>
      </c>
    </row>
    <row r="128" spans="2:20" ht="16.5" customHeight="1">
      <c r="B128" s="688"/>
      <c r="C128" s="688"/>
      <c r="D128" s="688"/>
      <c r="E128" s="636"/>
      <c r="F128" s="638"/>
      <c r="G128" s="223" t="s">
        <v>362</v>
      </c>
      <c r="H128" s="539" t="s">
        <v>515</v>
      </c>
      <c r="I128" s="539"/>
      <c r="J128" s="539"/>
      <c r="K128" s="540"/>
      <c r="L128" s="540"/>
      <c r="M128" s="540"/>
      <c r="N128" s="540"/>
      <c r="O128" s="540"/>
      <c r="P128" s="540"/>
      <c r="Q128" s="540"/>
      <c r="R128" s="540"/>
      <c r="S128" s="541"/>
      <c r="T128" s="480"/>
    </row>
    <row r="129" spans="2:20" ht="16.5" customHeight="1">
      <c r="B129" s="629" t="str">
        <f>VLOOKUP(T129,Table1[],4,0)</f>
        <v>HIV I-11 (M): Procentul consumatorilor de droguri injectabile care trăiesc cu HIV</v>
      </c>
      <c r="C129" s="629"/>
      <c r="D129" s="629"/>
      <c r="E129" s="689" t="str">
        <f>VLOOKUP(T129,Table1[],2,0)</f>
        <v>Indicator de impact</v>
      </c>
      <c r="F129" s="717" t="str">
        <f>VLOOKUP(T129,Table1[],3,0)</f>
        <v>HIV</v>
      </c>
      <c r="G129" s="222" t="s">
        <v>361</v>
      </c>
      <c r="H129" s="542" t="s">
        <v>515</v>
      </c>
      <c r="I129" s="542"/>
      <c r="J129" s="543"/>
      <c r="K129" s="544"/>
      <c r="L129" s="537"/>
      <c r="M129" s="538"/>
      <c r="N129" s="538"/>
      <c r="O129" s="538"/>
      <c r="P129" s="538"/>
      <c r="Q129" s="538"/>
      <c r="R129" s="538"/>
      <c r="S129" s="524"/>
      <c r="T129" s="480">
        <v>6</v>
      </c>
    </row>
    <row r="130" spans="2:20" ht="16.5" customHeight="1">
      <c r="B130" s="629"/>
      <c r="C130" s="629"/>
      <c r="D130" s="629"/>
      <c r="E130" s="690"/>
      <c r="F130" s="718"/>
      <c r="G130" s="222" t="s">
        <v>362</v>
      </c>
      <c r="H130" s="542" t="s">
        <v>515</v>
      </c>
      <c r="I130" s="542"/>
      <c r="J130" s="543"/>
      <c r="K130" s="544"/>
      <c r="L130" s="537"/>
      <c r="M130" s="538"/>
      <c r="N130" s="538"/>
      <c r="O130" s="538"/>
      <c r="P130" s="538"/>
      <c r="Q130" s="538"/>
      <c r="R130" s="538"/>
      <c r="S130" s="524"/>
      <c r="T130" s="480"/>
    </row>
    <row r="131" spans="2:20" ht="16.5" customHeight="1">
      <c r="B131" s="634" t="str">
        <f>VLOOKUP(T131,Table1[],4,0)</f>
        <v xml:space="preserve">TB O-4(M): Rata succesului tratamentului pacienților cu RR TB și/sau MDR-TB </v>
      </c>
      <c r="C131" s="634"/>
      <c r="D131" s="634"/>
      <c r="E131" s="701" t="str">
        <f>VLOOKUP(T131,Table1[],2,0)</f>
        <v>Indicator de rezultat</v>
      </c>
      <c r="F131" s="700" t="str">
        <f>VLOOKUP(T131,Table1[],3,0)</f>
        <v>TB</v>
      </c>
      <c r="G131" s="223" t="s">
        <v>361</v>
      </c>
      <c r="H131" s="545">
        <v>0.65049999999999997</v>
      </c>
      <c r="I131" s="546"/>
      <c r="J131" s="546"/>
      <c r="K131" s="547"/>
      <c r="L131" s="547"/>
      <c r="M131" s="548"/>
      <c r="N131" s="548"/>
      <c r="O131" s="548"/>
      <c r="P131" s="548"/>
      <c r="Q131" s="548"/>
      <c r="R131" s="548"/>
      <c r="S131" s="541"/>
      <c r="T131" s="480">
        <v>7</v>
      </c>
    </row>
    <row r="132" spans="2:20" ht="16.5" customHeight="1">
      <c r="B132" s="634"/>
      <c r="C132" s="634"/>
      <c r="D132" s="634"/>
      <c r="E132" s="636"/>
      <c r="F132" s="638"/>
      <c r="G132" s="223" t="s">
        <v>362</v>
      </c>
      <c r="H132" s="549">
        <v>0.52629999999999999</v>
      </c>
      <c r="I132" s="550"/>
      <c r="J132" s="550"/>
      <c r="K132" s="551"/>
      <c r="L132" s="551"/>
      <c r="M132" s="551"/>
      <c r="N132" s="551"/>
      <c r="O132" s="551"/>
      <c r="P132" s="551"/>
      <c r="Q132" s="551"/>
      <c r="R132" s="551"/>
      <c r="S132" s="552"/>
      <c r="T132" s="480"/>
    </row>
    <row r="133" spans="2:20" ht="16.5" customHeight="1">
      <c r="B133" s="629" t="str">
        <f>VLOOKUP(T133,Table1[],4,0)</f>
        <v>TB O-1a: Rata de notificare a cazurilor de tuberculoză (toate formele) per 100,000 populație</v>
      </c>
      <c r="C133" s="629"/>
      <c r="D133" s="629"/>
      <c r="E133" s="630" t="str">
        <f>VLOOKUP(T133,Table1[],2,0)</f>
        <v>Indicator de rezultat</v>
      </c>
      <c r="F133" s="632" t="str">
        <f>VLOOKUP(T133,Table1[],3,0)</f>
        <v>TB</v>
      </c>
      <c r="G133" s="231" t="s">
        <v>361</v>
      </c>
      <c r="H133" s="538">
        <v>103.5</v>
      </c>
      <c r="I133" s="553"/>
      <c r="J133" s="554"/>
      <c r="K133" s="555"/>
      <c r="L133" s="555"/>
      <c r="M133" s="555"/>
      <c r="N133" s="555"/>
      <c r="O133" s="555"/>
      <c r="P133" s="555"/>
      <c r="Q133" s="555"/>
      <c r="R133" s="555"/>
      <c r="S133" s="556"/>
      <c r="T133" s="480">
        <v>8</v>
      </c>
    </row>
    <row r="134" spans="2:20" ht="16.5" customHeight="1">
      <c r="B134" s="629"/>
      <c r="C134" s="629"/>
      <c r="D134" s="629"/>
      <c r="E134" s="631"/>
      <c r="F134" s="633"/>
      <c r="G134" s="231" t="s">
        <v>362</v>
      </c>
      <c r="H134" s="557">
        <v>83.17</v>
      </c>
      <c r="I134" s="558"/>
      <c r="J134" s="558"/>
      <c r="K134" s="558"/>
      <c r="L134" s="558"/>
      <c r="M134" s="558"/>
      <c r="N134" s="558"/>
      <c r="O134" s="558"/>
      <c r="P134" s="558"/>
      <c r="Q134" s="558"/>
      <c r="R134" s="558"/>
      <c r="S134" s="559"/>
      <c r="T134" s="480"/>
    </row>
    <row r="135" spans="2:20" ht="16.5" customHeight="1">
      <c r="B135" s="634" t="str">
        <f>VLOOKUP(T135,Table1[],4,0)</f>
        <v>TB O-5(M): Rata de acoperire cu tratament antituberculos</v>
      </c>
      <c r="C135" s="634"/>
      <c r="D135" s="634"/>
      <c r="E135" s="635" t="str">
        <f>VLOOKUP(T135,Table1[],2,0)</f>
        <v>Indicator de rezultat</v>
      </c>
      <c r="F135" s="637" t="str">
        <f>VLOOKUP(T135,Table1[],3,0)</f>
        <v>TB</v>
      </c>
      <c r="G135" s="223" t="s">
        <v>361</v>
      </c>
      <c r="H135" s="539" t="s">
        <v>515</v>
      </c>
      <c r="I135" s="560"/>
      <c r="J135" s="561"/>
      <c r="K135" s="560"/>
      <c r="L135" s="560"/>
      <c r="M135" s="560"/>
      <c r="N135" s="560"/>
      <c r="O135" s="560"/>
      <c r="P135" s="560"/>
      <c r="Q135" s="560"/>
      <c r="R135" s="560"/>
      <c r="S135" s="562"/>
      <c r="T135" s="480">
        <v>9</v>
      </c>
    </row>
    <row r="136" spans="2:20" ht="16.5" customHeight="1">
      <c r="B136" s="634"/>
      <c r="C136" s="634"/>
      <c r="D136" s="634"/>
      <c r="E136" s="636"/>
      <c r="F136" s="638"/>
      <c r="G136" s="223" t="s">
        <v>362</v>
      </c>
      <c r="H136" s="539" t="s">
        <v>515</v>
      </c>
      <c r="I136" s="560"/>
      <c r="J136" s="561"/>
      <c r="K136" s="560"/>
      <c r="L136" s="560"/>
      <c r="M136" s="560"/>
      <c r="N136" s="560"/>
      <c r="O136" s="560"/>
      <c r="P136" s="560"/>
      <c r="Q136" s="560"/>
      <c r="R136" s="560"/>
      <c r="S136" s="562"/>
      <c r="T136" s="480"/>
    </row>
    <row r="137" spans="2:20" ht="16.5" customHeight="1">
      <c r="B137" s="629" t="str">
        <f>VLOOKUP(T137,Table1[],4,0)</f>
        <v xml:space="preserve">HIV O-1 (M): Procentul adulţilor şi copiilor HIV infectaţi care se află în tratament 12 luni după iniţierea tratamentului antiretroviral </v>
      </c>
      <c r="C137" s="629"/>
      <c r="D137" s="629"/>
      <c r="E137" s="630" t="str">
        <f>VLOOKUP(T137,Table1[],2,0)</f>
        <v>Indicator de rezultat</v>
      </c>
      <c r="F137" s="632" t="str">
        <f>VLOOKUP(T137,Table1[],3,0)</f>
        <v>HIV</v>
      </c>
      <c r="G137" s="231" t="s">
        <v>361</v>
      </c>
      <c r="H137" s="563">
        <v>0.85</v>
      </c>
      <c r="I137" s="553"/>
      <c r="J137" s="554"/>
      <c r="K137" s="555"/>
      <c r="L137" s="555"/>
      <c r="M137" s="555"/>
      <c r="N137" s="555"/>
      <c r="O137" s="555"/>
      <c r="P137" s="555"/>
      <c r="Q137" s="555"/>
      <c r="R137" s="555"/>
      <c r="S137" s="556"/>
      <c r="T137" s="480">
        <v>10</v>
      </c>
    </row>
    <row r="138" spans="2:20" ht="16.5" customHeight="1">
      <c r="B138" s="629"/>
      <c r="C138" s="629"/>
      <c r="D138" s="629"/>
      <c r="E138" s="631"/>
      <c r="F138" s="633"/>
      <c r="G138" s="231" t="s">
        <v>362</v>
      </c>
      <c r="H138" s="564">
        <v>0.83299999999999996</v>
      </c>
      <c r="I138" s="558"/>
      <c r="J138" s="558"/>
      <c r="K138" s="558"/>
      <c r="L138" s="558"/>
      <c r="M138" s="558"/>
      <c r="N138" s="558"/>
      <c r="O138" s="558"/>
      <c r="P138" s="558"/>
      <c r="Q138" s="558"/>
      <c r="R138" s="558"/>
      <c r="S138" s="559"/>
      <c r="T138" s="480"/>
    </row>
    <row r="139" spans="2:20" ht="16.5" customHeight="1">
      <c r="B139" s="634" t="str">
        <f>VLOOKUP(T139,Table1[],4,0)</f>
        <v>HIV O-4a (M): Procentul BSB care raportează utilizarea prezervativului în timpul ultimului act de sex anal cu partenerul de gen masculin</v>
      </c>
      <c r="C139" s="634"/>
      <c r="D139" s="634"/>
      <c r="E139" s="635" t="str">
        <f>VLOOKUP(T139,Table1[],2,0)</f>
        <v>Indicator de rezultat</v>
      </c>
      <c r="F139" s="637" t="str">
        <f>VLOOKUP(T139,Table1[],3,0)</f>
        <v>HIV</v>
      </c>
      <c r="G139" s="223" t="s">
        <v>361</v>
      </c>
      <c r="H139" s="539" t="s">
        <v>515</v>
      </c>
      <c r="I139" s="560"/>
      <c r="J139" s="561"/>
      <c r="K139" s="560"/>
      <c r="L139" s="560"/>
      <c r="M139" s="560"/>
      <c r="N139" s="560"/>
      <c r="O139" s="560"/>
      <c r="P139" s="560"/>
      <c r="Q139" s="560"/>
      <c r="R139" s="560"/>
      <c r="S139" s="562"/>
      <c r="T139" s="480">
        <v>11</v>
      </c>
    </row>
    <row r="140" spans="2:20" ht="16.5" customHeight="1">
      <c r="B140" s="634"/>
      <c r="C140" s="634"/>
      <c r="D140" s="634"/>
      <c r="E140" s="636"/>
      <c r="F140" s="638"/>
      <c r="G140" s="223" t="s">
        <v>362</v>
      </c>
      <c r="H140" s="539" t="s">
        <v>515</v>
      </c>
      <c r="I140" s="560"/>
      <c r="J140" s="561"/>
      <c r="K140" s="560"/>
      <c r="L140" s="560"/>
      <c r="M140" s="560"/>
      <c r="N140" s="560"/>
      <c r="O140" s="560"/>
      <c r="P140" s="560"/>
      <c r="Q140" s="560"/>
      <c r="R140" s="560"/>
      <c r="S140" s="562"/>
      <c r="T140" s="480"/>
    </row>
    <row r="141" spans="2:20" ht="16.5" customHeight="1">
      <c r="B141" s="629" t="str">
        <f>VLOOKUP(T141,Table1[],4,0)</f>
        <v>HIV O-5 (M): Procentul LSC care raportează utilizarea prezervativului cu ultimul lor client</v>
      </c>
      <c r="C141" s="629"/>
      <c r="D141" s="629"/>
      <c r="E141" s="630" t="str">
        <f>VLOOKUP(T141,Table1[],2,0)</f>
        <v>Indicator de rezultat</v>
      </c>
      <c r="F141" s="632" t="str">
        <f>VLOOKUP(T141,Table1[],3,0)</f>
        <v>HIV</v>
      </c>
      <c r="G141" s="231" t="s">
        <v>361</v>
      </c>
      <c r="H141" s="538" t="s">
        <v>515</v>
      </c>
      <c r="I141" s="553"/>
      <c r="J141" s="554"/>
      <c r="K141" s="555"/>
      <c r="L141" s="555"/>
      <c r="M141" s="555"/>
      <c r="N141" s="555"/>
      <c r="O141" s="555"/>
      <c r="P141" s="555"/>
      <c r="Q141" s="555"/>
      <c r="R141" s="555"/>
      <c r="S141" s="556"/>
      <c r="T141" s="480">
        <v>12</v>
      </c>
    </row>
    <row r="142" spans="2:20" ht="16.5" customHeight="1">
      <c r="B142" s="629"/>
      <c r="C142" s="629"/>
      <c r="D142" s="629"/>
      <c r="E142" s="631"/>
      <c r="F142" s="633"/>
      <c r="G142" s="231" t="s">
        <v>362</v>
      </c>
      <c r="H142" s="538" t="s">
        <v>515</v>
      </c>
      <c r="I142" s="555"/>
      <c r="J142" s="554"/>
      <c r="K142" s="555"/>
      <c r="L142" s="555"/>
      <c r="M142" s="555"/>
      <c r="N142" s="555"/>
      <c r="O142" s="555"/>
      <c r="P142" s="555"/>
      <c r="Q142" s="555"/>
      <c r="R142" s="555"/>
      <c r="S142" s="556"/>
      <c r="T142" s="480"/>
    </row>
    <row r="143" spans="2:20" ht="16.5" customHeight="1">
      <c r="B143" s="634" t="str">
        <f>VLOOKUP(T143,Table1[],4,0)</f>
        <v>HIV O-6 (M): Procentul consumatorilor de droguri injectabile care raportează utilizarea setului pentru injectare steril la ultima injectare</v>
      </c>
      <c r="C143" s="634"/>
      <c r="D143" s="634"/>
      <c r="E143" s="635" t="str">
        <f>VLOOKUP(T143,Table1[],2,0)</f>
        <v>Indicator de rezultat</v>
      </c>
      <c r="F143" s="637" t="str">
        <f>VLOOKUP(T143,Table1[],3,0)</f>
        <v>HIV</v>
      </c>
      <c r="G143" s="223" t="s">
        <v>361</v>
      </c>
      <c r="H143" s="539" t="s">
        <v>515</v>
      </c>
      <c r="I143" s="560"/>
      <c r="J143" s="561"/>
      <c r="K143" s="560"/>
      <c r="L143" s="560"/>
      <c r="M143" s="560"/>
      <c r="N143" s="560"/>
      <c r="O143" s="560"/>
      <c r="P143" s="560"/>
      <c r="Q143" s="560"/>
      <c r="R143" s="560"/>
      <c r="S143" s="562"/>
      <c r="T143" s="480">
        <v>13</v>
      </c>
    </row>
    <row r="144" spans="2:20" ht="16.5" customHeight="1">
      <c r="B144" s="634"/>
      <c r="C144" s="634"/>
      <c r="D144" s="634"/>
      <c r="E144" s="636"/>
      <c r="F144" s="638"/>
      <c r="G144" s="223" t="s">
        <v>362</v>
      </c>
      <c r="H144" s="539" t="s">
        <v>515</v>
      </c>
      <c r="I144" s="560"/>
      <c r="J144" s="561"/>
      <c r="K144" s="560"/>
      <c r="L144" s="560"/>
      <c r="M144" s="560"/>
      <c r="N144" s="560"/>
      <c r="O144" s="560"/>
      <c r="P144" s="560"/>
      <c r="Q144" s="560"/>
      <c r="R144" s="560"/>
      <c r="S144" s="562"/>
      <c r="T144" s="480"/>
    </row>
    <row r="145" spans="2:20" ht="16.5" customHeight="1">
      <c r="B145" s="629" t="str">
        <f>VLOOKUP(T145,Table1[],4,0)</f>
        <v>MDR TB-2(M): Numărul cazurilor de TB DR (RR-TB și/sau MDR-TB), confirmate bacteriologic, notificate</v>
      </c>
      <c r="C145" s="629"/>
      <c r="D145" s="629"/>
      <c r="E145" s="630" t="str">
        <f>VLOOKUP(T145,Table1[],2,0)</f>
        <v>Indicator de proces</v>
      </c>
      <c r="F145" s="632" t="str">
        <f>VLOOKUP(T145,Table1[],3,0)</f>
        <v>TB</v>
      </c>
      <c r="G145" s="231" t="s">
        <v>361</v>
      </c>
      <c r="H145" s="565">
        <v>535</v>
      </c>
      <c r="I145" s="553"/>
      <c r="J145" s="554"/>
      <c r="K145" s="555"/>
      <c r="L145" s="555"/>
      <c r="M145" s="555"/>
      <c r="N145" s="555"/>
      <c r="O145" s="555"/>
      <c r="P145" s="555"/>
      <c r="Q145" s="555"/>
      <c r="R145" s="555"/>
      <c r="S145" s="556"/>
      <c r="T145" s="480">
        <v>14</v>
      </c>
    </row>
    <row r="146" spans="2:20" ht="16.5" customHeight="1">
      <c r="B146" s="629"/>
      <c r="C146" s="629"/>
      <c r="D146" s="629"/>
      <c r="E146" s="631"/>
      <c r="F146" s="633"/>
      <c r="G146" s="231" t="s">
        <v>362</v>
      </c>
      <c r="H146" s="566">
        <v>376</v>
      </c>
      <c r="I146" s="558"/>
      <c r="J146" s="558"/>
      <c r="K146" s="558"/>
      <c r="L146" s="558"/>
      <c r="M146" s="558"/>
      <c r="N146" s="558"/>
      <c r="O146" s="558"/>
      <c r="P146" s="558"/>
      <c r="Q146" s="558"/>
      <c r="R146" s="558"/>
      <c r="S146" s="559"/>
      <c r="T146" s="480"/>
    </row>
    <row r="147" spans="2:20" ht="16.5" customHeight="1">
      <c r="B147" s="634" t="str">
        <f>VLOOKUP(T147,Table1[],4,0)</f>
        <v xml:space="preserve">MDR TB-3(M): Numărul cazurilor cu tuberculoză drog-rezistentă (RR-TB și/sau MDR-TB), confirmate bacteriologic, care au demarat tratamentul DOTS-Plus în perioada raportată                </v>
      </c>
      <c r="C147" s="634"/>
      <c r="D147" s="634"/>
      <c r="E147" s="635" t="str">
        <f>VLOOKUP(T147,Table1[],2,0)</f>
        <v>Indicator de proces</v>
      </c>
      <c r="F147" s="637" t="str">
        <f>VLOOKUP(T147,Table1[],3,0)</f>
        <v>TB</v>
      </c>
      <c r="G147" s="223" t="s">
        <v>361</v>
      </c>
      <c r="H147" s="540">
        <v>531</v>
      </c>
      <c r="I147" s="560"/>
      <c r="J147" s="561"/>
      <c r="K147" s="560"/>
      <c r="L147" s="560"/>
      <c r="M147" s="560"/>
      <c r="N147" s="560"/>
      <c r="O147" s="560"/>
      <c r="P147" s="560"/>
      <c r="Q147" s="560"/>
      <c r="R147" s="560"/>
      <c r="S147" s="562"/>
      <c r="T147" s="480">
        <v>15</v>
      </c>
    </row>
    <row r="148" spans="2:20" ht="16.5" customHeight="1">
      <c r="B148" s="634"/>
      <c r="C148" s="634"/>
      <c r="D148" s="634"/>
      <c r="E148" s="636"/>
      <c r="F148" s="638"/>
      <c r="G148" s="223" t="s">
        <v>362</v>
      </c>
      <c r="H148" s="567">
        <v>485</v>
      </c>
      <c r="I148" s="568"/>
      <c r="J148" s="569"/>
      <c r="K148" s="568"/>
      <c r="L148" s="568"/>
      <c r="M148" s="568"/>
      <c r="N148" s="568"/>
      <c r="O148" s="568"/>
      <c r="P148" s="568"/>
      <c r="Q148" s="568"/>
      <c r="R148" s="568"/>
      <c r="S148" s="570"/>
      <c r="T148" s="480"/>
    </row>
    <row r="149" spans="2:20" ht="16.5" customHeight="1">
      <c r="B149" s="629" t="str">
        <f>VLOOKUP(T149,Table1[],4,0)</f>
        <v>MDR TB-4: Rezultatul interimar de abandon al tratamentului cazurilor MDR-TB</v>
      </c>
      <c r="C149" s="629"/>
      <c r="D149" s="629"/>
      <c r="E149" s="630" t="str">
        <f>VLOOKUP(T149,Table1[],2,0)</f>
        <v>Indicator de proces</v>
      </c>
      <c r="F149" s="632" t="str">
        <f>VLOOKUP(T149,Table1[],3,0)</f>
        <v>TB</v>
      </c>
      <c r="G149" s="231" t="s">
        <v>361</v>
      </c>
      <c r="H149" s="563">
        <v>8.6999999999999994E-2</v>
      </c>
      <c r="I149" s="553"/>
      <c r="J149" s="554"/>
      <c r="K149" s="555"/>
      <c r="L149" s="555"/>
      <c r="M149" s="555"/>
      <c r="N149" s="555"/>
      <c r="O149" s="555"/>
      <c r="P149" s="555"/>
      <c r="Q149" s="555"/>
      <c r="R149" s="555"/>
      <c r="S149" s="556"/>
      <c r="T149" s="480">
        <v>16</v>
      </c>
    </row>
    <row r="150" spans="2:20" ht="16.5" customHeight="1">
      <c r="B150" s="629"/>
      <c r="C150" s="629"/>
      <c r="D150" s="629"/>
      <c r="E150" s="631"/>
      <c r="F150" s="633"/>
      <c r="G150" s="231" t="s">
        <v>362</v>
      </c>
      <c r="H150" s="571">
        <v>9.2700000000000005E-2</v>
      </c>
      <c r="I150" s="558"/>
      <c r="J150" s="558"/>
      <c r="K150" s="558"/>
      <c r="L150" s="558"/>
      <c r="M150" s="558"/>
      <c r="N150" s="558"/>
      <c r="O150" s="558"/>
      <c r="P150" s="558"/>
      <c r="Q150" s="558"/>
      <c r="R150" s="558"/>
      <c r="S150" s="559"/>
      <c r="T150" s="480"/>
    </row>
    <row r="151" spans="2:20" ht="16.5" customHeight="1">
      <c r="B151" s="634" t="str">
        <f>VLOOKUP(T151,Table1[],4,0)</f>
        <v>MDR TB-8: Numărul cazurilor de XDR TB incluși în tratament în perioada raportată</v>
      </c>
      <c r="C151" s="634"/>
      <c r="D151" s="634"/>
      <c r="E151" s="635" t="str">
        <f>VLOOKUP(T151,Table1[],2,0)</f>
        <v>Indicator de proces</v>
      </c>
      <c r="F151" s="637" t="str">
        <f>VLOOKUP(T151,Table1[],3,0)</f>
        <v>TB</v>
      </c>
      <c r="G151" s="223" t="s">
        <v>361</v>
      </c>
      <c r="H151" s="539" t="s">
        <v>515</v>
      </c>
      <c r="I151" s="560"/>
      <c r="J151" s="561"/>
      <c r="K151" s="560"/>
      <c r="L151" s="560"/>
      <c r="M151" s="560"/>
      <c r="N151" s="560"/>
      <c r="O151" s="560"/>
      <c r="P151" s="560"/>
      <c r="Q151" s="560"/>
      <c r="R151" s="560"/>
      <c r="S151" s="562"/>
      <c r="T151" s="480">
        <v>17</v>
      </c>
    </row>
    <row r="152" spans="2:20" ht="16.5" customHeight="1">
      <c r="B152" s="634"/>
      <c r="C152" s="634"/>
      <c r="D152" s="634"/>
      <c r="E152" s="636"/>
      <c r="F152" s="638"/>
      <c r="G152" s="223" t="s">
        <v>362</v>
      </c>
      <c r="H152" s="539" t="s">
        <v>515</v>
      </c>
      <c r="I152" s="560"/>
      <c r="J152" s="561"/>
      <c r="K152" s="560"/>
      <c r="L152" s="560"/>
      <c r="M152" s="560"/>
      <c r="N152" s="560"/>
      <c r="O152" s="560"/>
      <c r="P152" s="560"/>
      <c r="Q152" s="560"/>
      <c r="R152" s="560"/>
      <c r="S152" s="562"/>
      <c r="T152" s="480"/>
    </row>
    <row r="153" spans="2:20" ht="16.5" customHeight="1">
      <c r="B153" s="629" t="str">
        <f>VLOOKUP(T153,Table1[],4,0)</f>
        <v xml:space="preserve">KP-1d(M): Procentul consumatorilor de droguri injectabile acoperiți de programele de prevenire HIV - pachet definit de servicii </v>
      </c>
      <c r="C153" s="629"/>
      <c r="D153" s="629"/>
      <c r="E153" s="630" t="str">
        <f>VLOOKUP(T153,Table1[],2,0)</f>
        <v>Indicator de proces</v>
      </c>
      <c r="F153" s="632" t="str">
        <f>VLOOKUP(T153,Table1[],3,0)</f>
        <v>HIV</v>
      </c>
      <c r="G153" s="231" t="s">
        <v>361</v>
      </c>
      <c r="H153" s="538" t="s">
        <v>515</v>
      </c>
      <c r="I153" s="553"/>
      <c r="J153" s="554"/>
      <c r="K153" s="555"/>
      <c r="L153" s="555"/>
      <c r="M153" s="555"/>
      <c r="N153" s="555"/>
      <c r="O153" s="555"/>
      <c r="P153" s="555"/>
      <c r="Q153" s="555"/>
      <c r="R153" s="555"/>
      <c r="S153" s="556"/>
      <c r="T153" s="480">
        <v>18</v>
      </c>
    </row>
    <row r="154" spans="2:20" ht="16.5" customHeight="1">
      <c r="B154" s="629"/>
      <c r="C154" s="629"/>
      <c r="D154" s="629"/>
      <c r="E154" s="631"/>
      <c r="F154" s="633"/>
      <c r="G154" s="231" t="s">
        <v>362</v>
      </c>
      <c r="H154" s="572" t="s">
        <v>515</v>
      </c>
      <c r="I154" s="558"/>
      <c r="J154" s="558"/>
      <c r="K154" s="558"/>
      <c r="L154" s="558"/>
      <c r="M154" s="558"/>
      <c r="N154" s="558"/>
      <c r="O154" s="558"/>
      <c r="P154" s="558"/>
      <c r="Q154" s="558"/>
      <c r="R154" s="558"/>
      <c r="S154" s="559"/>
      <c r="T154" s="480"/>
    </row>
    <row r="155" spans="2:20" ht="16.5" customHeight="1">
      <c r="B155" s="634" t="str">
        <f>VLOOKUP(T155,Table1[],4,0)</f>
        <v>KP-3d(M): Procentul consumatorilor de droguri injectabile care au fost testați pentru HIV în perioada de raportare și își cunosc rezultatele</v>
      </c>
      <c r="C155" s="634"/>
      <c r="D155" s="634"/>
      <c r="E155" s="635" t="str">
        <f>VLOOKUP(T155,Table1[],2,0)</f>
        <v>Indicator de proces</v>
      </c>
      <c r="F155" s="637" t="str">
        <f>VLOOKUP(T155,Table1[],3,0)</f>
        <v>HIV</v>
      </c>
      <c r="G155" s="223" t="s">
        <v>361</v>
      </c>
      <c r="H155" s="539" t="s">
        <v>515</v>
      </c>
      <c r="I155" s="560"/>
      <c r="J155" s="561"/>
      <c r="K155" s="560"/>
      <c r="L155" s="560"/>
      <c r="M155" s="560"/>
      <c r="N155" s="560"/>
      <c r="O155" s="560"/>
      <c r="P155" s="560"/>
      <c r="Q155" s="560"/>
      <c r="R155" s="560"/>
      <c r="S155" s="562"/>
      <c r="T155" s="480">
        <v>19</v>
      </c>
    </row>
    <row r="156" spans="2:20" ht="16.5" customHeight="1">
      <c r="B156" s="634"/>
      <c r="C156" s="634"/>
      <c r="D156" s="634"/>
      <c r="E156" s="636"/>
      <c r="F156" s="638"/>
      <c r="G156" s="223" t="s">
        <v>362</v>
      </c>
      <c r="H156" s="573" t="s">
        <v>515</v>
      </c>
      <c r="I156" s="568"/>
      <c r="J156" s="569"/>
      <c r="K156" s="568"/>
      <c r="L156" s="568"/>
      <c r="M156" s="568"/>
      <c r="N156" s="568"/>
      <c r="O156" s="568"/>
      <c r="P156" s="568"/>
      <c r="Q156" s="568"/>
      <c r="R156" s="568"/>
      <c r="S156" s="570"/>
      <c r="T156" s="480"/>
    </row>
    <row r="157" spans="2:20" ht="16.5" customHeight="1">
      <c r="B157" s="629" t="str">
        <f>VLOOKUP(T157,Table1[],4,0)</f>
        <v xml:space="preserve">KP-1c(M): Procentul LSC acoperiți de programele de prevenire HIV - pachet definit de servicii </v>
      </c>
      <c r="C157" s="629"/>
      <c r="D157" s="629"/>
      <c r="E157" s="630" t="str">
        <f>VLOOKUP(T157,Table1[],2,0)</f>
        <v>Indicator de proces</v>
      </c>
      <c r="F157" s="632" t="str">
        <f>VLOOKUP(T157,Table1[],3,0)</f>
        <v>HIV</v>
      </c>
      <c r="G157" s="231" t="s">
        <v>361</v>
      </c>
      <c r="H157" s="538" t="s">
        <v>515</v>
      </c>
      <c r="I157" s="553"/>
      <c r="J157" s="554"/>
      <c r="K157" s="555"/>
      <c r="L157" s="555"/>
      <c r="M157" s="555"/>
      <c r="N157" s="555"/>
      <c r="O157" s="555"/>
      <c r="P157" s="555"/>
      <c r="Q157" s="555"/>
      <c r="R157" s="555"/>
      <c r="S157" s="556"/>
      <c r="T157" s="480">
        <v>20</v>
      </c>
    </row>
    <row r="158" spans="2:20" ht="16.5" customHeight="1">
      <c r="B158" s="629"/>
      <c r="C158" s="629"/>
      <c r="D158" s="629"/>
      <c r="E158" s="631"/>
      <c r="F158" s="633"/>
      <c r="G158" s="231" t="s">
        <v>362</v>
      </c>
      <c r="H158" s="572" t="s">
        <v>515</v>
      </c>
      <c r="I158" s="558"/>
      <c r="J158" s="558"/>
      <c r="K158" s="558"/>
      <c r="L158" s="558"/>
      <c r="M158" s="558"/>
      <c r="N158" s="558"/>
      <c r="O158" s="558"/>
      <c r="P158" s="558"/>
      <c r="Q158" s="558"/>
      <c r="R158" s="558"/>
      <c r="S158" s="559"/>
      <c r="T158" s="480"/>
    </row>
    <row r="159" spans="2:20" ht="16.5" customHeight="1">
      <c r="B159" s="634" t="str">
        <f>VLOOKUP(T159,Table1[],4,0)</f>
        <v>KP-3c(M): Procentul LSC care au fost testați pentru HIV în perioada de raportare și își cunosc rezultatele</v>
      </c>
      <c r="C159" s="634"/>
      <c r="D159" s="634"/>
      <c r="E159" s="635" t="str">
        <f>VLOOKUP(T159,Table1[],2,0)</f>
        <v>Indicator de proces</v>
      </c>
      <c r="F159" s="637" t="str">
        <f>VLOOKUP(T159,Table1[],3,0)</f>
        <v>HIV</v>
      </c>
      <c r="G159" s="223" t="s">
        <v>361</v>
      </c>
      <c r="H159" s="539" t="s">
        <v>515</v>
      </c>
      <c r="I159" s="560"/>
      <c r="J159" s="561"/>
      <c r="K159" s="560"/>
      <c r="L159" s="560"/>
      <c r="M159" s="560"/>
      <c r="N159" s="560"/>
      <c r="O159" s="560"/>
      <c r="P159" s="560"/>
      <c r="Q159" s="560"/>
      <c r="R159" s="560"/>
      <c r="S159" s="562"/>
      <c r="T159" s="480">
        <v>21</v>
      </c>
    </row>
    <row r="160" spans="2:20" ht="16.5" customHeight="1">
      <c r="B160" s="634"/>
      <c r="C160" s="634"/>
      <c r="D160" s="634"/>
      <c r="E160" s="636"/>
      <c r="F160" s="638"/>
      <c r="G160" s="223" t="s">
        <v>362</v>
      </c>
      <c r="H160" s="573" t="s">
        <v>515</v>
      </c>
      <c r="I160" s="568"/>
      <c r="J160" s="569"/>
      <c r="K160" s="568"/>
      <c r="L160" s="568"/>
      <c r="M160" s="568"/>
      <c r="N160" s="568"/>
      <c r="O160" s="568"/>
      <c r="P160" s="568"/>
      <c r="Q160" s="568"/>
      <c r="R160" s="568"/>
      <c r="S160" s="570"/>
      <c r="T160" s="480"/>
    </row>
    <row r="161" spans="2:21" ht="16.5" customHeight="1">
      <c r="B161" s="629" t="str">
        <f>VLOOKUP(T161,Table1[],4,0)</f>
        <v xml:space="preserve">KP-1a(M): Procentul BSB acoperiți de programele de prevenire HIV - pachet definit de servicii </v>
      </c>
      <c r="C161" s="629"/>
      <c r="D161" s="629"/>
      <c r="E161" s="630" t="str">
        <f>VLOOKUP(T161,Table1[],2,0)</f>
        <v>Indicator de proces</v>
      </c>
      <c r="F161" s="632" t="str">
        <f>VLOOKUP(T161,Table1[],3,0)</f>
        <v>HIV</v>
      </c>
      <c r="G161" s="231" t="s">
        <v>361</v>
      </c>
      <c r="H161" s="538" t="s">
        <v>515</v>
      </c>
      <c r="I161" s="553"/>
      <c r="J161" s="554"/>
      <c r="K161" s="555"/>
      <c r="L161" s="555"/>
      <c r="M161" s="555"/>
      <c r="N161" s="555"/>
      <c r="O161" s="555"/>
      <c r="P161" s="555"/>
      <c r="Q161" s="555"/>
      <c r="R161" s="555"/>
      <c r="S161" s="556"/>
      <c r="T161" s="480">
        <v>22</v>
      </c>
    </row>
    <row r="162" spans="2:21" ht="16.5" customHeight="1">
      <c r="B162" s="629"/>
      <c r="C162" s="629"/>
      <c r="D162" s="629"/>
      <c r="E162" s="631"/>
      <c r="F162" s="633"/>
      <c r="G162" s="231" t="s">
        <v>362</v>
      </c>
      <c r="H162" s="572" t="s">
        <v>515</v>
      </c>
      <c r="I162" s="558"/>
      <c r="J162" s="558"/>
      <c r="K162" s="558"/>
      <c r="L162" s="558"/>
      <c r="M162" s="558"/>
      <c r="N162" s="558"/>
      <c r="O162" s="558"/>
      <c r="P162" s="558"/>
      <c r="Q162" s="558"/>
      <c r="R162" s="558"/>
      <c r="S162" s="559"/>
      <c r="T162" s="480"/>
    </row>
    <row r="163" spans="2:21" ht="16.5" customHeight="1">
      <c r="B163" s="634" t="str">
        <f>VLOOKUP(T163,Table1[],4,0)</f>
        <v>KP-3a(M): Procentul BSB care au fost testați pentru HIV în perioada de raportare și își cunosc rezultatele</v>
      </c>
      <c r="C163" s="634"/>
      <c r="D163" s="634"/>
      <c r="E163" s="635" t="str">
        <f>VLOOKUP(T163,Table1[],2,0)</f>
        <v>Indicator de proces</v>
      </c>
      <c r="F163" s="637" t="str">
        <f>VLOOKUP(T163,Table1[],3,0)</f>
        <v>HIV</v>
      </c>
      <c r="G163" s="223" t="s">
        <v>361</v>
      </c>
      <c r="H163" s="539" t="s">
        <v>515</v>
      </c>
      <c r="I163" s="560"/>
      <c r="J163" s="561"/>
      <c r="K163" s="560"/>
      <c r="L163" s="560"/>
      <c r="M163" s="560"/>
      <c r="N163" s="560"/>
      <c r="O163" s="560"/>
      <c r="P163" s="560"/>
      <c r="Q163" s="560"/>
      <c r="R163" s="560"/>
      <c r="S163" s="562"/>
      <c r="T163" s="480">
        <v>23</v>
      </c>
    </row>
    <row r="164" spans="2:21" ht="16.5" customHeight="1">
      <c r="B164" s="634"/>
      <c r="C164" s="634"/>
      <c r="D164" s="634"/>
      <c r="E164" s="636"/>
      <c r="F164" s="638"/>
      <c r="G164" s="223" t="s">
        <v>362</v>
      </c>
      <c r="H164" s="573" t="s">
        <v>515</v>
      </c>
      <c r="I164" s="568"/>
      <c r="J164" s="569"/>
      <c r="K164" s="568"/>
      <c r="L164" s="568"/>
      <c r="M164" s="568"/>
      <c r="N164" s="568"/>
      <c r="O164" s="568"/>
      <c r="P164" s="568"/>
      <c r="Q164" s="568"/>
      <c r="R164" s="568"/>
      <c r="S164" s="570"/>
      <c r="T164" s="480"/>
    </row>
    <row r="165" spans="2:21" ht="16.5" customHeight="1">
      <c r="B165" s="629" t="str">
        <f>VLOOKUP(T165,Table1[],4,0)</f>
        <v xml:space="preserve">TCS-1 (M): Procentul adulţilor şi copiilor care trăiesc cu HIV și urmează tratament antiretroviral </v>
      </c>
      <c r="C165" s="629"/>
      <c r="D165" s="629"/>
      <c r="E165" s="630" t="str">
        <f>VLOOKUP(T165,Table1[],2,0)</f>
        <v>Indicator de proces</v>
      </c>
      <c r="F165" s="632" t="str">
        <f>VLOOKUP(T165,Table1[],3,0)</f>
        <v>HIV</v>
      </c>
      <c r="G165" s="231" t="s">
        <v>361</v>
      </c>
      <c r="H165" s="538" t="s">
        <v>515</v>
      </c>
      <c r="I165" s="553"/>
      <c r="J165" s="554"/>
      <c r="K165" s="555"/>
      <c r="L165" s="555"/>
      <c r="M165" s="555"/>
      <c r="N165" s="555"/>
      <c r="O165" s="555"/>
      <c r="P165" s="555"/>
      <c r="Q165" s="555"/>
      <c r="R165" s="555"/>
      <c r="S165" s="556"/>
      <c r="T165" s="480">
        <v>24</v>
      </c>
    </row>
    <row r="166" spans="2:21" ht="16.5" customHeight="1">
      <c r="B166" s="629"/>
      <c r="C166" s="629"/>
      <c r="D166" s="629"/>
      <c r="E166" s="631"/>
      <c r="F166" s="633"/>
      <c r="G166" s="231" t="s">
        <v>362</v>
      </c>
      <c r="H166" s="572" t="s">
        <v>515</v>
      </c>
      <c r="I166" s="558"/>
      <c r="J166" s="558"/>
      <c r="K166" s="558"/>
      <c r="L166" s="558"/>
      <c r="M166" s="558"/>
      <c r="N166" s="558"/>
      <c r="O166" s="558"/>
      <c r="P166" s="558"/>
      <c r="Q166" s="558"/>
      <c r="R166" s="558"/>
      <c r="S166" s="559"/>
      <c r="T166" s="480"/>
    </row>
    <row r="167" spans="2:21">
      <c r="G167" s="2"/>
      <c r="N167" s="3"/>
      <c r="O167" s="3"/>
      <c r="R167" s="238"/>
      <c r="S167" s="238"/>
    </row>
    <row r="168" spans="2:21" ht="16.5" thickBot="1">
      <c r="B168" s="178"/>
      <c r="G168" s="2"/>
      <c r="N168" s="3"/>
      <c r="O168" s="3"/>
      <c r="R168" s="238"/>
      <c r="S168" s="238"/>
    </row>
    <row r="169" spans="2:21" ht="41.25" hidden="1" customHeight="1">
      <c r="B169" s="3" t="s">
        <v>411</v>
      </c>
      <c r="E169" s="177" t="s">
        <v>364</v>
      </c>
      <c r="F169" s="234" t="s">
        <v>365</v>
      </c>
      <c r="G169" s="139"/>
      <c r="H169" s="478" t="str">
        <f t="shared" ref="H169:S169" si="11">C30</f>
        <v>P1</v>
      </c>
      <c r="I169" s="478" t="str">
        <f t="shared" si="11"/>
        <v>P2</v>
      </c>
      <c r="J169" s="478" t="str">
        <f t="shared" si="11"/>
        <v>P3</v>
      </c>
      <c r="K169" s="478" t="str">
        <f t="shared" si="11"/>
        <v>P4</v>
      </c>
      <c r="L169" s="478" t="str">
        <f t="shared" si="11"/>
        <v>P5</v>
      </c>
      <c r="M169" s="478" t="str">
        <f t="shared" si="11"/>
        <v>P6</v>
      </c>
      <c r="N169" s="478" t="str">
        <f t="shared" si="11"/>
        <v>P7</v>
      </c>
      <c r="O169" s="478" t="str">
        <f t="shared" si="11"/>
        <v>P8</v>
      </c>
      <c r="P169" s="478" t="str">
        <f t="shared" si="11"/>
        <v>P9</v>
      </c>
      <c r="Q169" s="478" t="str">
        <f t="shared" si="11"/>
        <v>P10</v>
      </c>
      <c r="R169" s="478" t="str">
        <f t="shared" si="11"/>
        <v>P11</v>
      </c>
      <c r="S169" s="479" t="str">
        <f t="shared" si="11"/>
        <v>P12</v>
      </c>
      <c r="T169" s="238"/>
      <c r="U169" s="238"/>
    </row>
    <row r="170" spans="2:21" ht="25.5" hidden="1" customHeight="1">
      <c r="B170" s="675" t="str">
        <f>IF(ISBLANK(B119),"",(B119))</f>
        <v>TB I-3(M): Rata mortalităţii  - Numărul estimat de decese cauzate de TB (toate formele) pe an, la 100,000 persoane</v>
      </c>
      <c r="C170" s="691"/>
      <c r="D170" s="692"/>
      <c r="E170" s="704" t="str">
        <f>IF(ISBLANK(E119),"",(E119))</f>
        <v>Indicator de impact</v>
      </c>
      <c r="F170" s="703" t="str">
        <f>IF(ISBLANK(F119),"",(F119))</f>
        <v>TB</v>
      </c>
      <c r="G170" s="230" t="s">
        <v>361</v>
      </c>
      <c r="H170" s="320">
        <f t="shared" ref="H170:L175" si="12">H119</f>
        <v>8.6999999999999993</v>
      </c>
      <c r="I170" s="320">
        <f t="shared" si="12"/>
        <v>0</v>
      </c>
      <c r="J170" s="320">
        <f t="shared" si="12"/>
        <v>0</v>
      </c>
      <c r="K170" s="320">
        <f t="shared" si="12"/>
        <v>0</v>
      </c>
      <c r="L170" s="320">
        <f t="shared" si="12"/>
        <v>0</v>
      </c>
      <c r="M170" s="320">
        <f t="shared" ref="M170:S175" si="13">M119</f>
        <v>0</v>
      </c>
      <c r="N170" s="320">
        <f t="shared" si="13"/>
        <v>0</v>
      </c>
      <c r="O170" s="320">
        <f t="shared" si="13"/>
        <v>0</v>
      </c>
      <c r="P170" s="320">
        <f t="shared" si="13"/>
        <v>0</v>
      </c>
      <c r="Q170" s="320">
        <f t="shared" si="13"/>
        <v>0</v>
      </c>
      <c r="R170" s="320">
        <f t="shared" si="13"/>
        <v>0</v>
      </c>
      <c r="S170" s="321">
        <f t="shared" si="13"/>
        <v>0</v>
      </c>
      <c r="T170" s="238"/>
      <c r="U170" s="238"/>
    </row>
    <row r="171" spans="2:21" ht="25.5" hidden="1" customHeight="1">
      <c r="B171" s="693"/>
      <c r="C171" s="694"/>
      <c r="D171" s="695"/>
      <c r="E171" s="704"/>
      <c r="F171" s="703"/>
      <c r="G171" s="230" t="s">
        <v>362</v>
      </c>
      <c r="H171" s="322">
        <f t="shared" si="12"/>
        <v>7.94</v>
      </c>
      <c r="I171" s="322">
        <f t="shared" si="12"/>
        <v>0</v>
      </c>
      <c r="J171" s="322">
        <f t="shared" si="12"/>
        <v>0</v>
      </c>
      <c r="K171" s="322">
        <f t="shared" si="12"/>
        <v>0</v>
      </c>
      <c r="L171" s="322">
        <f t="shared" si="12"/>
        <v>0</v>
      </c>
      <c r="M171" s="320">
        <f t="shared" si="13"/>
        <v>0</v>
      </c>
      <c r="N171" s="320">
        <f t="shared" si="13"/>
        <v>0</v>
      </c>
      <c r="O171" s="320">
        <f t="shared" si="13"/>
        <v>0</v>
      </c>
      <c r="P171" s="320">
        <f t="shared" si="13"/>
        <v>0</v>
      </c>
      <c r="Q171" s="320">
        <f t="shared" si="13"/>
        <v>0</v>
      </c>
      <c r="R171" s="320">
        <f t="shared" si="13"/>
        <v>0</v>
      </c>
      <c r="S171" s="321">
        <f t="shared" si="13"/>
        <v>0</v>
      </c>
      <c r="T171" s="238"/>
      <c r="U171" s="238"/>
    </row>
    <row r="172" spans="2:21" ht="26.25" hidden="1" customHeight="1">
      <c r="B172" s="682" t="str">
        <f>IF(ISBLANK(B121),"",(B121))</f>
        <v xml:space="preserve">TB I-4(M): Prevalența TB MDR printre cazurile noi de tuberculoză </v>
      </c>
      <c r="C172" s="683"/>
      <c r="D172" s="684"/>
      <c r="E172" s="681" t="str">
        <f>IF(ISBLANK(E121),"",(E121))</f>
        <v>Indicator de impact</v>
      </c>
      <c r="F172" s="702" t="str">
        <f>IF(ISBLANK(F121),"",(F121))</f>
        <v>TB</v>
      </c>
      <c r="G172" s="231" t="s">
        <v>361</v>
      </c>
      <c r="H172" s="323">
        <f t="shared" si="12"/>
        <v>0.20499999999999999</v>
      </c>
      <c r="I172" s="323">
        <f t="shared" si="12"/>
        <v>0</v>
      </c>
      <c r="J172" s="323">
        <f t="shared" si="12"/>
        <v>0</v>
      </c>
      <c r="K172" s="323">
        <f t="shared" si="12"/>
        <v>0</v>
      </c>
      <c r="L172" s="323">
        <f t="shared" si="12"/>
        <v>0</v>
      </c>
      <c r="M172" s="323">
        <f t="shared" si="13"/>
        <v>0</v>
      </c>
      <c r="N172" s="323">
        <f t="shared" si="13"/>
        <v>0</v>
      </c>
      <c r="O172" s="323">
        <f t="shared" si="13"/>
        <v>0</v>
      </c>
      <c r="P172" s="323">
        <f t="shared" si="13"/>
        <v>0</v>
      </c>
      <c r="Q172" s="323">
        <f t="shared" si="13"/>
        <v>0</v>
      </c>
      <c r="R172" s="323">
        <f t="shared" si="13"/>
        <v>0</v>
      </c>
      <c r="S172" s="324">
        <f t="shared" si="13"/>
        <v>0</v>
      </c>
      <c r="T172" s="238"/>
      <c r="U172" s="238"/>
    </row>
    <row r="173" spans="2:21" ht="28.5" hidden="1" customHeight="1">
      <c r="B173" s="685"/>
      <c r="C173" s="686"/>
      <c r="D173" s="687"/>
      <c r="E173" s="681"/>
      <c r="F173" s="702"/>
      <c r="G173" s="231" t="s">
        <v>362</v>
      </c>
      <c r="H173" s="323">
        <f t="shared" si="12"/>
        <v>0.26600000000000001</v>
      </c>
      <c r="I173" s="323">
        <f t="shared" si="12"/>
        <v>0</v>
      </c>
      <c r="J173" s="323">
        <f t="shared" si="12"/>
        <v>0</v>
      </c>
      <c r="K173" s="323">
        <f t="shared" si="12"/>
        <v>0</v>
      </c>
      <c r="L173" s="323">
        <f t="shared" si="12"/>
        <v>0</v>
      </c>
      <c r="M173" s="323">
        <f t="shared" si="13"/>
        <v>0</v>
      </c>
      <c r="N173" s="323">
        <f t="shared" si="13"/>
        <v>0</v>
      </c>
      <c r="O173" s="323">
        <f t="shared" si="13"/>
        <v>0</v>
      </c>
      <c r="P173" s="323">
        <f t="shared" si="13"/>
        <v>0</v>
      </c>
      <c r="Q173" s="323">
        <f t="shared" si="13"/>
        <v>0</v>
      </c>
      <c r="R173" s="323">
        <f t="shared" si="13"/>
        <v>0</v>
      </c>
      <c r="S173" s="324">
        <f t="shared" si="13"/>
        <v>0</v>
      </c>
      <c r="T173" s="238"/>
      <c r="U173" s="238"/>
    </row>
    <row r="174" spans="2:21" ht="31.5" hidden="1" customHeight="1">
      <c r="B174" s="675" t="str">
        <f>IF(ISBLANK(B123),"",(B123))</f>
        <v>HIV I-4: Mortalitatea asociată cu SIDA la 100,000 populaţie</v>
      </c>
      <c r="C174" s="676"/>
      <c r="D174" s="677"/>
      <c r="E174" s="698" t="str">
        <f>IF(ISBLANK(E123),"",(E123))</f>
        <v>Indicator de impact</v>
      </c>
      <c r="F174" s="696" t="str">
        <f>IF(ISBLANK(F123),"",(F123))</f>
        <v>HIV</v>
      </c>
      <c r="G174" s="230" t="s">
        <v>361</v>
      </c>
      <c r="H174" s="320">
        <f t="shared" si="12"/>
        <v>3.0599999999999999E-2</v>
      </c>
      <c r="I174" s="320">
        <f t="shared" ref="I174:L174" si="14">I123</f>
        <v>0</v>
      </c>
      <c r="J174" s="320">
        <f t="shared" si="14"/>
        <v>0</v>
      </c>
      <c r="K174" s="320">
        <f t="shared" si="14"/>
        <v>0</v>
      </c>
      <c r="L174" s="320">
        <f t="shared" si="14"/>
        <v>0</v>
      </c>
      <c r="M174" s="320">
        <f t="shared" si="13"/>
        <v>0</v>
      </c>
      <c r="N174" s="320">
        <f t="shared" si="13"/>
        <v>0</v>
      </c>
      <c r="O174" s="320">
        <f t="shared" si="13"/>
        <v>0</v>
      </c>
      <c r="P174" s="320">
        <f t="shared" si="13"/>
        <v>0</v>
      </c>
      <c r="Q174" s="320">
        <f t="shared" si="13"/>
        <v>0</v>
      </c>
      <c r="R174" s="320">
        <f t="shared" si="13"/>
        <v>0</v>
      </c>
      <c r="S174" s="321">
        <f t="shared" si="13"/>
        <v>0</v>
      </c>
      <c r="T174" s="238"/>
      <c r="U174" s="238"/>
    </row>
    <row r="175" spans="2:21" ht="30.75" hidden="1" customHeight="1" thickBot="1">
      <c r="B175" s="678"/>
      <c r="C175" s="679"/>
      <c r="D175" s="680"/>
      <c r="E175" s="699"/>
      <c r="F175" s="697"/>
      <c r="G175" s="235" t="s">
        <v>362</v>
      </c>
      <c r="H175" s="325">
        <f t="shared" si="12"/>
        <v>3.5999999999999997E-2</v>
      </c>
      <c r="I175" s="325">
        <f t="shared" ref="I175:L175" si="15">I124</f>
        <v>0</v>
      </c>
      <c r="J175" s="325">
        <f t="shared" si="15"/>
        <v>0</v>
      </c>
      <c r="K175" s="325">
        <f t="shared" si="15"/>
        <v>0</v>
      </c>
      <c r="L175" s="325">
        <f t="shared" si="15"/>
        <v>0</v>
      </c>
      <c r="M175" s="325">
        <f t="shared" si="13"/>
        <v>0</v>
      </c>
      <c r="N175" s="325">
        <f t="shared" si="13"/>
        <v>0</v>
      </c>
      <c r="O175" s="325">
        <f t="shared" si="13"/>
        <v>0</v>
      </c>
      <c r="P175" s="325">
        <f t="shared" si="13"/>
        <v>0</v>
      </c>
      <c r="Q175" s="325">
        <f t="shared" si="13"/>
        <v>0</v>
      </c>
      <c r="R175" s="325">
        <f t="shared" si="13"/>
        <v>0</v>
      </c>
      <c r="S175" s="326">
        <f t="shared" si="13"/>
        <v>0</v>
      </c>
      <c r="T175" s="238"/>
      <c r="U175" s="238"/>
    </row>
    <row r="176" spans="2:21">
      <c r="N176" s="3"/>
      <c r="O176" s="3"/>
      <c r="P176" s="238"/>
      <c r="Q176" s="238"/>
      <c r="S176" s="481"/>
    </row>
    <row r="177" spans="14:17">
      <c r="N177" s="3"/>
      <c r="O177" s="3"/>
      <c r="P177" s="238"/>
      <c r="Q177" s="238"/>
    </row>
    <row r="178" spans="14:17">
      <c r="N178" s="3"/>
      <c r="O178" s="3"/>
      <c r="P178" s="238"/>
      <c r="Q178" s="238"/>
    </row>
    <row r="179" spans="14:17">
      <c r="N179" s="3"/>
      <c r="O179" s="3"/>
      <c r="P179" s="238"/>
      <c r="Q179" s="238"/>
    </row>
  </sheetData>
  <sheetProtection sheet="1" objects="1" scenarios="1"/>
  <dataConsolidate link="1"/>
  <mergeCells count="113">
    <mergeCell ref="E137:E138"/>
    <mergeCell ref="F137:F138"/>
    <mergeCell ref="B139:D140"/>
    <mergeCell ref="E139:E140"/>
    <mergeCell ref="F139:F140"/>
    <mergeCell ref="B125:D126"/>
    <mergeCell ref="O31:O34"/>
    <mergeCell ref="E119:E120"/>
    <mergeCell ref="F119:F120"/>
    <mergeCell ref="F121:F122"/>
    <mergeCell ref="E121:E122"/>
    <mergeCell ref="F129:F130"/>
    <mergeCell ref="B119:D120"/>
    <mergeCell ref="F123:F124"/>
    <mergeCell ref="B121:D122"/>
    <mergeCell ref="B75:C75"/>
    <mergeCell ref="E125:E126"/>
    <mergeCell ref="F125:F126"/>
    <mergeCell ref="E123:E124"/>
    <mergeCell ref="B73:C73"/>
    <mergeCell ref="F127:F128"/>
    <mergeCell ref="B110:B113"/>
    <mergeCell ref="E10:F10"/>
    <mergeCell ref="B174:D175"/>
    <mergeCell ref="E172:E173"/>
    <mergeCell ref="B172:D173"/>
    <mergeCell ref="B127:D128"/>
    <mergeCell ref="B129:D130"/>
    <mergeCell ref="B133:D134"/>
    <mergeCell ref="E127:E128"/>
    <mergeCell ref="E129:E130"/>
    <mergeCell ref="B135:D136"/>
    <mergeCell ref="B170:D171"/>
    <mergeCell ref="E135:E136"/>
    <mergeCell ref="B131:D132"/>
    <mergeCell ref="F174:F175"/>
    <mergeCell ref="E174:E175"/>
    <mergeCell ref="F133:F134"/>
    <mergeCell ref="E133:E134"/>
    <mergeCell ref="F131:F132"/>
    <mergeCell ref="E131:E132"/>
    <mergeCell ref="F172:F173"/>
    <mergeCell ref="F170:F171"/>
    <mergeCell ref="F135:F136"/>
    <mergeCell ref="E170:E171"/>
    <mergeCell ref="B137:D138"/>
    <mergeCell ref="B26:C26"/>
    <mergeCell ref="D24:E24"/>
    <mergeCell ref="B29:N29"/>
    <mergeCell ref="B62:D62"/>
    <mergeCell ref="G24:H24"/>
    <mergeCell ref="I24:J24"/>
    <mergeCell ref="B123:D124"/>
    <mergeCell ref="B18:C18"/>
    <mergeCell ref="D18:F18"/>
    <mergeCell ref="B21:J21"/>
    <mergeCell ref="B141:D142"/>
    <mergeCell ref="E141:E142"/>
    <mergeCell ref="F141:F142"/>
    <mergeCell ref="B143:D144"/>
    <mergeCell ref="E143:E144"/>
    <mergeCell ref="F143:F144"/>
    <mergeCell ref="B2:J2"/>
    <mergeCell ref="C4:D4"/>
    <mergeCell ref="E4:F4"/>
    <mergeCell ref="G4:J4"/>
    <mergeCell ref="H16:I16"/>
    <mergeCell ref="C10:D10"/>
    <mergeCell ref="E12:F12"/>
    <mergeCell ref="I8:J8"/>
    <mergeCell ref="I6:J6"/>
    <mergeCell ref="G12:J12"/>
    <mergeCell ref="G10:J10"/>
    <mergeCell ref="C6:D6"/>
    <mergeCell ref="E6:F6"/>
    <mergeCell ref="C8:D8"/>
    <mergeCell ref="B14:J14"/>
    <mergeCell ref="C12:D12"/>
    <mergeCell ref="B74:C74"/>
    <mergeCell ref="B118:D118"/>
    <mergeCell ref="B145:D146"/>
    <mergeCell ref="E145:E146"/>
    <mergeCell ref="F145:F146"/>
    <mergeCell ref="B147:D148"/>
    <mergeCell ref="E147:E148"/>
    <mergeCell ref="F147:F148"/>
    <mergeCell ref="E155:E156"/>
    <mergeCell ref="F155:F156"/>
    <mergeCell ref="B149:D150"/>
    <mergeCell ref="E149:E150"/>
    <mergeCell ref="F149:F150"/>
    <mergeCell ref="B151:D152"/>
    <mergeCell ref="E151:E152"/>
    <mergeCell ref="F151:F152"/>
    <mergeCell ref="B157:D158"/>
    <mergeCell ref="E157:E158"/>
    <mergeCell ref="F157:F158"/>
    <mergeCell ref="B159:D160"/>
    <mergeCell ref="E159:E160"/>
    <mergeCell ref="F159:F160"/>
    <mergeCell ref="B153:D154"/>
    <mergeCell ref="B165:D166"/>
    <mergeCell ref="E165:E166"/>
    <mergeCell ref="F165:F166"/>
    <mergeCell ref="B161:D162"/>
    <mergeCell ref="E161:E162"/>
    <mergeCell ref="F161:F162"/>
    <mergeCell ref="B163:D164"/>
    <mergeCell ref="E163:E164"/>
    <mergeCell ref="F163:F164"/>
    <mergeCell ref="E153:E154"/>
    <mergeCell ref="F153:F154"/>
    <mergeCell ref="B155:D156"/>
  </mergeCells>
  <phoneticPr fontId="23" type="noConversion"/>
  <conditionalFormatting sqref="B34 B32 E32:H32 D33:N33">
    <cfRule type="expression" dxfId="57" priority="6" stopIfTrue="1">
      <formula>+AND(B31&gt;=#REF!,B31&lt;=#REF!)</formula>
    </cfRule>
  </conditionalFormatting>
  <conditionalFormatting sqref="D34:N34">
    <cfRule type="expression" dxfId="56" priority="7" stopIfTrue="1">
      <formula>+AND(D32&gt;=#REF!,D32&lt;=#REF!)</formula>
    </cfRule>
  </conditionalFormatting>
  <conditionalFormatting sqref="C30:N30 C96:N96">
    <cfRule type="cellIs" dxfId="55" priority="10" stopIfTrue="1" operator="equal">
      <formula>$C$16</formula>
    </cfRule>
  </conditionalFormatting>
  <conditionalFormatting sqref="C12:D12">
    <cfRule type="cellIs" dxfId="54" priority="12" stopIfTrue="1" operator="equal">
      <formula>"C"</formula>
    </cfRule>
    <cfRule type="cellIs" dxfId="53" priority="13" stopIfTrue="1" operator="equal">
      <formula>"B2"</formula>
    </cfRule>
    <cfRule type="cellIs" dxfId="52" priority="14" stopIfTrue="1" operator="equal">
      <formula>"B1"</formula>
    </cfRule>
  </conditionalFormatting>
  <conditionalFormatting sqref="H169:S169 H118:S118">
    <cfRule type="cellIs" dxfId="51" priority="21" stopIfTrue="1" operator="equal">
      <formula>$C$16</formula>
    </cfRule>
  </conditionalFormatting>
  <conditionalFormatting sqref="C34">
    <cfRule type="expression" dxfId="50" priority="1" stopIfTrue="1">
      <formula>+AND(C32&gt;=#REF!,C32&lt;=#REF!)</formula>
    </cfRule>
  </conditionalFormatting>
  <dataValidations count="9">
    <dataValidation type="list" allowBlank="1" showInputMessage="1" showErrorMessage="1" sqref="B110 G6" xr:uid="{00000000-0002-0000-0200-000000000000}">
      <formula1>Component</formula1>
    </dataValidation>
    <dataValidation type="list" allowBlank="1" showInputMessage="1" showErrorMessage="1" sqref="C16" xr:uid="{00000000-0002-0000-0200-000001000000}">
      <formula1>PERIOD</formula1>
    </dataValidation>
    <dataValidation type="list" allowBlank="1" showInputMessage="1" showErrorMessage="1" sqref="G10:J10" xr:uid="{00000000-0002-0000-0200-000002000000}">
      <formula1>LFA</formula1>
    </dataValidation>
    <dataValidation type="list" allowBlank="1" showInputMessage="1" showErrorMessage="1" sqref="C4:D4" xr:uid="{00000000-0002-0000-0200-000003000000}">
      <formula1>Countries</formula1>
    </dataValidation>
    <dataValidation type="list" allowBlank="1" showInputMessage="1" showErrorMessage="1" sqref="C12:D12" xr:uid="{00000000-0002-0000-0200-000004000000}">
      <formula1>Rating</formula1>
    </dataValidation>
    <dataValidation type="list" allowBlank="1" showInputMessage="1" showErrorMessage="1" sqref="I8:J8" xr:uid="{00000000-0002-0000-0200-000005000000}">
      <formula1>Phase</formula1>
    </dataValidation>
    <dataValidation type="list" allowBlank="1" showInputMessage="1" showErrorMessage="1" sqref="G8" xr:uid="{00000000-0002-0000-0200-000006000000}">
      <formula1>Round</formula1>
    </dataValidation>
    <dataValidation type="list" allowBlank="1" showInputMessage="1" showErrorMessage="1" sqref="D26" xr:uid="{00000000-0002-0000-0200-000007000000}">
      <formula1>Currency</formula1>
    </dataValidation>
    <dataValidation type="list" allowBlank="1" showInputMessage="1" showErrorMessage="1" sqref="C110:C113" xr:uid="{00000000-0002-0000-0200-000008000000}">
      <formula1>Medicaments</formula1>
    </dataValidation>
  </dataValidations>
  <pageMargins left="0.70866141732283472" right="0.70866141732283472" top="0.74803149606299213" bottom="0.74803149606299213" header="0.31496062992125984" footer="0.31496062992125984"/>
  <pageSetup paperSize="9" scale="18" orientation="landscape" r:id="rId1"/>
  <headerFooter>
    <oddFooter>&amp;L&amp;F&amp;C&amp;A&amp;RV1.0          &amp;D</oddFooter>
  </headerFooter>
  <rowBreaks count="2" manualBreakCount="2">
    <brk id="50" max="16383" man="1"/>
    <brk id="106" max="14" man="1"/>
  </rowBreaks>
  <ignoredErrors>
    <ignoredError sqref="H169:S169 E170"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1"/>
    <pageSetUpPr fitToPage="1"/>
  </sheetPr>
  <dimension ref="A1:X18"/>
  <sheetViews>
    <sheetView showGridLines="0" zoomScale="110" zoomScaleNormal="110" zoomScaleSheetLayoutView="100" workbookViewId="0">
      <selection activeCell="D5" sqref="D5"/>
    </sheetView>
  </sheetViews>
  <sheetFormatPr defaultColWidth="11.42578125" defaultRowHeight="15"/>
  <cols>
    <col min="1" max="1" width="22.5703125" style="3" customWidth="1"/>
    <col min="2" max="2" width="12.5703125" style="3" customWidth="1"/>
    <col min="3" max="3" width="20.5703125" style="3" customWidth="1"/>
    <col min="4" max="4" width="21.57031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149"/>
      <c r="H1" s="2"/>
      <c r="I1" s="2"/>
      <c r="J1" s="2"/>
    </row>
    <row r="2" spans="1:24" ht="25.5" customHeight="1"/>
    <row r="3" spans="1:24" ht="36">
      <c r="B3" s="728" t="str">
        <f>+"Tabel Programatic de Evaluare: "&amp;" "&amp;+IF('Introducerea datelor'!C4="Please Select","",'Introducerea datelor'!C4&amp;" - ")&amp;+IF('Introducerea datelor'!G6="Please Select","",'Introducerea datelor'!G6)</f>
        <v>Tabel Programatic de Evaluare:  Moldova - HIVAIDS / TB</v>
      </c>
      <c r="C3" s="728"/>
      <c r="D3" s="728"/>
      <c r="E3" s="728"/>
      <c r="F3" s="728"/>
      <c r="G3" s="728"/>
      <c r="H3" s="728"/>
      <c r="I3" s="728"/>
      <c r="J3" s="728"/>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424" t="s">
        <v>279</v>
      </c>
      <c r="B6" s="730" t="str">
        <f>+IF('Introducerea datelor'!C4="Please Select","",'Introducerea datelor'!C4)</f>
        <v>Moldova</v>
      </c>
      <c r="C6" s="730"/>
      <c r="D6" s="734" t="s">
        <v>283</v>
      </c>
      <c r="E6" s="734"/>
      <c r="F6" s="735" t="str">
        <f>+'Introducerea datelor'!G4</f>
        <v>Consolidarea controlului tuberculozei și reducerea SIDA și a mortalității aferente în Republica Moldova</v>
      </c>
      <c r="G6" s="735"/>
      <c r="H6" s="735"/>
      <c r="I6" s="735"/>
      <c r="J6" s="735"/>
      <c r="K6" s="32"/>
      <c r="L6" s="53"/>
      <c r="M6" s="32"/>
      <c r="N6" s="32"/>
      <c r="O6" s="32"/>
      <c r="P6" s="33"/>
      <c r="Q6" s="17"/>
      <c r="R6" s="17"/>
      <c r="S6" s="17"/>
      <c r="T6" s="17"/>
      <c r="U6" s="17"/>
    </row>
    <row r="7" spans="1:24" ht="8.25" customHeight="1">
      <c r="B7" s="6"/>
      <c r="C7" s="7"/>
      <c r="D7" s="7"/>
      <c r="E7" s="8"/>
      <c r="F7" s="8"/>
      <c r="G7" s="9"/>
      <c r="H7" s="9"/>
      <c r="K7" s="32"/>
      <c r="L7" s="32"/>
      <c r="M7" s="32"/>
      <c r="N7" s="32"/>
      <c r="O7" s="32"/>
      <c r="P7" s="33"/>
      <c r="Q7" s="17"/>
      <c r="R7" s="17"/>
      <c r="S7" s="17"/>
      <c r="T7" s="17"/>
      <c r="U7" s="17"/>
    </row>
    <row r="8" spans="1:24" ht="3.75" customHeight="1">
      <c r="C8" s="10"/>
      <c r="D8" s="10"/>
      <c r="E8" s="10"/>
      <c r="F8" s="10"/>
      <c r="G8" s="10"/>
      <c r="H8" s="10"/>
      <c r="I8" s="10"/>
      <c r="J8" s="10"/>
      <c r="K8" s="32"/>
      <c r="L8" s="32"/>
      <c r="M8" s="32"/>
      <c r="N8" s="32"/>
      <c r="O8" s="34"/>
      <c r="P8" s="33"/>
      <c r="Q8" s="34"/>
      <c r="R8" s="35"/>
      <c r="S8" s="17"/>
      <c r="T8" s="17"/>
      <c r="U8" s="17"/>
    </row>
    <row r="9" spans="1:24" ht="25.5" customHeight="1">
      <c r="A9" s="423" t="s">
        <v>284</v>
      </c>
      <c r="B9" s="190" t="str">
        <f>+IF('Introducerea datelor'!G6="Please Select","",'Introducerea datelor'!G6)</f>
        <v>HIVAIDS / TB</v>
      </c>
      <c r="C9" s="131" t="s">
        <v>246</v>
      </c>
      <c r="D9" s="191" t="str">
        <f>+'Introducerea datelor'!C6</f>
        <v>MDA-C-PCIMU</v>
      </c>
      <c r="E9" s="732" t="s">
        <v>367</v>
      </c>
      <c r="F9" s="732"/>
      <c r="G9" s="244">
        <f>+IF(ISBLANK('Introducerea datelor'!C10),"",'Introducerea datelor'!C10)</f>
        <v>43101</v>
      </c>
      <c r="H9" s="423" t="s">
        <v>285</v>
      </c>
      <c r="I9" s="731">
        <f>+IF(ISBLANK('Introducerea datelor'!I6),"",'Introducerea datelor'!I6)</f>
        <v>11931624</v>
      </c>
      <c r="J9" s="731"/>
      <c r="K9" s="32"/>
      <c r="L9" s="32"/>
      <c r="M9" s="32"/>
      <c r="N9" s="32"/>
      <c r="O9" s="34"/>
      <c r="P9" s="33"/>
      <c r="Q9" s="34"/>
      <c r="R9" s="35"/>
      <c r="S9" s="17"/>
      <c r="T9" s="11"/>
      <c r="U9" s="11"/>
      <c r="V9" s="10"/>
      <c r="W9" s="10"/>
      <c r="X9" s="10"/>
    </row>
    <row r="10" spans="1:24" ht="25.5" customHeight="1">
      <c r="A10" s="423" t="s">
        <v>286</v>
      </c>
      <c r="B10" s="192" t="str">
        <f>+IF('Introducerea datelor'!G8="Please Select","",'Introducerea datelor'!G8)</f>
        <v/>
      </c>
      <c r="C10" s="131" t="s">
        <v>287</v>
      </c>
      <c r="D10" s="193" t="str">
        <f>+IF('Introducerea datelor'!I8="Please Select","",'Introducerea datelor'!I8)</f>
        <v>Period 1</v>
      </c>
      <c r="E10" s="733" t="s">
        <v>368</v>
      </c>
      <c r="F10" s="733"/>
      <c r="G10" s="729" t="str">
        <f>+'Introducerea datelor'!C8</f>
        <v>IP UCIMP DS</v>
      </c>
      <c r="H10" s="729"/>
      <c r="I10" s="729"/>
      <c r="J10" s="729"/>
      <c r="K10" s="36"/>
      <c r="L10" s="36"/>
      <c r="M10" s="32"/>
      <c r="N10" s="36"/>
      <c r="O10" s="34"/>
      <c r="P10" s="33"/>
      <c r="Q10" s="11"/>
      <c r="R10" s="35"/>
      <c r="S10" s="17"/>
      <c r="T10" s="11"/>
      <c r="U10" s="11"/>
    </row>
    <row r="11" spans="1:24" ht="25.5" customHeight="1">
      <c r="A11" s="423" t="s">
        <v>290</v>
      </c>
      <c r="B11" s="422" t="str">
        <f>+'Introducerea datelor'!C16</f>
        <v>P1</v>
      </c>
      <c r="C11" s="181" t="s">
        <v>291</v>
      </c>
      <c r="D11" s="425">
        <f>+IF(ISBLANK('Introducerea datelor'!E16),"",'Introducerea datelor'!E16)</f>
        <v>43101</v>
      </c>
      <c r="E11" s="732" t="s">
        <v>292</v>
      </c>
      <c r="F11" s="732"/>
      <c r="G11" s="425">
        <f>+IF(ISBLANK('Introducerea datelor'!G16),"",'Introducerea datelor'!G16)</f>
        <v>43281</v>
      </c>
      <c r="H11" s="423" t="s">
        <v>282</v>
      </c>
      <c r="I11" s="736" t="str">
        <f>+IF('Introducerea datelor'!C12="Please Select","",'Introducerea datelor'!C12)</f>
        <v/>
      </c>
      <c r="J11" s="736"/>
      <c r="K11" s="148"/>
      <c r="L11" s="36"/>
      <c r="M11" s="32"/>
      <c r="N11" s="36"/>
      <c r="O11" s="36"/>
      <c r="P11" s="33"/>
      <c r="Q11" s="11"/>
      <c r="R11" s="35"/>
      <c r="S11" s="17"/>
      <c r="T11" s="12"/>
      <c r="U11" s="11"/>
    </row>
    <row r="12" spans="1:24" ht="25.5" customHeight="1">
      <c r="A12" s="423" t="s">
        <v>288</v>
      </c>
      <c r="B12" s="729" t="str">
        <f>+IF('Introducerea datelor'!G10="Please Select","",'Introducerea datelor'!G10)</f>
        <v>PwC (PricewaterhouseCoopers)</v>
      </c>
      <c r="C12" s="729"/>
      <c r="D12" s="729"/>
      <c r="E12" s="733" t="s">
        <v>231</v>
      </c>
      <c r="F12" s="733"/>
      <c r="G12" s="729" t="str">
        <f>+'Introducerea datelor'!G12</f>
        <v>Tsovinar Sakanyan</v>
      </c>
      <c r="H12" s="729"/>
      <c r="I12" s="729"/>
      <c r="J12" s="729"/>
      <c r="K12" s="36"/>
      <c r="L12" s="36"/>
      <c r="M12" s="32"/>
      <c r="N12" s="36"/>
      <c r="O12" s="17"/>
      <c r="P12" s="33"/>
      <c r="Q12" s="11"/>
      <c r="R12" s="35"/>
      <c r="S12" s="17"/>
      <c r="T12" s="11"/>
      <c r="U12" s="37"/>
      <c r="V12" s="11"/>
      <c r="W12" s="12"/>
      <c r="X12" s="11"/>
    </row>
    <row r="13" spans="1:24" ht="30.75" customHeight="1">
      <c r="A13" s="423" t="s">
        <v>369</v>
      </c>
      <c r="B13" s="729" t="str">
        <f>+'Introducerea datelor'!D18</f>
        <v>IP UCIMP DS</v>
      </c>
      <c r="C13" s="729"/>
      <c r="D13" s="729"/>
      <c r="E13" s="737" t="s">
        <v>370</v>
      </c>
      <c r="F13" s="737"/>
      <c r="G13" s="738">
        <f>+IF(ISBLANK('Introducerea datelor'!J16),"",'Introducerea datelor'!J16)</f>
        <v>43353</v>
      </c>
      <c r="H13" s="739"/>
      <c r="I13" s="739"/>
      <c r="J13" s="739"/>
      <c r="K13" s="17"/>
      <c r="L13" s="18"/>
      <c r="M13" s="18"/>
      <c r="N13" s="18"/>
      <c r="O13" s="17"/>
      <c r="P13" s="18"/>
      <c r="Q13" s="18"/>
      <c r="R13" s="35"/>
      <c r="S13" s="17"/>
      <c r="T13" s="18"/>
      <c r="U13" s="38"/>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134"/>
      <c r="D16" s="16"/>
      <c r="E16" s="200"/>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sheet="1" objects="1" scenarios="1"/>
  <dataConsolidate link="1"/>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23" type="noConversion"/>
  <conditionalFormatting sqref="I11:J11">
    <cfRule type="cellIs" dxfId="49" priority="1" stopIfTrue="1" operator="equal">
      <formula>"C"</formula>
    </cfRule>
    <cfRule type="cellIs" dxfId="48" priority="2" stopIfTrue="1" operator="equal">
      <formula>"B2"</formula>
    </cfRule>
    <cfRule type="cellIs" dxfId="47" priority="3" stopIfTrue="1" operator="equal">
      <formula>"B1"</formula>
    </cfRule>
  </conditionalFormatting>
  <dataValidations count="1">
    <dataValidation type="list" allowBlank="1" showInputMessage="1" showErrorMessage="1" sqref="G7" xr:uid="{00000000-0002-0000-0300-000000000000}">
      <formula1>$K$8:$K$9</formula1>
    </dataValidation>
  </dataValidations>
  <pageMargins left="0.70866141732283472" right="0.70866141732283472" top="0.74803149606299213" bottom="0.74803149606299213" header="0.31496062992125984" footer="0.31496062992125984"/>
  <pageSetup paperSize="9" scale="88" fitToHeight="0"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indexed="41"/>
    <pageSetUpPr fitToPage="1"/>
  </sheetPr>
  <dimension ref="A1:P35"/>
  <sheetViews>
    <sheetView showGridLines="0" zoomScale="55" zoomScaleNormal="55" zoomScaleSheetLayoutView="100" workbookViewId="0">
      <selection activeCell="I8" activeCellId="5" sqref="C8:F8 C16:F16 C27:F27 I27:L27 I16:L16 I8:L8"/>
    </sheetView>
  </sheetViews>
  <sheetFormatPr defaultColWidth="11" defaultRowHeight="15"/>
  <cols>
    <col min="1" max="1" width="3.28515625" style="3" customWidth="1"/>
    <col min="2" max="2" width="10.42578125" style="3" customWidth="1"/>
    <col min="3" max="3" width="12.42578125" style="3" customWidth="1"/>
    <col min="4" max="4" width="13.140625" style="3" customWidth="1"/>
    <col min="5" max="5" width="11.42578125" style="3" customWidth="1"/>
    <col min="6" max="6" width="17" style="3" customWidth="1"/>
    <col min="7" max="7" width="3.85546875" style="3" customWidth="1"/>
    <col min="8" max="8" width="9.85546875" style="3" customWidth="1"/>
    <col min="9" max="9" width="13" style="3" customWidth="1"/>
    <col min="10" max="10" width="13.7109375" style="3" customWidth="1"/>
    <col min="11" max="11" width="13.5703125" style="3" customWidth="1"/>
    <col min="12" max="12" width="14.140625" style="3" customWidth="1"/>
    <col min="13" max="16384" width="11" style="3"/>
  </cols>
  <sheetData>
    <row r="1" spans="1:16" ht="28.5" customHeight="1">
      <c r="C1" s="574"/>
      <c r="E1" s="575"/>
    </row>
    <row r="2" spans="1:16" ht="27.75" customHeight="1">
      <c r="B2" s="756" t="str">
        <f>+"Tabel Programatic de Evaluare:  "&amp;"  "&amp;IF(+'Introducerea datelor'!C4="Please Select","",'Introducerea datelor'!C4&amp;" - ")&amp;IF('Introducerea datelor'!G6="Please Select","",'Introducerea datelor'!G6)</f>
        <v>Tabel Programatic de Evaluare:    Moldova - HIVAIDS / TB</v>
      </c>
      <c r="C2" s="756"/>
      <c r="D2" s="756"/>
      <c r="E2" s="756"/>
      <c r="F2" s="756"/>
      <c r="G2" s="756"/>
      <c r="H2" s="756"/>
      <c r="I2" s="756"/>
      <c r="J2" s="756"/>
      <c r="K2" s="756"/>
      <c r="L2" s="756"/>
      <c r="M2" s="576"/>
      <c r="N2" s="576"/>
      <c r="O2" s="576"/>
      <c r="P2" s="576"/>
    </row>
    <row r="3" spans="1:16">
      <c r="B3" s="426" t="str">
        <f>+IF('Introducerea datelor'!G8="Please Select","",'Introducerea datelor'!G8)</f>
        <v/>
      </c>
      <c r="C3" s="761" t="str">
        <f>+IF('Introducerea datelor'!I8="Please Select","",'Introducerea datelor'!I8)</f>
        <v>Period 1</v>
      </c>
      <c r="D3" s="761"/>
      <c r="E3" s="759"/>
      <c r="F3" s="759"/>
      <c r="G3" s="759"/>
      <c r="H3" s="759"/>
      <c r="I3" s="759"/>
      <c r="J3" s="760" t="str">
        <f>+'Introducerea datelor'!B16</f>
        <v>Perioada de Raportare:</v>
      </c>
      <c r="K3" s="760"/>
      <c r="L3" s="120" t="str">
        <f>+'Introducerea datelor'!C16</f>
        <v>P1</v>
      </c>
    </row>
    <row r="4" spans="1:16">
      <c r="B4" s="426" t="str">
        <f>+'Introducerea datelor'!B12</f>
        <v>Ultimul Rating:</v>
      </c>
      <c r="C4" s="757" t="str">
        <f>+IF('Introducerea datelor'!C12="Please Select","",'Introducerea datelor'!C12)</f>
        <v/>
      </c>
      <c r="D4" s="757"/>
      <c r="E4" s="759" t="str">
        <f>+'Introducerea datelor'!C8</f>
        <v>IP UCIMP DS</v>
      </c>
      <c r="F4" s="759"/>
      <c r="G4" s="759"/>
      <c r="H4" s="759"/>
      <c r="I4" s="759"/>
      <c r="J4" s="760" t="str">
        <f>+'Introducerea datelor'!D16</f>
        <v>De la:</v>
      </c>
      <c r="K4" s="762"/>
      <c r="L4" s="263">
        <f>+IF(ISBLANK('Introducerea datelor'!E16),"",'Introducerea datelor'!E16)</f>
        <v>43101</v>
      </c>
    </row>
    <row r="5" spans="1:16" ht="27.75" customHeight="1">
      <c r="B5" s="426"/>
      <c r="C5" s="426"/>
      <c r="D5" s="753" t="str">
        <f>+'Introducerea datelor'!G4</f>
        <v>Consolidarea controlului tuberculozei și reducerea SIDA și a mortalității aferente în Republica Moldova</v>
      </c>
      <c r="E5" s="753"/>
      <c r="F5" s="753"/>
      <c r="G5" s="753"/>
      <c r="H5" s="753"/>
      <c r="I5" s="753"/>
      <c r="J5" s="753"/>
      <c r="K5" s="426" t="str">
        <f>+'Introducerea datelor'!F16</f>
        <v>Pînă la:</v>
      </c>
      <c r="L5" s="263">
        <f>+IF(ISBLANK('Introducerea datelor'!G16),"",'Introducerea datelor'!G16)</f>
        <v>43281</v>
      </c>
    </row>
    <row r="6" spans="1:16" ht="18.75">
      <c r="B6" s="99"/>
      <c r="C6" s="426"/>
      <c r="D6" s="97"/>
      <c r="E6" s="758" t="s">
        <v>375</v>
      </c>
      <c r="F6" s="758"/>
      <c r="G6" s="758"/>
      <c r="H6" s="758"/>
      <c r="I6" s="758"/>
    </row>
    <row r="7" spans="1:16" ht="26.25" customHeight="1">
      <c r="B7" s="742" t="str">
        <f>+'Introducerea datelor'!B71&amp;"                "&amp;+J3&amp;" "&amp;+L3</f>
        <v>M1: Statutul Condițiilor Precedente și a Acțiunilor Prestabilite în Timp                 Perioada de Raportare: P1</v>
      </c>
      <c r="C7" s="743"/>
      <c r="D7" s="743"/>
      <c r="E7" s="743"/>
      <c r="F7" s="743"/>
      <c r="H7" s="742" t="str">
        <f>+'Introducerea datelor'!B78&amp;"                                                                             "&amp;+J3&amp;"  "&amp;+L3</f>
        <v>M2: Statutul pozițiilor cheie a RP                                                                              Perioada de Raportare:  P1</v>
      </c>
      <c r="I7" s="743"/>
      <c r="J7" s="743"/>
      <c r="K7" s="743"/>
      <c r="L7" s="743"/>
    </row>
    <row r="8" spans="1:16" ht="96.75" customHeight="1">
      <c r="B8" s="577" t="s">
        <v>374</v>
      </c>
      <c r="C8" s="745" t="s">
        <v>529</v>
      </c>
      <c r="D8" s="748"/>
      <c r="E8" s="748"/>
      <c r="F8" s="749"/>
      <c r="G8" s="578"/>
      <c r="H8" s="577" t="s">
        <v>374</v>
      </c>
      <c r="I8" s="745" t="s">
        <v>528</v>
      </c>
      <c r="J8" s="746"/>
      <c r="K8" s="746"/>
      <c r="L8" s="747"/>
    </row>
    <row r="9" spans="1:16" ht="22.5" customHeight="1">
      <c r="B9" s="2"/>
      <c r="C9" s="2"/>
      <c r="D9" s="2"/>
      <c r="E9" s="2"/>
      <c r="F9" s="2"/>
      <c r="G9" s="2"/>
      <c r="H9" s="2"/>
    </row>
    <row r="10" spans="1:16" ht="21" customHeight="1">
      <c r="A10" s="579"/>
      <c r="B10" s="2"/>
      <c r="C10" s="2"/>
      <c r="D10" s="755"/>
      <c r="E10" s="754"/>
      <c r="F10" s="754"/>
      <c r="G10" s="580"/>
      <c r="H10" s="2"/>
      <c r="N10" s="581"/>
      <c r="O10" s="581"/>
      <c r="P10" s="416"/>
    </row>
    <row r="11" spans="1:16">
      <c r="B11" s="2"/>
      <c r="C11" s="79"/>
      <c r="D11" s="755"/>
      <c r="E11" s="79"/>
      <c r="F11" s="79"/>
      <c r="G11" s="79"/>
      <c r="H11" s="79"/>
      <c r="N11" s="2"/>
      <c r="O11" s="2"/>
    </row>
    <row r="12" spans="1:16">
      <c r="B12" s="79"/>
      <c r="C12" s="582"/>
      <c r="D12" s="583"/>
      <c r="E12" s="583"/>
      <c r="F12" s="583"/>
      <c r="G12" s="583"/>
      <c r="H12" s="584"/>
      <c r="N12" s="585"/>
    </row>
    <row r="13" spans="1:16">
      <c r="B13" s="79"/>
      <c r="C13" s="582"/>
      <c r="D13" s="583"/>
      <c r="E13" s="583"/>
      <c r="F13" s="583"/>
      <c r="G13" s="583"/>
      <c r="H13" s="584"/>
    </row>
    <row r="14" spans="1:16" ht="27" customHeight="1"/>
    <row r="15" spans="1:16" ht="35.25" customHeight="1">
      <c r="B15" s="742" t="str">
        <f>+'Introducerea datelor'!B83&amp;"                                                                                                 "&amp;+J3&amp;" "&amp;+L3</f>
        <v>M3: Aranjamente contractuale (SR)                                                                                                  Perioada de Raportare: P1</v>
      </c>
      <c r="C15" s="743"/>
      <c r="D15" s="743"/>
      <c r="E15" s="743"/>
      <c r="F15" s="743"/>
      <c r="G15" s="743"/>
      <c r="H15" s="742" t="str">
        <f>+'Introducerea datelor'!B88&amp;"                        "&amp;+J3&amp;" "&amp;+L3</f>
        <v>M4: Numărul rapoartelor complete recepționate la timp                        Perioada de Raportare: P1</v>
      </c>
      <c r="I15" s="743"/>
      <c r="J15" s="743"/>
      <c r="K15" s="743"/>
      <c r="L15" s="743"/>
    </row>
    <row r="16" spans="1:16" ht="79.5" customHeight="1">
      <c r="B16" s="577" t="s">
        <v>374</v>
      </c>
      <c r="C16" s="745" t="s">
        <v>508</v>
      </c>
      <c r="D16" s="746"/>
      <c r="E16" s="746"/>
      <c r="F16" s="747"/>
      <c r="G16" s="578"/>
      <c r="H16" s="577" t="s">
        <v>374</v>
      </c>
      <c r="I16" s="745" t="s">
        <v>509</v>
      </c>
      <c r="J16" s="748"/>
      <c r="K16" s="748"/>
      <c r="L16" s="749"/>
    </row>
    <row r="17" spans="2:13">
      <c r="B17" s="586"/>
      <c r="H17" s="587"/>
    </row>
    <row r="18" spans="2:13">
      <c r="M18" s="588"/>
    </row>
    <row r="26" spans="2:13" ht="40.5" customHeight="1">
      <c r="B26" s="740" t="str">
        <f>+'Introducerea datelor'!B94</f>
        <v xml:space="preserve">M5: Bugetul și Procurarea produselor medicale, echipamentului medical, medicamentelor și produselor farmaceutice </v>
      </c>
      <c r="C26" s="741"/>
      <c r="D26" s="741"/>
      <c r="E26" s="741"/>
      <c r="F26" s="741"/>
      <c r="H26" s="742" t="str">
        <f>+'Introducerea datelor'!B107&amp;"                                                                "&amp;+J3&amp;"  "&amp;+L3</f>
        <v>M6: Diferență între stocul curent și stocul de siguranță                                                                Perioada de Raportare:  P1</v>
      </c>
      <c r="I26" s="743"/>
      <c r="J26" s="743"/>
      <c r="K26" s="743"/>
      <c r="L26" s="743"/>
    </row>
    <row r="27" spans="2:13" ht="54.75" customHeight="1">
      <c r="B27" s="577" t="s">
        <v>374</v>
      </c>
      <c r="C27" s="745" t="s">
        <v>527</v>
      </c>
      <c r="D27" s="746"/>
      <c r="E27" s="746"/>
      <c r="F27" s="747"/>
      <c r="G27" s="578"/>
      <c r="H27" s="577" t="s">
        <v>1</v>
      </c>
      <c r="I27" s="745" t="s">
        <v>510</v>
      </c>
      <c r="J27" s="748"/>
      <c r="K27" s="748"/>
      <c r="L27" s="749"/>
    </row>
    <row r="28" spans="2:13" ht="15.75" thickBot="1"/>
    <row r="29" spans="2:13" ht="59.25" customHeight="1">
      <c r="F29" s="183"/>
      <c r="G29" s="183"/>
      <c r="H29" s="237" t="s">
        <v>351</v>
      </c>
      <c r="I29" s="236" t="s">
        <v>376</v>
      </c>
      <c r="J29" s="195" t="s">
        <v>378</v>
      </c>
      <c r="K29" s="128" t="s">
        <v>379</v>
      </c>
      <c r="L29" s="182" t="s">
        <v>380</v>
      </c>
    </row>
    <row r="30" spans="2:13" ht="15" customHeight="1">
      <c r="F30" s="183"/>
      <c r="G30" s="183"/>
      <c r="H30" s="750" t="str">
        <f>+'Introducerea datelor'!B110</f>
        <v>Please Select</v>
      </c>
      <c r="I30" s="431" t="str">
        <f>+'Introducerea datelor'!C110</f>
        <v>Please Select</v>
      </c>
      <c r="J30" s="432" t="str">
        <f>+'Introducerea datelor'!I110</f>
        <v/>
      </c>
      <c r="K30" s="433">
        <f>+'Introducerea datelor'!J110</f>
        <v>0</v>
      </c>
      <c r="L30" s="434" t="str">
        <f>+'Introducerea datelor'!K110</f>
        <v/>
      </c>
    </row>
    <row r="31" spans="2:13">
      <c r="F31" s="183"/>
      <c r="G31" s="183"/>
      <c r="H31" s="751"/>
      <c r="I31" s="431" t="str">
        <f>+'Introducerea datelor'!C111</f>
        <v>Please Select</v>
      </c>
      <c r="J31" s="432" t="str">
        <f>+'Introducerea datelor'!I111</f>
        <v/>
      </c>
      <c r="K31" s="433">
        <f>+'Introducerea datelor'!J111</f>
        <v>0</v>
      </c>
      <c r="L31" s="435" t="str">
        <f>+'Introducerea datelor'!K111</f>
        <v/>
      </c>
    </row>
    <row r="32" spans="2:13">
      <c r="F32" s="183"/>
      <c r="G32" s="183"/>
      <c r="H32" s="751"/>
      <c r="I32" s="431" t="str">
        <f>+'Introducerea datelor'!C112</f>
        <v>Please Select</v>
      </c>
      <c r="J32" s="432" t="str">
        <f>+'Introducerea datelor'!I112</f>
        <v/>
      </c>
      <c r="K32" s="433">
        <f>+'Introducerea datelor'!J112</f>
        <v>0</v>
      </c>
      <c r="L32" s="434" t="str">
        <f>+'Introducerea datelor'!K112</f>
        <v/>
      </c>
    </row>
    <row r="33" spans="2:12" ht="30" customHeight="1" thickBot="1">
      <c r="F33" s="183"/>
      <c r="G33" s="183"/>
      <c r="H33" s="752"/>
      <c r="I33" s="436" t="str">
        <f>+'Introducerea datelor'!C113</f>
        <v>Please Select</v>
      </c>
      <c r="J33" s="437" t="str">
        <f>+'Introducerea datelor'!I113</f>
        <v/>
      </c>
      <c r="K33" s="438">
        <f>+'Introducerea datelor'!J113</f>
        <v>0</v>
      </c>
      <c r="L33" s="434" t="str">
        <f>+'Introducerea datelor'!K113</f>
        <v/>
      </c>
    </row>
    <row r="34" spans="2:12" ht="22.5" customHeight="1">
      <c r="B34" s="744" t="str">
        <f>+'Introducerea datelor'!B104</f>
        <v>* Include numai AFR categoriile 4,5 și 6  (Produse medicale și Echipamente medicale &amp; Medicamente și Produse farmaceutice)</v>
      </c>
      <c r="C34" s="744"/>
      <c r="D34" s="744"/>
      <c r="E34" s="744"/>
      <c r="F34" s="2"/>
      <c r="G34" s="2"/>
      <c r="H34" s="589"/>
      <c r="I34" s="590"/>
      <c r="J34" s="591"/>
      <c r="K34" s="580"/>
      <c r="L34" s="15"/>
    </row>
    <row r="35" spans="2:12">
      <c r="F35" s="2"/>
      <c r="G35" s="2"/>
      <c r="H35" s="2"/>
      <c r="I35" s="2"/>
      <c r="J35" s="2"/>
      <c r="K35" s="2"/>
      <c r="L35" s="2"/>
    </row>
  </sheetData>
  <sheetProtection sheet="1" objects="1" scenarios="1"/>
  <mergeCells count="25">
    <mergeCell ref="B2:L2"/>
    <mergeCell ref="C4:D4"/>
    <mergeCell ref="E6:I6"/>
    <mergeCell ref="E3:I3"/>
    <mergeCell ref="J3:K3"/>
    <mergeCell ref="C3:D3"/>
    <mergeCell ref="E4:I4"/>
    <mergeCell ref="J4:K4"/>
    <mergeCell ref="B15:G15"/>
    <mergeCell ref="H15:L15"/>
    <mergeCell ref="I8:L8"/>
    <mergeCell ref="D5:J5"/>
    <mergeCell ref="C16:F16"/>
    <mergeCell ref="E10:F10"/>
    <mergeCell ref="C8:F8"/>
    <mergeCell ref="B7:F7"/>
    <mergeCell ref="I16:L16"/>
    <mergeCell ref="D10:D11"/>
    <mergeCell ref="H7:L7"/>
    <mergeCell ref="B26:F26"/>
    <mergeCell ref="H26:L26"/>
    <mergeCell ref="B34:E34"/>
    <mergeCell ref="C27:F27"/>
    <mergeCell ref="I27:L27"/>
    <mergeCell ref="H30:H33"/>
  </mergeCells>
  <phoneticPr fontId="23" type="noConversion"/>
  <conditionalFormatting sqref="D12:D13">
    <cfRule type="cellIs" dxfId="46" priority="1" stopIfTrue="1" operator="greaterThan">
      <formula>0</formula>
    </cfRule>
  </conditionalFormatting>
  <conditionalFormatting sqref="E12:E13">
    <cfRule type="cellIs" dxfId="45" priority="2" stopIfTrue="1" operator="greaterThan">
      <formula>0</formula>
    </cfRule>
  </conditionalFormatting>
  <conditionalFormatting sqref="F12:G13">
    <cfRule type="cellIs" dxfId="44" priority="3" stopIfTrue="1" operator="greaterThan">
      <formula>0</formula>
    </cfRule>
  </conditionalFormatting>
  <conditionalFormatting sqref="C4:D4">
    <cfRule type="cellIs" dxfId="43" priority="4" stopIfTrue="1" operator="equal">
      <formula>"C"</formula>
    </cfRule>
    <cfRule type="cellIs" dxfId="42" priority="5" stopIfTrue="1" operator="equal">
      <formula>"B2"</formula>
    </cfRule>
    <cfRule type="cellIs" dxfId="41" priority="6" stopIfTrue="1" operator="equal">
      <formula>"B1"</formula>
    </cfRule>
  </conditionalFormatting>
  <conditionalFormatting sqref="L30 L32:L33">
    <cfRule type="cellIs" dxfId="40" priority="13" stopIfTrue="1" operator="lessThan">
      <formula>1</formula>
    </cfRule>
    <cfRule type="cellIs" dxfId="39" priority="14" stopIfTrue="1" operator="between">
      <formula>3</formula>
      <formula>17</formula>
    </cfRule>
    <cfRule type="cellIs" dxfId="38" priority="15" stopIfTrue="1" operator="between">
      <formula>1</formula>
      <formula>3</formula>
    </cfRule>
  </conditionalFormatting>
  <conditionalFormatting sqref="L31">
    <cfRule type="cellIs" dxfId="37" priority="16" stopIfTrue="1" operator="lessThan">
      <formula>1</formula>
    </cfRule>
    <cfRule type="cellIs" dxfId="36" priority="17" stopIfTrue="1" operator="between">
      <formula>3</formula>
      <formula>100</formula>
    </cfRule>
    <cfRule type="cellIs" dxfId="35" priority="18" stopIfTrue="1" operator="between">
      <formula>1</formula>
      <formula>3</formula>
    </cfRule>
  </conditionalFormatting>
  <pageMargins left="0.70866141732283472" right="0.70866141732283472" top="0.74803149606299213" bottom="0.74803149606299213" header="0.31496062992125984" footer="0.31496062992125984"/>
  <pageSetup paperSize="256" scale="64" orientation="portrait" r:id="rId1"/>
  <headerFooter alignWithMargins="0">
    <oddFooter>&amp;L&amp;F&amp;C&amp;A&amp;RV1.0          &amp;D</oddFooter>
  </headerFooter>
  <colBreaks count="1" manualBreakCount="1">
    <brk id="12" max="3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1"/>
    <pageSetUpPr fitToPage="1"/>
  </sheetPr>
  <dimension ref="A1:O34"/>
  <sheetViews>
    <sheetView showGridLines="0" view="pageBreakPreview" zoomScale="85" zoomScaleNormal="100" zoomScaleSheetLayoutView="85" workbookViewId="0">
      <selection activeCell="D5" sqref="D5:I5"/>
    </sheetView>
  </sheetViews>
  <sheetFormatPr defaultColWidth="11" defaultRowHeight="15"/>
  <cols>
    <col min="1" max="6" width="19.42578125" style="3" customWidth="1"/>
    <col min="7" max="7" width="3.85546875" style="3" customWidth="1"/>
    <col min="8" max="11" width="24.28515625" style="3" customWidth="1"/>
    <col min="12" max="16384" width="11" style="3"/>
  </cols>
  <sheetData>
    <row r="1" spans="2:15" ht="30.75" customHeight="1"/>
    <row r="2" spans="2:15" ht="27.75" customHeight="1">
      <c r="B2" s="783" t="str">
        <f>+"Tabel Programatic de Evaluare:  "&amp;"  "&amp;IF(+'Introducerea datelor'!C4="Please Select","",'Introducerea datelor'!C4&amp;" - ")&amp;IF('Introducerea datelor'!G6="Please Select","",'Introducerea datelor'!G6)</f>
        <v>Tabel Programatic de Evaluare:    Moldova - HIVAIDS / TB</v>
      </c>
      <c r="C2" s="783"/>
      <c r="D2" s="783"/>
      <c r="E2" s="783"/>
      <c r="F2" s="783"/>
      <c r="G2" s="783"/>
      <c r="H2" s="783"/>
      <c r="I2" s="783"/>
      <c r="J2" s="783"/>
      <c r="K2" s="783"/>
      <c r="L2" s="592"/>
      <c r="M2" s="592"/>
      <c r="N2" s="592"/>
      <c r="O2" s="592"/>
    </row>
    <row r="3" spans="2:15">
      <c r="B3" s="426" t="str">
        <f>+IF('Introducerea datelor'!G8="Please Select","",'Introducerea datelor'!G8)</f>
        <v/>
      </c>
      <c r="C3" s="761" t="str">
        <f>+IF('Introducerea datelor'!I8="Please Select","",'Introducerea datelor'!I8)</f>
        <v>Period 1</v>
      </c>
      <c r="D3" s="761"/>
      <c r="E3" s="759"/>
      <c r="F3" s="759"/>
      <c r="G3" s="759"/>
      <c r="H3" s="759"/>
      <c r="I3" s="760" t="str">
        <f>+'Introducerea datelor'!B16</f>
        <v>Perioada de Raportare:</v>
      </c>
      <c r="J3" s="760"/>
      <c r="K3" s="120" t="str">
        <f>+'Introducerea datelor'!C16</f>
        <v>P1</v>
      </c>
      <c r="L3" s="588"/>
    </row>
    <row r="4" spans="2:15">
      <c r="B4" s="426" t="str">
        <f>+'Introducerea datelor'!B12</f>
        <v>Ultimul Rating:</v>
      </c>
      <c r="C4" s="757" t="str">
        <f>+IF('Introducerea datelor'!C12="Please Select","",'Introducerea datelor'!C12)</f>
        <v/>
      </c>
      <c r="D4" s="757"/>
      <c r="E4" s="759" t="str">
        <f>+'Introducerea datelor'!C8</f>
        <v>IP UCIMP DS</v>
      </c>
      <c r="F4" s="759"/>
      <c r="G4" s="759"/>
      <c r="H4" s="759"/>
      <c r="I4" s="760" t="str">
        <f>+'Introducerea datelor'!D16</f>
        <v>De la:</v>
      </c>
      <c r="J4" s="762"/>
      <c r="K4" s="263">
        <f>+IF(ISBLANK('Introducerea datelor'!E16),"",'Introducerea datelor'!E16)</f>
        <v>43101</v>
      </c>
    </row>
    <row r="5" spans="2:15" ht="18.75" customHeight="1">
      <c r="B5" s="426"/>
      <c r="C5" s="426"/>
      <c r="D5" s="753" t="str">
        <f>+'Introducerea datelor'!G4</f>
        <v>Consolidarea controlului tuberculozei și reducerea SIDA și a mortalității aferente în Republica Moldova</v>
      </c>
      <c r="E5" s="753"/>
      <c r="F5" s="753"/>
      <c r="G5" s="753"/>
      <c r="H5" s="753"/>
      <c r="I5" s="753"/>
      <c r="J5" s="426" t="str">
        <f>+'Introducerea datelor'!F16</f>
        <v>Pînă la:</v>
      </c>
      <c r="K5" s="263">
        <f>+IF(ISBLANK('Introducerea datelor'!G16),"",'Introducerea datelor'!G16)</f>
        <v>43281</v>
      </c>
    </row>
    <row r="6" spans="2:15" ht="18.75">
      <c r="B6" s="99"/>
      <c r="C6" s="426"/>
      <c r="D6" s="97"/>
      <c r="E6" s="758" t="s">
        <v>373</v>
      </c>
      <c r="F6" s="758"/>
      <c r="G6" s="758"/>
      <c r="H6" s="758"/>
      <c r="K6" s="198"/>
    </row>
    <row r="7" spans="2:15" ht="10.5" customHeight="1">
      <c r="B7" s="100"/>
      <c r="C7" s="101"/>
      <c r="D7" s="102"/>
      <c r="E7" s="103"/>
      <c r="F7" s="103"/>
      <c r="G7" s="104"/>
      <c r="H7" s="104"/>
      <c r="I7" s="427"/>
      <c r="J7" s="427"/>
      <c r="K7" s="98"/>
      <c r="O7" s="3" t="s">
        <v>372</v>
      </c>
    </row>
    <row r="8" spans="2:15" ht="26.25" customHeight="1">
      <c r="B8" s="771" t="str">
        <f>+'Introducerea datelor'!B27&amp; " - in ("&amp;'Introducerea datelor'!D26&amp;")  "&amp;+I3&amp;" "&amp;+K3</f>
        <v>F1: Bugetul și debursările de către Fondul Global - in (€)  Perioada de Raportare: P1</v>
      </c>
      <c r="C8" s="743"/>
      <c r="D8" s="743"/>
      <c r="E8" s="743"/>
      <c r="F8" s="743"/>
      <c r="H8" s="125" t="str">
        <f>+'Introducerea datelor'!B51&amp; " - in ("&amp;'Introducerea datelor'!D26&amp;")         "&amp;+I3&amp;" "&amp;+K3</f>
        <v>F3: Debursări și cheltuieli - in (€)         Perioada de Raportare: P1</v>
      </c>
    </row>
    <row r="9" spans="2:15" ht="28.5" customHeight="1">
      <c r="B9" s="577" t="s">
        <v>374</v>
      </c>
      <c r="C9" s="772"/>
      <c r="D9" s="778"/>
      <c r="E9" s="778"/>
      <c r="F9" s="779"/>
      <c r="G9" s="593"/>
      <c r="H9" s="594" t="s">
        <v>374</v>
      </c>
      <c r="I9" s="772"/>
      <c r="J9" s="778"/>
      <c r="K9" s="779"/>
    </row>
    <row r="10" spans="2:15">
      <c r="B10" s="2"/>
      <c r="C10" s="2"/>
      <c r="D10" s="2"/>
      <c r="E10" s="2"/>
      <c r="F10" s="2"/>
    </row>
    <row r="11" spans="2:15">
      <c r="B11" s="2"/>
      <c r="C11" s="2"/>
      <c r="D11" s="2"/>
      <c r="E11" s="2"/>
      <c r="F11" s="2"/>
    </row>
    <row r="12" spans="2:15">
      <c r="B12" s="2"/>
      <c r="C12" s="2"/>
      <c r="D12" s="2"/>
      <c r="E12" s="2"/>
      <c r="F12" s="2"/>
    </row>
    <row r="13" spans="2:15">
      <c r="B13" s="2"/>
      <c r="C13" s="2"/>
      <c r="D13" s="2"/>
      <c r="E13" s="2"/>
      <c r="F13" s="2"/>
    </row>
    <row r="14" spans="2:15">
      <c r="B14" s="2"/>
      <c r="C14" s="2"/>
      <c r="D14" s="2"/>
      <c r="E14" s="2"/>
      <c r="F14" s="2"/>
    </row>
    <row r="15" spans="2:15">
      <c r="B15" s="2"/>
      <c r="C15" s="2"/>
      <c r="D15" s="2"/>
      <c r="E15" s="2"/>
      <c r="F15" s="2"/>
    </row>
    <row r="16" spans="2:15">
      <c r="B16" s="2"/>
      <c r="C16" s="2"/>
      <c r="D16" s="2"/>
      <c r="E16" s="2"/>
      <c r="F16" s="2"/>
    </row>
    <row r="17" spans="1:13">
      <c r="B17" s="2"/>
      <c r="C17" s="2"/>
      <c r="D17" s="2"/>
      <c r="E17" s="2"/>
      <c r="F17" s="2"/>
    </row>
    <row r="18" spans="1:13">
      <c r="B18" s="2"/>
      <c r="C18" s="2"/>
      <c r="D18" s="2"/>
      <c r="E18" s="2"/>
      <c r="F18" s="2"/>
    </row>
    <row r="19" spans="1:13">
      <c r="B19" s="2"/>
      <c r="C19" s="2"/>
      <c r="D19" s="2"/>
      <c r="E19" s="2"/>
      <c r="F19" s="2"/>
    </row>
    <row r="20" spans="1:13">
      <c r="B20" s="2"/>
      <c r="C20" s="2"/>
      <c r="D20" s="2"/>
      <c r="E20" s="2"/>
      <c r="F20" s="2"/>
    </row>
    <row r="21" spans="1:13">
      <c r="A21" s="2"/>
      <c r="B21" s="2"/>
      <c r="C21" s="2"/>
      <c r="D21" s="2"/>
      <c r="E21" s="2"/>
      <c r="F21" s="2"/>
      <c r="G21" s="2"/>
      <c r="H21" s="2"/>
      <c r="I21" s="2"/>
      <c r="J21" s="2"/>
      <c r="K21" s="2"/>
      <c r="M21" s="595"/>
    </row>
    <row r="22" spans="1:13" ht="24" customHeight="1">
      <c r="B22" s="767" t="str">
        <f>+'Introducerea datelor'!B36&amp; " - in ("&amp;'Introducerea datelor'!D26&amp;")  "&amp;+I3&amp;" "&amp;+K3</f>
        <v>F2: Bugetul și cheltuielile actuale după Obiectivele Grantului - in (€)  Perioada de Raportare: P1</v>
      </c>
      <c r="C22" s="768"/>
      <c r="D22" s="768"/>
      <c r="E22" s="768"/>
      <c r="F22" s="768"/>
      <c r="G22" s="160"/>
      <c r="H22" s="767" t="str">
        <f>+'Introducerea datelor'!B60&amp;"      "&amp;+I3&amp;" "&amp;+K3</f>
        <v>F4: Ultima perioadă de raportare și debursare a RP       Perioada de Raportare: P1</v>
      </c>
      <c r="I22" s="743"/>
      <c r="J22" s="743"/>
      <c r="K22" s="743"/>
    </row>
    <row r="23" spans="1:13" ht="86.25" customHeight="1">
      <c r="B23" s="577" t="s">
        <v>374</v>
      </c>
      <c r="C23" s="780" t="s">
        <v>526</v>
      </c>
      <c r="D23" s="781"/>
      <c r="E23" s="781"/>
      <c r="F23" s="782"/>
      <c r="G23" s="596"/>
      <c r="H23" s="594" t="s">
        <v>374</v>
      </c>
      <c r="I23" s="772"/>
      <c r="J23" s="773"/>
      <c r="K23" s="774"/>
    </row>
    <row r="24" spans="1:13" ht="15.75" thickBot="1">
      <c r="B24" s="597"/>
      <c r="C24" s="597"/>
      <c r="D24" s="597"/>
      <c r="E24" s="597"/>
      <c r="F24" s="597"/>
      <c r="G24" s="597"/>
      <c r="H24" s="598"/>
      <c r="I24" s="598"/>
      <c r="J24" s="597"/>
      <c r="K24" s="597"/>
    </row>
    <row r="25" spans="1:13" ht="29.25" customHeight="1" thickBot="1">
      <c r="G25" s="179"/>
      <c r="H25" s="775" t="s">
        <v>413</v>
      </c>
      <c r="I25" s="776"/>
      <c r="J25" s="776"/>
      <c r="K25" s="777"/>
    </row>
    <row r="26" spans="1:13">
      <c r="G26" s="159"/>
      <c r="H26" s="763"/>
      <c r="I26" s="764"/>
      <c r="J26" s="169" t="s">
        <v>314</v>
      </c>
      <c r="K26" s="170" t="s">
        <v>315</v>
      </c>
    </row>
    <row r="27" spans="1:13" ht="23.25" customHeight="1">
      <c r="G27" s="180"/>
      <c r="H27" s="769" t="str">
        <f>'Introducerea datelor'!B64</f>
        <v>Zile necesare pentru remiterea PU/DR final către ALF</v>
      </c>
      <c r="I27" s="770"/>
      <c r="J27" s="242">
        <f>+'Introducerea datelor'!C64</f>
        <v>60</v>
      </c>
      <c r="K27" s="262">
        <f>+'Introducerea datelor'!D64</f>
        <v>60</v>
      </c>
    </row>
    <row r="28" spans="1:13" ht="25.5" customHeight="1">
      <c r="G28" s="180"/>
      <c r="H28" s="769" t="str">
        <f>'Introducerea datelor'!B65</f>
        <v>Zile necesare pentru debursare către RP</v>
      </c>
      <c r="I28" s="770"/>
      <c r="J28" s="242">
        <f>+'Introducerea datelor'!C65</f>
        <v>5</v>
      </c>
      <c r="K28" s="262">
        <f>+'Introducerea datelor'!D65</f>
        <v>5</v>
      </c>
    </row>
    <row r="29" spans="1:13" ht="24.75" customHeight="1" thickBot="1">
      <c r="G29" s="180"/>
      <c r="H29" s="765" t="str">
        <f>'Introducerea datelor'!B66</f>
        <v>Zile necesare pentru debursare către SR</v>
      </c>
      <c r="I29" s="766"/>
      <c r="J29" s="243">
        <f>+'Introducerea datelor'!C66</f>
        <v>5</v>
      </c>
      <c r="K29" s="309">
        <f>+'Introducerea datelor'!D66</f>
        <v>5</v>
      </c>
    </row>
    <row r="31" spans="1:13">
      <c r="C31" s="15"/>
      <c r="D31" s="135"/>
    </row>
    <row r="32" spans="1:13">
      <c r="C32" s="15"/>
      <c r="D32" s="135"/>
    </row>
    <row r="34" spans="5:5">
      <c r="E34" s="2"/>
    </row>
  </sheetData>
  <sheetProtection sheet="1" objects="1" scenarios="1"/>
  <mergeCells count="21">
    <mergeCell ref="B2:K2"/>
    <mergeCell ref="D5:I5"/>
    <mergeCell ref="I4:J4"/>
    <mergeCell ref="I3:J3"/>
    <mergeCell ref="E3:H3"/>
    <mergeCell ref="E4:H4"/>
    <mergeCell ref="C3:D3"/>
    <mergeCell ref="H26:I26"/>
    <mergeCell ref="C4:D4"/>
    <mergeCell ref="H29:I29"/>
    <mergeCell ref="B22:F22"/>
    <mergeCell ref="H22:K22"/>
    <mergeCell ref="E6:H6"/>
    <mergeCell ref="H27:I27"/>
    <mergeCell ref="H28:I28"/>
    <mergeCell ref="B8:F8"/>
    <mergeCell ref="I23:K23"/>
    <mergeCell ref="H25:K25"/>
    <mergeCell ref="I9:K9"/>
    <mergeCell ref="C9:F9"/>
    <mergeCell ref="C23:F23"/>
  </mergeCells>
  <phoneticPr fontId="23" type="noConversion"/>
  <conditionalFormatting sqref="K27:K29">
    <cfRule type="cellIs" dxfId="34" priority="4" stopIfTrue="1" operator="greaterThan">
      <formula>J27</formula>
    </cfRule>
    <cfRule type="cellIs" dxfId="33" priority="5" stopIfTrue="1" operator="between">
      <formula>J27</formula>
      <formula>1</formula>
    </cfRule>
    <cfRule type="cellIs" dxfId="32" priority="6" stopIfTrue="1" operator="equal">
      <formula>0</formula>
    </cfRule>
  </conditionalFormatting>
  <conditionalFormatting sqref="C4:D4">
    <cfRule type="cellIs" dxfId="31" priority="1" stopIfTrue="1" operator="equal">
      <formula>"C"</formula>
    </cfRule>
    <cfRule type="cellIs" dxfId="30" priority="2" stopIfTrue="1" operator="equal">
      <formula>"B2"</formula>
    </cfRule>
    <cfRule type="cellIs" dxfId="29" priority="3" stopIfTrue="1" operator="equal">
      <formula>"B1"</formula>
    </cfRule>
  </conditionalFormatting>
  <pageMargins left="0.70866141732283472" right="0.70866141732283472" top="0.74803149606299213" bottom="0.74803149606299213" header="0.31496062992125984" footer="0.31496062992125984"/>
  <pageSetup paperSize="256" scale="40" orientation="portrait" r:id="rId1"/>
  <headerFooter>
    <oddFooter>&amp;L&amp;F&amp;C&amp;A&amp;RV1.0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1"/>
    <pageSetUpPr fitToPage="1"/>
  </sheetPr>
  <dimension ref="A2:AL65"/>
  <sheetViews>
    <sheetView showGridLines="0" topLeftCell="B51" zoomScaleNormal="100" zoomScaleSheetLayoutView="100" workbookViewId="0">
      <selection activeCell="M58" sqref="M58:R58"/>
    </sheetView>
  </sheetViews>
  <sheetFormatPr defaultColWidth="11" defaultRowHeight="15"/>
  <cols>
    <col min="1" max="1" width="6" style="599" hidden="1" customWidth="1"/>
    <col min="2" max="2" width="17.140625" style="240" bestFit="1" customWidth="1"/>
    <col min="3" max="3" width="14" style="3" bestFit="1" customWidth="1"/>
    <col min="4" max="4" width="14.140625" style="3" customWidth="1"/>
    <col min="5" max="5" width="14.85546875" style="3" customWidth="1"/>
    <col min="6" max="6" width="11.7109375" style="241" customWidth="1"/>
    <col min="7" max="7" width="11" style="241" bestFit="1" customWidth="1"/>
    <col min="8" max="10" width="6" style="3" customWidth="1"/>
    <col min="11" max="11" width="14.140625" style="3" customWidth="1"/>
    <col min="12" max="12" width="5.28515625" style="3" bestFit="1" customWidth="1"/>
    <col min="13" max="13" width="17.140625" style="3" customWidth="1"/>
    <col min="14" max="14" width="5" style="3" customWidth="1"/>
    <col min="15" max="15" width="6.5703125" style="3" customWidth="1"/>
    <col min="16" max="16" width="4.140625" style="3" customWidth="1"/>
    <col min="17" max="17" width="8" style="3" bestFit="1" customWidth="1"/>
    <col min="18" max="18" width="27.7109375" style="3" customWidth="1"/>
    <col min="19" max="19" width="6.5703125" style="3" customWidth="1"/>
    <col min="20" max="20" width="4.85546875" style="600" bestFit="1" customWidth="1"/>
    <col min="21" max="21" width="9.28515625" style="600" bestFit="1" customWidth="1"/>
    <col min="22" max="23" width="11" style="600"/>
    <col min="24" max="24" width="9.28515625" style="600" bestFit="1" customWidth="1"/>
    <col min="25" max="25" width="7.7109375" style="600" bestFit="1" customWidth="1"/>
    <col min="26" max="26" width="11" style="600"/>
    <col min="27" max="27" width="6.5703125" style="600" bestFit="1" customWidth="1"/>
    <col min="28" max="28" width="7.140625" style="600" bestFit="1" customWidth="1"/>
    <col min="29" max="29" width="9.28515625" style="600" bestFit="1" customWidth="1"/>
    <col min="30" max="32" width="11" style="600"/>
    <col min="33" max="33" width="9.28515625" style="600" bestFit="1" customWidth="1"/>
    <col min="34" max="16384" width="11" style="3"/>
  </cols>
  <sheetData>
    <row r="2" spans="1:36" ht="18.75">
      <c r="C2" s="756" t="str">
        <f>+"Tabel Programatic de Evaluare:  "&amp;"  "&amp;IF(+'Introducerea datelor'!C4="Please Select","",'Introducerea datelor'!C4&amp;" - ")&amp;IF('Introducerea datelor'!G6="Please Select","",'Introducerea datelor'!G6)</f>
        <v>Tabel Programatic de Evaluare:    Moldova - HIVAIDS / TB</v>
      </c>
      <c r="D2" s="756"/>
      <c r="E2" s="756"/>
      <c r="F2" s="756"/>
      <c r="G2" s="756"/>
      <c r="H2" s="756"/>
      <c r="I2" s="756"/>
      <c r="J2" s="756"/>
      <c r="K2" s="756"/>
      <c r="L2" s="756"/>
      <c r="M2" s="756"/>
      <c r="N2" s="756"/>
      <c r="O2" s="756"/>
      <c r="P2" s="756"/>
      <c r="Q2" s="756"/>
      <c r="R2" s="756"/>
      <c r="S2" s="756"/>
      <c r="T2" s="756"/>
      <c r="U2" s="756"/>
      <c r="V2" s="756"/>
      <c r="W2" s="756"/>
      <c r="X2" s="756"/>
      <c r="Y2" s="756"/>
      <c r="Z2" s="756"/>
      <c r="AA2" s="756"/>
      <c r="AB2" s="756"/>
      <c r="AC2" s="756"/>
      <c r="AD2" s="756"/>
    </row>
    <row r="3" spans="1:36" ht="18.75">
      <c r="C3" s="426" t="str">
        <f>+IF('Introducerea datelor'!G8="Please Select","",'Introducerea datelor'!G8)</f>
        <v/>
      </c>
      <c r="D3" s="761" t="str">
        <f>+IF('Introducerea datelor'!I8="Please Select","",'Introducerea datelor'!I8)</f>
        <v>Period 1</v>
      </c>
      <c r="E3" s="761"/>
      <c r="F3" s="759"/>
      <c r="G3" s="759"/>
      <c r="H3" s="759"/>
      <c r="I3" s="759"/>
      <c r="J3" s="792"/>
      <c r="K3" s="792"/>
      <c r="L3" s="792"/>
      <c r="O3" s="801" t="str">
        <f>+'Introducerea datelor'!B16</f>
        <v>Perioada de Raportare:</v>
      </c>
      <c r="P3" s="743"/>
      <c r="Q3" s="743"/>
      <c r="R3" s="121" t="str">
        <f>+'Introducerea datelor'!C16</f>
        <v>P1</v>
      </c>
    </row>
    <row r="4" spans="1:36">
      <c r="C4" s="426" t="str">
        <f>+'Introducerea datelor'!B12</f>
        <v>Ultimul Rating:</v>
      </c>
      <c r="D4" s="793" t="str">
        <f>+IF('Introducerea datelor'!C12="Please Select","",'Introducerea datelor'!C12)</f>
        <v/>
      </c>
      <c r="E4" s="793"/>
      <c r="F4" s="759" t="str">
        <f>+'Introducerea datelor'!C8</f>
        <v>IP UCIMP DS</v>
      </c>
      <c r="G4" s="759"/>
      <c r="H4" s="759"/>
      <c r="I4" s="759"/>
      <c r="J4" s="759"/>
      <c r="K4" s="759"/>
      <c r="L4" s="759"/>
      <c r="M4" s="759"/>
      <c r="P4" s="185"/>
      <c r="Q4" s="426" t="str">
        <f>+'Introducerea datelor'!D16</f>
        <v>De la:</v>
      </c>
      <c r="R4" s="601">
        <f>+IF(ISBLANK('Introducerea datelor'!E16),"",'Introducerea datelor'!E16)</f>
        <v>43101</v>
      </c>
      <c r="Z4" s="5"/>
      <c r="AA4" s="5"/>
      <c r="AB4" s="5"/>
      <c r="AC4" s="5"/>
      <c r="AD4" s="5"/>
    </row>
    <row r="5" spans="1:36">
      <c r="C5" s="426"/>
      <c r="D5" s="426"/>
      <c r="E5" s="759" t="str">
        <f>+'Introducerea datelor'!G4</f>
        <v>Consolidarea controlului tuberculozei și reducerea SIDA și a mortalității aferente în Republica Moldova</v>
      </c>
      <c r="F5" s="759"/>
      <c r="G5" s="759"/>
      <c r="H5" s="759"/>
      <c r="I5" s="759"/>
      <c r="J5" s="759"/>
      <c r="K5" s="759"/>
      <c r="L5" s="759"/>
      <c r="M5" s="759"/>
      <c r="N5" s="759"/>
      <c r="O5" s="759"/>
      <c r="Q5" s="426" t="str">
        <f>+'Introducerea datelor'!F16</f>
        <v>Pînă la:</v>
      </c>
      <c r="R5" s="601">
        <f>+IF(ISBLANK('Introducerea datelor'!G16),"",'Introducerea datelor'!G16)</f>
        <v>43281</v>
      </c>
      <c r="T5" s="5"/>
      <c r="U5" s="5"/>
      <c r="V5" s="5"/>
      <c r="W5" s="5"/>
      <c r="X5" s="5"/>
      <c r="Y5" s="5"/>
      <c r="Z5" s="5"/>
      <c r="AA5" s="5"/>
      <c r="AB5" s="5" t="s">
        <v>23</v>
      </c>
      <c r="AC5" s="5"/>
      <c r="AD5" s="5" t="s">
        <v>212</v>
      </c>
      <c r="AE5" s="5"/>
      <c r="AF5" s="5"/>
      <c r="AG5" s="5"/>
      <c r="AH5" s="602"/>
      <c r="AI5" s="602"/>
      <c r="AJ5" s="602"/>
    </row>
    <row r="6" spans="1:36" ht="18.75">
      <c r="C6" s="426"/>
      <c r="D6" s="426"/>
      <c r="E6" s="428"/>
      <c r="F6" s="428"/>
      <c r="G6" s="791" t="s">
        <v>386</v>
      </c>
      <c r="H6" s="791"/>
      <c r="I6" s="791"/>
      <c r="J6" s="791"/>
      <c r="K6" s="791"/>
      <c r="L6" s="791"/>
      <c r="M6" s="428"/>
      <c r="P6" s="123"/>
      <c r="Q6" s="144"/>
      <c r="T6" s="5"/>
      <c r="U6" s="5"/>
      <c r="V6" s="5"/>
      <c r="W6" s="5"/>
      <c r="X6" s="5"/>
      <c r="Y6" s="5"/>
      <c r="Z6" s="5"/>
      <c r="AA6" s="5"/>
      <c r="AB6" s="5"/>
      <c r="AC6" s="5"/>
      <c r="AD6" s="5"/>
      <c r="AE6" s="5"/>
      <c r="AF6" s="5"/>
      <c r="AG6" s="5"/>
      <c r="AH6" s="602"/>
      <c r="AI6" s="602"/>
      <c r="AJ6" s="602"/>
    </row>
    <row r="7" spans="1:36">
      <c r="C7" s="426"/>
      <c r="D7" s="426"/>
      <c r="E7" s="428"/>
      <c r="F7" s="428"/>
      <c r="G7" s="428"/>
      <c r="H7" s="428"/>
      <c r="I7" s="428"/>
      <c r="J7" s="428"/>
      <c r="K7" s="428"/>
      <c r="L7" s="428"/>
      <c r="M7" s="428"/>
      <c r="P7" s="123"/>
      <c r="Q7" s="122"/>
      <c r="R7" s="122"/>
      <c r="T7" s="5"/>
      <c r="U7" s="5"/>
      <c r="V7" s="5"/>
      <c r="W7" s="5"/>
      <c r="X7" s="5"/>
      <c r="Y7" s="5"/>
      <c r="Z7" s="5"/>
      <c r="AA7" s="5"/>
      <c r="AB7" s="5"/>
      <c r="AC7" s="5"/>
      <c r="AD7" s="5"/>
      <c r="AE7" s="5"/>
      <c r="AF7" s="5"/>
      <c r="AG7" s="5"/>
      <c r="AH7" s="602"/>
      <c r="AI7" s="602"/>
      <c r="AJ7" s="602"/>
    </row>
    <row r="8" spans="1:36" s="604" customFormat="1" ht="42" customHeight="1">
      <c r="A8" s="603"/>
      <c r="B8" s="407"/>
      <c r="D8" s="784" t="str">
        <f>+'Introducerea datelor'!B119</f>
        <v>TB I-3(M): Rata mortalităţii  - Numărul estimat de decese cauzate de TB (toate formele) pe an, la 100,000 persoane</v>
      </c>
      <c r="E8" s="784"/>
      <c r="F8" s="784"/>
      <c r="G8" s="605"/>
      <c r="H8" s="784" t="str">
        <f>+'Introducerea datelor'!B121</f>
        <v xml:space="preserve">TB I-4(M): Prevalența TB MDR printre cazurile noi de tuberculoză </v>
      </c>
      <c r="I8" s="784"/>
      <c r="J8" s="784"/>
      <c r="K8" s="784"/>
      <c r="L8" s="784"/>
      <c r="M8" s="606"/>
      <c r="N8" s="785" t="str">
        <f>+'Introducerea datelor'!B123</f>
        <v>HIV I-4: Mortalitatea asociată cu SIDA la 100,000 populaţie</v>
      </c>
      <c r="O8" s="785"/>
      <c r="P8" s="785"/>
      <c r="Q8" s="785"/>
      <c r="R8" s="785"/>
      <c r="T8" s="607"/>
      <c r="U8" s="607"/>
      <c r="V8" s="607"/>
      <c r="W8" s="607"/>
      <c r="X8" s="607"/>
      <c r="Y8" s="607"/>
      <c r="Z8" s="607"/>
      <c r="AA8" s="607"/>
      <c r="AB8" s="607"/>
      <c r="AC8" s="607"/>
      <c r="AD8" s="607"/>
      <c r="AE8" s="607"/>
      <c r="AF8" s="607"/>
      <c r="AG8" s="607"/>
    </row>
    <row r="9" spans="1:36" ht="144.75" customHeight="1">
      <c r="C9" s="608" t="s">
        <v>381</v>
      </c>
      <c r="D9" s="786" t="s">
        <v>511</v>
      </c>
      <c r="E9" s="789"/>
      <c r="F9" s="790"/>
      <c r="G9" s="609" t="s">
        <v>382</v>
      </c>
      <c r="H9" s="786" t="s">
        <v>512</v>
      </c>
      <c r="I9" s="789"/>
      <c r="J9" s="789"/>
      <c r="K9" s="789"/>
      <c r="L9" s="790"/>
      <c r="M9" s="609" t="s">
        <v>383</v>
      </c>
      <c r="N9" s="786" t="s">
        <v>530</v>
      </c>
      <c r="O9" s="787"/>
      <c r="P9" s="787"/>
      <c r="Q9" s="787"/>
      <c r="R9" s="788"/>
    </row>
    <row r="10" spans="1:36">
      <c r="C10" s="426"/>
      <c r="D10" s="426"/>
      <c r="E10" s="428"/>
      <c r="F10" s="428"/>
      <c r="G10" s="428"/>
      <c r="H10" s="428"/>
      <c r="I10" s="428"/>
      <c r="J10" s="428"/>
      <c r="K10" s="428"/>
      <c r="L10" s="428"/>
      <c r="M10" s="428"/>
      <c r="P10" s="123"/>
      <c r="Q10" s="122"/>
    </row>
    <row r="11" spans="1:36">
      <c r="C11" s="426"/>
      <c r="D11" s="426"/>
      <c r="E11" s="428"/>
      <c r="F11" s="428"/>
      <c r="G11" s="428"/>
      <c r="H11" s="428"/>
      <c r="I11" s="428"/>
      <c r="J11" s="428"/>
      <c r="K11" s="428"/>
      <c r="L11" s="428"/>
      <c r="M11" s="428"/>
      <c r="P11" s="123"/>
      <c r="Q11" s="122"/>
    </row>
    <row r="12" spans="1:36">
      <c r="C12" s="426"/>
      <c r="D12" s="426"/>
      <c r="E12" s="428"/>
      <c r="F12" s="428"/>
      <c r="G12" s="428"/>
      <c r="H12" s="428"/>
      <c r="I12" s="428"/>
      <c r="J12" s="428"/>
      <c r="K12" s="428"/>
      <c r="L12" s="428"/>
      <c r="M12" s="428"/>
      <c r="P12" s="123"/>
      <c r="Q12" s="122"/>
    </row>
    <row r="13" spans="1:36">
      <c r="C13" s="426"/>
      <c r="D13" s="426"/>
      <c r="E13" s="428"/>
      <c r="F13" s="428"/>
      <c r="G13" s="428"/>
      <c r="H13" s="428"/>
      <c r="I13" s="428"/>
      <c r="J13" s="428"/>
      <c r="K13" s="428"/>
      <c r="L13" s="428"/>
      <c r="M13" s="428"/>
      <c r="P13" s="123"/>
      <c r="Q13" s="122"/>
    </row>
    <row r="14" spans="1:36">
      <c r="C14" s="426"/>
      <c r="D14" s="426"/>
      <c r="E14" s="428"/>
      <c r="F14" s="428"/>
      <c r="G14" s="428"/>
      <c r="H14" s="428"/>
      <c r="I14" s="428"/>
      <c r="J14" s="428"/>
      <c r="K14" s="428"/>
      <c r="L14" s="428"/>
      <c r="M14" s="428"/>
      <c r="P14" s="123"/>
      <c r="Q14" s="122"/>
    </row>
    <row r="15" spans="1:36">
      <c r="C15" s="426"/>
      <c r="D15" s="426"/>
      <c r="E15" s="428"/>
      <c r="F15" s="428"/>
      <c r="G15" s="428"/>
      <c r="H15" s="428"/>
      <c r="I15" s="428"/>
      <c r="J15" s="428"/>
      <c r="K15" s="428"/>
      <c r="L15" s="428"/>
      <c r="M15" s="428"/>
      <c r="P15" s="123"/>
      <c r="Q15" s="122"/>
    </row>
    <row r="16" spans="1:36">
      <c r="C16" s="426"/>
      <c r="D16" s="426"/>
      <c r="E16" s="428"/>
      <c r="F16" s="428"/>
      <c r="G16" s="428"/>
      <c r="H16" s="428"/>
      <c r="I16" s="428"/>
      <c r="J16" s="428"/>
      <c r="K16" s="428"/>
      <c r="L16" s="428"/>
      <c r="M16" s="428"/>
      <c r="P16" s="123"/>
      <c r="Q16" s="122"/>
    </row>
    <row r="17" spans="1:36">
      <c r="C17" s="426"/>
      <c r="D17" s="426"/>
      <c r="E17" s="428"/>
      <c r="F17" s="428"/>
      <c r="G17" s="428"/>
      <c r="H17" s="428"/>
      <c r="I17" s="428"/>
      <c r="J17" s="428"/>
      <c r="K17" s="428"/>
      <c r="L17" s="428"/>
      <c r="M17" s="428"/>
      <c r="P17" s="123"/>
      <c r="Q17" s="122"/>
      <c r="T17" s="5"/>
      <c r="U17" s="5"/>
      <c r="V17" s="5"/>
      <c r="W17" s="5"/>
      <c r="X17" s="5"/>
      <c r="Y17" s="5"/>
      <c r="Z17" s="5"/>
      <c r="AA17" s="5"/>
      <c r="AB17" s="5"/>
      <c r="AC17" s="5"/>
      <c r="AD17" s="5"/>
      <c r="AE17" s="5"/>
      <c r="AF17" s="5"/>
      <c r="AG17" s="5"/>
      <c r="AH17" s="602"/>
      <c r="AI17" s="602"/>
      <c r="AJ17" s="602"/>
    </row>
    <row r="18" spans="1:36">
      <c r="A18" s="3"/>
      <c r="B18" s="3"/>
      <c r="F18" s="3"/>
      <c r="G18" s="3"/>
    </row>
    <row r="19" spans="1:36" s="604" customFormat="1" ht="50.25" customHeight="1">
      <c r="D19" s="784" t="str">
        <f>+'Introducerea datelor'!B125</f>
        <v xml:space="preserve">HIV I-9a (M): Procentul BSB care trăiesc cu HIV </v>
      </c>
      <c r="E19" s="784"/>
      <c r="F19" s="784"/>
      <c r="G19" s="605"/>
      <c r="H19" s="784" t="str">
        <f>+'Introducerea datelor'!B127</f>
        <v>HIV I-10 (M): Procentul LSC care trăiesc cu HIV</v>
      </c>
      <c r="I19" s="784"/>
      <c r="J19" s="784"/>
      <c r="K19" s="784"/>
      <c r="L19" s="784"/>
      <c r="M19" s="606"/>
      <c r="N19" s="785" t="str">
        <f>+'Introducerea datelor'!B129</f>
        <v>HIV I-11 (M): Procentul consumatorilor de droguri injectabile care trăiesc cu HIV</v>
      </c>
      <c r="O19" s="785"/>
      <c r="P19" s="785"/>
      <c r="Q19" s="785"/>
      <c r="R19" s="785"/>
      <c r="T19" s="607"/>
      <c r="U19" s="607"/>
      <c r="V19" s="607"/>
      <c r="W19" s="607"/>
      <c r="X19" s="607"/>
      <c r="Y19" s="607"/>
      <c r="Z19" s="607"/>
      <c r="AA19" s="607"/>
      <c r="AB19" s="607"/>
      <c r="AC19" s="607"/>
      <c r="AD19" s="607"/>
      <c r="AE19" s="607"/>
      <c r="AF19" s="607"/>
      <c r="AG19" s="607"/>
    </row>
    <row r="20" spans="1:36" ht="117.75" customHeight="1">
      <c r="A20" s="3"/>
      <c r="B20" s="3"/>
      <c r="C20" s="608" t="s">
        <v>381</v>
      </c>
      <c r="D20" s="786" t="s">
        <v>519</v>
      </c>
      <c r="E20" s="789"/>
      <c r="F20" s="790"/>
      <c r="G20" s="609" t="s">
        <v>382</v>
      </c>
      <c r="H20" s="786" t="s">
        <v>519</v>
      </c>
      <c r="I20" s="789"/>
      <c r="J20" s="789"/>
      <c r="K20" s="789"/>
      <c r="L20" s="790"/>
      <c r="M20" s="609" t="s">
        <v>383</v>
      </c>
      <c r="N20" s="786" t="s">
        <v>519</v>
      </c>
      <c r="O20" s="787"/>
      <c r="P20" s="787"/>
      <c r="Q20" s="787"/>
      <c r="R20" s="788"/>
    </row>
    <row r="21" spans="1:36">
      <c r="A21" s="3"/>
      <c r="B21" s="3"/>
      <c r="C21" s="426"/>
      <c r="D21" s="426"/>
      <c r="E21" s="428"/>
      <c r="F21" s="428"/>
      <c r="G21" s="428"/>
      <c r="H21" s="428"/>
      <c r="I21" s="428"/>
      <c r="J21" s="428"/>
      <c r="K21" s="428"/>
      <c r="L21" s="428"/>
      <c r="M21" s="428"/>
      <c r="P21" s="123"/>
      <c r="Q21" s="122"/>
    </row>
    <row r="22" spans="1:36">
      <c r="A22" s="3"/>
      <c r="B22" s="3"/>
      <c r="C22" s="426"/>
      <c r="D22" s="426"/>
      <c r="E22" s="428"/>
      <c r="F22" s="428"/>
      <c r="G22" s="428"/>
      <c r="H22" s="428"/>
      <c r="I22" s="428"/>
      <c r="J22" s="428"/>
      <c r="K22" s="428"/>
      <c r="L22" s="428"/>
      <c r="M22" s="428"/>
      <c r="P22" s="123"/>
      <c r="Q22" s="122"/>
    </row>
    <row r="23" spans="1:36">
      <c r="A23" s="3"/>
      <c r="B23" s="3"/>
      <c r="C23" s="426"/>
      <c r="D23" s="426"/>
      <c r="E23" s="428"/>
      <c r="F23" s="428"/>
      <c r="G23" s="428"/>
      <c r="H23" s="428"/>
      <c r="I23" s="428"/>
      <c r="J23" s="428"/>
      <c r="K23" s="428"/>
      <c r="L23" s="428"/>
      <c r="M23" s="428"/>
      <c r="P23" s="123"/>
      <c r="Q23" s="122"/>
    </row>
    <row r="24" spans="1:36">
      <c r="A24" s="3"/>
      <c r="B24" s="3"/>
      <c r="C24" s="426"/>
      <c r="D24" s="426"/>
      <c r="E24" s="428"/>
      <c r="F24" s="428"/>
      <c r="G24" s="428"/>
      <c r="H24" s="428"/>
      <c r="I24" s="428"/>
      <c r="J24" s="428"/>
      <c r="K24" s="428"/>
      <c r="L24" s="428"/>
      <c r="M24" s="428"/>
      <c r="P24" s="123"/>
      <c r="Q24" s="122"/>
    </row>
    <row r="25" spans="1:36">
      <c r="A25" s="3"/>
      <c r="B25" s="3"/>
      <c r="C25" s="426"/>
      <c r="D25" s="426"/>
      <c r="E25" s="428"/>
      <c r="F25" s="428"/>
      <c r="G25" s="428"/>
      <c r="H25" s="428"/>
      <c r="I25" s="428"/>
      <c r="J25" s="428"/>
      <c r="K25" s="428"/>
      <c r="L25" s="428"/>
      <c r="M25" s="428"/>
      <c r="P25" s="123"/>
      <c r="Q25" s="122"/>
    </row>
    <row r="26" spans="1:36">
      <c r="A26" s="3"/>
      <c r="B26" s="3"/>
      <c r="C26" s="426"/>
      <c r="D26" s="426"/>
      <c r="E26" s="428"/>
      <c r="F26" s="428"/>
      <c r="G26" s="428"/>
      <c r="H26" s="428"/>
      <c r="I26" s="428"/>
      <c r="J26" s="428"/>
      <c r="K26" s="428"/>
      <c r="L26" s="428"/>
      <c r="M26" s="428"/>
      <c r="P26" s="123"/>
      <c r="Q26" s="122"/>
    </row>
    <row r="27" spans="1:36">
      <c r="A27" s="3"/>
      <c r="B27" s="3"/>
      <c r="C27" s="426"/>
      <c r="D27" s="426"/>
      <c r="E27" s="428"/>
      <c r="F27" s="428"/>
      <c r="G27" s="428"/>
      <c r="H27" s="428"/>
      <c r="I27" s="428"/>
      <c r="J27" s="428"/>
      <c r="K27" s="428"/>
      <c r="L27" s="428"/>
      <c r="M27" s="428"/>
      <c r="P27" s="123"/>
      <c r="Q27" s="122"/>
    </row>
    <row r="28" spans="1:36">
      <c r="A28" s="3"/>
      <c r="B28" s="3"/>
      <c r="C28" s="426"/>
      <c r="D28" s="426"/>
      <c r="E28" s="428"/>
      <c r="F28" s="428"/>
      <c r="G28" s="428"/>
      <c r="H28" s="428"/>
      <c r="I28" s="428"/>
      <c r="J28" s="428"/>
      <c r="K28" s="428"/>
      <c r="L28" s="428"/>
      <c r="M28" s="428"/>
      <c r="P28" s="123"/>
      <c r="Q28" s="122"/>
    </row>
    <row r="29" spans="1:36">
      <c r="F29" s="3"/>
      <c r="G29" s="3"/>
      <c r="T29" s="5"/>
      <c r="U29" s="5"/>
      <c r="V29" s="5"/>
      <c r="W29" s="5"/>
      <c r="X29" s="5"/>
      <c r="Y29" s="5"/>
      <c r="Z29" s="5"/>
      <c r="AA29" s="5"/>
      <c r="AB29" s="5"/>
      <c r="AC29" s="5"/>
      <c r="AD29" s="5"/>
      <c r="AE29" s="5"/>
      <c r="AF29" s="5"/>
      <c r="AG29" s="5"/>
      <c r="AH29" s="602"/>
      <c r="AI29" s="602"/>
      <c r="AJ29" s="602"/>
    </row>
    <row r="30" spans="1:36">
      <c r="C30" s="426"/>
      <c r="D30" s="426"/>
      <c r="E30" s="428"/>
      <c r="F30" s="428"/>
      <c r="G30" s="428"/>
      <c r="H30" s="428"/>
      <c r="I30" s="428"/>
      <c r="J30" s="428"/>
      <c r="K30" s="428"/>
      <c r="L30" s="428"/>
      <c r="M30" s="428"/>
      <c r="P30" s="123"/>
      <c r="Q30" s="122"/>
      <c r="T30" s="5"/>
      <c r="U30" s="5"/>
      <c r="V30" s="5"/>
      <c r="W30" s="5"/>
      <c r="X30" s="5"/>
      <c r="Y30" s="5"/>
      <c r="Z30" s="5"/>
      <c r="AA30" s="5"/>
      <c r="AB30" s="5"/>
      <c r="AC30" s="5"/>
      <c r="AD30" s="5"/>
      <c r="AE30" s="5"/>
      <c r="AF30" s="5"/>
      <c r="AG30" s="5"/>
      <c r="AH30" s="602"/>
      <c r="AI30" s="602"/>
      <c r="AJ30" s="602"/>
    </row>
    <row r="31" spans="1:36">
      <c r="C31" s="426"/>
      <c r="D31" s="426"/>
      <c r="E31" s="428"/>
      <c r="F31" s="428"/>
      <c r="G31" s="428"/>
      <c r="H31" s="428"/>
      <c r="I31" s="428"/>
      <c r="J31" s="428"/>
      <c r="K31" s="428"/>
      <c r="L31" s="428"/>
      <c r="M31" s="428"/>
      <c r="P31" s="123"/>
      <c r="Q31" s="122"/>
      <c r="T31" s="5"/>
      <c r="U31" s="5"/>
      <c r="V31" s="5"/>
      <c r="W31" s="5"/>
      <c r="X31" s="5"/>
      <c r="Y31" s="5"/>
      <c r="Z31" s="5"/>
      <c r="AA31" s="5"/>
      <c r="AB31" s="5"/>
      <c r="AC31" s="5"/>
      <c r="AD31" s="5"/>
      <c r="AE31" s="5"/>
      <c r="AF31" s="5"/>
      <c r="AG31" s="5"/>
      <c r="AH31" s="602"/>
      <c r="AI31" s="602"/>
      <c r="AJ31" s="602"/>
    </row>
    <row r="32" spans="1:36">
      <c r="C32" s="426"/>
      <c r="D32" s="426"/>
      <c r="E32" s="428"/>
      <c r="F32" s="428"/>
      <c r="G32" s="428"/>
      <c r="H32" s="428"/>
      <c r="I32" s="428"/>
      <c r="J32" s="428"/>
      <c r="K32" s="428"/>
      <c r="L32" s="428"/>
      <c r="M32" s="428"/>
      <c r="P32" s="123"/>
      <c r="Q32" s="122"/>
      <c r="T32" s="5"/>
      <c r="U32" s="5"/>
      <c r="V32" s="5"/>
      <c r="W32" s="5"/>
      <c r="X32" s="5"/>
      <c r="Y32" s="5"/>
      <c r="Z32" s="5"/>
      <c r="AA32" s="5"/>
      <c r="AB32" s="5"/>
      <c r="AC32" s="5"/>
      <c r="AD32" s="5"/>
      <c r="AE32" s="5"/>
      <c r="AF32" s="5"/>
      <c r="AG32" s="5"/>
      <c r="AH32" s="602"/>
      <c r="AI32" s="602"/>
      <c r="AJ32" s="602"/>
    </row>
    <row r="33" spans="1:38" ht="18.75">
      <c r="C33" s="99"/>
      <c r="D33" s="426"/>
      <c r="E33" s="97"/>
      <c r="F33" s="802"/>
      <c r="G33" s="802"/>
      <c r="H33" s="802"/>
      <c r="I33" s="802"/>
      <c r="J33" s="802"/>
      <c r="K33" s="802"/>
      <c r="L33" s="802"/>
      <c r="T33" s="5"/>
      <c r="U33" s="5"/>
      <c r="V33" s="5"/>
      <c r="W33" s="5"/>
      <c r="X33" s="5"/>
      <c r="Y33" s="5"/>
      <c r="Z33" s="5"/>
      <c r="AA33" s="5"/>
      <c r="AB33" s="5"/>
      <c r="AC33" s="5"/>
      <c r="AD33" s="5"/>
      <c r="AE33" s="5"/>
      <c r="AF33" s="5"/>
      <c r="AG33" s="5"/>
      <c r="AH33" s="602"/>
      <c r="AI33" s="602"/>
      <c r="AJ33" s="602"/>
    </row>
    <row r="34" spans="1:38" ht="43.5" customHeight="1">
      <c r="C34" s="803" t="s">
        <v>384</v>
      </c>
      <c r="D34" s="803"/>
      <c r="E34" s="803"/>
      <c r="F34" s="429" t="s">
        <v>361</v>
      </c>
      <c r="G34" s="429" t="s">
        <v>362</v>
      </c>
      <c r="H34" s="809" t="s">
        <v>247</v>
      </c>
      <c r="I34" s="810"/>
      <c r="J34" s="811" t="s">
        <v>248</v>
      </c>
      <c r="K34" s="812"/>
      <c r="L34" s="184" t="s">
        <v>249</v>
      </c>
      <c r="M34" s="804" t="s">
        <v>385</v>
      </c>
      <c r="N34" s="805"/>
      <c r="O34" s="805"/>
      <c r="P34" s="805"/>
      <c r="Q34" s="805"/>
      <c r="R34" s="806"/>
      <c r="T34" s="610" t="s">
        <v>53</v>
      </c>
      <c r="U34" s="611">
        <v>0</v>
      </c>
      <c r="V34" s="612">
        <v>0.3</v>
      </c>
      <c r="W34" s="612">
        <v>0.6</v>
      </c>
      <c r="X34" s="612">
        <v>0.9</v>
      </c>
      <c r="Y34" s="612">
        <v>1</v>
      </c>
      <c r="Z34" s="613"/>
      <c r="AA34" s="613"/>
      <c r="AB34" s="610" t="s">
        <v>53</v>
      </c>
      <c r="AC34" s="611">
        <v>0</v>
      </c>
      <c r="AD34" s="612">
        <v>0.2</v>
      </c>
      <c r="AE34" s="612">
        <v>0.4</v>
      </c>
      <c r="AF34" s="612">
        <v>0.6</v>
      </c>
      <c r="AG34" s="612">
        <v>0.8</v>
      </c>
      <c r="AH34" s="613"/>
      <c r="AI34" s="613"/>
      <c r="AJ34" s="613"/>
      <c r="AK34" s="614"/>
      <c r="AL34" s="614"/>
    </row>
    <row r="35" spans="1:38" ht="107.25" customHeight="1">
      <c r="A35" s="615">
        <v>1</v>
      </c>
      <c r="B35" s="308" t="str">
        <f>VLOOKUP(A35,Table1[],2,0)</f>
        <v>Indicator de impact</v>
      </c>
      <c r="C35" s="794" t="str">
        <f>VLOOKUP(A35,Table1[],4,0)</f>
        <v>TB I-3(M): Rata mortalităţii  - Numărul estimat de decese cauzate de TB (toate formele) pe an, la 100,000 persoane</v>
      </c>
      <c r="D35" s="794"/>
      <c r="E35" s="794"/>
      <c r="F35" s="265">
        <f t="shared" ref="F35:F58" si="0">HLOOKUP($R$3,Indicatori,A35*2,0)</f>
        <v>8.6999999999999993</v>
      </c>
      <c r="G35" s="265">
        <f t="shared" ref="G35:G58" si="1">HLOOKUP($R$3,Indicatori,A35*2+1,0)</f>
        <v>7.94</v>
      </c>
      <c r="H35" s="795">
        <f>+IF(ISERROR(G35/F35),0,F35/G35)</f>
        <v>1.0957178841309823</v>
      </c>
      <c r="I35" s="796"/>
      <c r="J35" s="796"/>
      <c r="K35" s="796"/>
      <c r="L35" s="797"/>
      <c r="M35" s="798" t="s">
        <v>513</v>
      </c>
      <c r="N35" s="814"/>
      <c r="O35" s="814"/>
      <c r="P35" s="814"/>
      <c r="Q35" s="814"/>
      <c r="R35" s="815"/>
      <c r="S35" s="600"/>
      <c r="T35" s="610" t="s">
        <v>54</v>
      </c>
      <c r="U35" s="616">
        <v>0.3</v>
      </c>
      <c r="V35" s="612">
        <v>0.6</v>
      </c>
      <c r="W35" s="612">
        <v>0.9</v>
      </c>
      <c r="X35" s="612">
        <v>1</v>
      </c>
      <c r="Y35" s="612">
        <v>2</v>
      </c>
      <c r="Z35" s="613"/>
      <c r="AA35" s="613"/>
      <c r="AB35" s="610" t="s">
        <v>54</v>
      </c>
      <c r="AC35" s="616">
        <v>0.2</v>
      </c>
      <c r="AD35" s="612">
        <v>0.4</v>
      </c>
      <c r="AE35" s="612">
        <v>0.6</v>
      </c>
      <c r="AF35" s="612">
        <v>0.8</v>
      </c>
      <c r="AG35" s="612">
        <v>1</v>
      </c>
      <c r="AH35" s="613"/>
      <c r="AI35" s="613"/>
      <c r="AJ35" s="613"/>
      <c r="AK35" s="614"/>
      <c r="AL35" s="614"/>
    </row>
    <row r="36" spans="1:38" ht="78" customHeight="1">
      <c r="A36" s="615">
        <v>2</v>
      </c>
      <c r="B36" s="308" t="str">
        <f>VLOOKUP(A36,Table1[],2,0)</f>
        <v>Indicator de impact</v>
      </c>
      <c r="C36" s="794" t="str">
        <f>VLOOKUP(A36,Table1[],4,0)</f>
        <v xml:space="preserve">TB I-4(M): Prevalența TB MDR printre cazurile noi de tuberculoză </v>
      </c>
      <c r="D36" s="794"/>
      <c r="E36" s="794"/>
      <c r="F36" s="418">
        <f t="shared" si="0"/>
        <v>0.20499999999999999</v>
      </c>
      <c r="G36" s="418">
        <f t="shared" si="1"/>
        <v>0.26600000000000001</v>
      </c>
      <c r="H36" s="795">
        <f>+IF(ISERROR(F36/G36),0,F36/G36)</f>
        <v>0.77067669172932318</v>
      </c>
      <c r="I36" s="796"/>
      <c r="J36" s="796"/>
      <c r="K36" s="796"/>
      <c r="L36" s="797"/>
      <c r="M36" s="798" t="s">
        <v>514</v>
      </c>
      <c r="N36" s="816"/>
      <c r="O36" s="816"/>
      <c r="P36" s="816"/>
      <c r="Q36" s="816"/>
      <c r="R36" s="817"/>
      <c r="S36" s="600"/>
      <c r="T36" s="617"/>
      <c r="U36" s="618" t="str">
        <f>"de "&amp;U34&amp;" a "&amp;U35</f>
        <v>de 0 a 0,3</v>
      </c>
      <c r="V36" s="618" t="str">
        <f>"de "&amp;V34&amp;" a "&amp;V35</f>
        <v>de 0,3 a 0,6</v>
      </c>
      <c r="W36" s="618" t="str">
        <f>"de "&amp;W34&amp;" a "&amp;W35</f>
        <v>de 0,6 a 0,9</v>
      </c>
      <c r="X36" s="618" t="str">
        <f>"de "&amp;X34&amp;" a "&amp;X35</f>
        <v>de 0,9 a 1</v>
      </c>
      <c r="Y36" s="618" t="str">
        <f>"de "&amp;Y34&amp;" a "&amp;Y35</f>
        <v>de 1 a 2</v>
      </c>
      <c r="Z36" s="613"/>
      <c r="AA36" s="613" t="s">
        <v>213</v>
      </c>
      <c r="AB36" s="617" t="s">
        <v>212</v>
      </c>
      <c r="AC36" s="618" t="str">
        <f>"de "&amp;AC34&amp;" a "&amp;AC35</f>
        <v>de 0 a 0,2</v>
      </c>
      <c r="AD36" s="618" t="str">
        <f>"de "&amp;AD34&amp;" a "&amp;AD35</f>
        <v>de 0,2 a 0,4</v>
      </c>
      <c r="AE36" s="618" t="str">
        <f>"de "&amp;AE34&amp;" a "&amp;AE35</f>
        <v>de 0,4 a 0,6</v>
      </c>
      <c r="AF36" s="618" t="str">
        <f>"de "&amp;AF34&amp;" a "&amp;AF35</f>
        <v>de 0,6 a 0,8</v>
      </c>
      <c r="AG36" s="618" t="str">
        <f>"de "&amp;AG34&amp;" a "&amp;AG35</f>
        <v>de 0,8 a 1</v>
      </c>
      <c r="AH36" s="613"/>
      <c r="AI36" s="613"/>
      <c r="AJ36" s="613"/>
      <c r="AK36" s="614"/>
      <c r="AL36" s="614"/>
    </row>
    <row r="37" spans="1:38" ht="57.75" customHeight="1">
      <c r="A37" s="615">
        <v>3</v>
      </c>
      <c r="B37" s="308" t="str">
        <f>VLOOKUP(A37,Table1[],2,0)</f>
        <v>Indicator de impact</v>
      </c>
      <c r="C37" s="794" t="str">
        <f>VLOOKUP(A37,Table1[],4,0)</f>
        <v>HIV I-4: Mortalitatea asociată cu SIDA la 100,000 populaţie</v>
      </c>
      <c r="D37" s="794"/>
      <c r="E37" s="794"/>
      <c r="F37" s="418">
        <f t="shared" si="0"/>
        <v>3.0599999999999999E-2</v>
      </c>
      <c r="G37" s="418">
        <f t="shared" si="1"/>
        <v>3.5999999999999997E-2</v>
      </c>
      <c r="H37" s="795">
        <f>+IF(ISERROR(G37/F37),0,F37/G37)</f>
        <v>0.85</v>
      </c>
      <c r="I37" s="796"/>
      <c r="J37" s="796"/>
      <c r="K37" s="796"/>
      <c r="L37" s="797"/>
      <c r="M37" s="798" t="s">
        <v>531</v>
      </c>
      <c r="N37" s="799"/>
      <c r="O37" s="799"/>
      <c r="P37" s="799"/>
      <c r="Q37" s="799"/>
      <c r="R37" s="800"/>
      <c r="S37" s="600"/>
      <c r="T37" s="617"/>
      <c r="U37" s="612" t="e">
        <f t="shared" ref="U37:X53" si="2">IF($L35&gt;U$34,IF($L35&lt;=U$35,$L35,NA()),NA())</f>
        <v>#N/A</v>
      </c>
      <c r="V37" s="612" t="e">
        <f t="shared" si="2"/>
        <v>#N/A</v>
      </c>
      <c r="W37" s="612" t="e">
        <f t="shared" si="2"/>
        <v>#N/A</v>
      </c>
      <c r="X37" s="612" t="e">
        <f t="shared" si="2"/>
        <v>#N/A</v>
      </c>
      <c r="Y37" s="612" t="e">
        <f>IF($L35&gt;Y$34,IF($L35&lt;=Y$35,1,NA()),NA())</f>
        <v>#N/A</v>
      </c>
      <c r="Z37" s="613"/>
      <c r="AA37" s="619" t="e">
        <f>+'Detail despre Grant'!#REF!</f>
        <v>#REF!</v>
      </c>
      <c r="AB37" s="612" t="e">
        <f>+IF(AA37="A1",1,IF(AA37="A2",0.8,IF(AA37="B1",0.6,IF(AA37="B2",0.4,0.2))))</f>
        <v>#REF!</v>
      </c>
      <c r="AC37" s="612" t="e">
        <f>IF($AB37&gt;AC$34,IF($AB37&lt;=AC$35,$AB37,NA()),NA())</f>
        <v>#REF!</v>
      </c>
      <c r="AD37" s="612" t="e">
        <f t="shared" ref="AD37:AG47" si="3">IF($AB37&gt;AD$34,IF($AB37&lt;=AD$35,$AB37,NA()),NA())</f>
        <v>#REF!</v>
      </c>
      <c r="AE37" s="612" t="e">
        <f t="shared" si="3"/>
        <v>#REF!</v>
      </c>
      <c r="AF37" s="612" t="e">
        <f t="shared" si="3"/>
        <v>#REF!</v>
      </c>
      <c r="AG37" s="612" t="e">
        <f t="shared" si="3"/>
        <v>#REF!</v>
      </c>
      <c r="AH37" s="613"/>
      <c r="AI37" s="613"/>
      <c r="AJ37" s="613"/>
      <c r="AK37" s="614"/>
      <c r="AL37" s="614"/>
    </row>
    <row r="38" spans="1:38" ht="43.5" customHeight="1">
      <c r="A38" s="615">
        <v>4</v>
      </c>
      <c r="B38" s="308" t="str">
        <f>VLOOKUP(A38,Table1[],2,0)</f>
        <v>Indicator de impact</v>
      </c>
      <c r="C38" s="794" t="str">
        <f>VLOOKUP(A38,Table1[],4,0)</f>
        <v xml:space="preserve">HIV I-9a (M): Procentul BSB care trăiesc cu HIV </v>
      </c>
      <c r="D38" s="794"/>
      <c r="E38" s="794"/>
      <c r="F38" s="418" t="str">
        <f t="shared" si="0"/>
        <v>n/a</v>
      </c>
      <c r="G38" s="418" t="str">
        <f t="shared" si="1"/>
        <v>n/a</v>
      </c>
      <c r="H38" s="795">
        <f>+IF(ISERROR(F38/G38),0,G38/F38)</f>
        <v>0</v>
      </c>
      <c r="I38" s="796"/>
      <c r="J38" s="796"/>
      <c r="K38" s="796"/>
      <c r="L38" s="797"/>
      <c r="M38" s="798" t="s">
        <v>519</v>
      </c>
      <c r="N38" s="799"/>
      <c r="O38" s="799"/>
      <c r="P38" s="799"/>
      <c r="Q38" s="799"/>
      <c r="R38" s="800"/>
      <c r="S38" s="600"/>
      <c r="T38" s="617"/>
      <c r="U38" s="612"/>
      <c r="V38" s="612"/>
      <c r="W38" s="612"/>
      <c r="X38" s="612"/>
      <c r="Y38" s="612"/>
      <c r="Z38" s="613"/>
      <c r="AA38" s="619"/>
      <c r="AB38" s="612"/>
      <c r="AC38" s="612"/>
      <c r="AD38" s="612"/>
      <c r="AE38" s="612"/>
      <c r="AF38" s="612"/>
      <c r="AG38" s="612"/>
      <c r="AH38" s="613"/>
      <c r="AI38" s="613"/>
      <c r="AJ38" s="613"/>
      <c r="AK38" s="614"/>
      <c r="AL38" s="614"/>
    </row>
    <row r="39" spans="1:38" ht="43.5" customHeight="1">
      <c r="A39" s="615">
        <v>5</v>
      </c>
      <c r="B39" s="308" t="str">
        <f>VLOOKUP(A39,Table1[],2,0)</f>
        <v>Indicator de impact</v>
      </c>
      <c r="C39" s="794" t="str">
        <f>VLOOKUP(A39,Table1[],4,0)</f>
        <v>HIV I-10 (M): Procentul LSC care trăiesc cu HIV</v>
      </c>
      <c r="D39" s="794"/>
      <c r="E39" s="794"/>
      <c r="F39" s="418" t="str">
        <f t="shared" si="0"/>
        <v>n/a</v>
      </c>
      <c r="G39" s="418" t="str">
        <f t="shared" si="1"/>
        <v>n/a</v>
      </c>
      <c r="H39" s="795">
        <f t="shared" ref="H39:H45" si="4">+IF(ISERROR(F39/G39),0,G39/F39)</f>
        <v>0</v>
      </c>
      <c r="I39" s="796"/>
      <c r="J39" s="796"/>
      <c r="K39" s="796"/>
      <c r="L39" s="797"/>
      <c r="M39" s="798" t="s">
        <v>519</v>
      </c>
      <c r="N39" s="799"/>
      <c r="O39" s="799"/>
      <c r="P39" s="799"/>
      <c r="Q39" s="799"/>
      <c r="R39" s="800"/>
      <c r="S39" s="600"/>
      <c r="T39" s="617"/>
      <c r="U39" s="612"/>
      <c r="V39" s="612"/>
      <c r="W39" s="612"/>
      <c r="X39" s="612"/>
      <c r="Y39" s="612"/>
      <c r="Z39" s="613"/>
      <c r="AA39" s="619"/>
      <c r="AB39" s="612"/>
      <c r="AC39" s="612"/>
      <c r="AD39" s="612"/>
      <c r="AE39" s="612"/>
      <c r="AF39" s="612"/>
      <c r="AG39" s="612"/>
      <c r="AH39" s="613"/>
      <c r="AI39" s="613"/>
      <c r="AJ39" s="613"/>
      <c r="AK39" s="614"/>
      <c r="AL39" s="614"/>
    </row>
    <row r="40" spans="1:38" ht="43.5" customHeight="1">
      <c r="A40" s="615">
        <v>6</v>
      </c>
      <c r="B40" s="308" t="str">
        <f>VLOOKUP(A40,Table1[],2,0)</f>
        <v>Indicator de impact</v>
      </c>
      <c r="C40" s="794" t="str">
        <f>VLOOKUP(A40,Table1[],4,0)</f>
        <v>HIV I-11 (M): Procentul consumatorilor de droguri injectabile care trăiesc cu HIV</v>
      </c>
      <c r="D40" s="794"/>
      <c r="E40" s="794"/>
      <c r="F40" s="418" t="str">
        <f t="shared" si="0"/>
        <v>n/a</v>
      </c>
      <c r="G40" s="418" t="str">
        <f t="shared" si="1"/>
        <v>n/a</v>
      </c>
      <c r="H40" s="795">
        <f t="shared" si="4"/>
        <v>0</v>
      </c>
      <c r="I40" s="796"/>
      <c r="J40" s="796"/>
      <c r="K40" s="796"/>
      <c r="L40" s="797"/>
      <c r="M40" s="798" t="s">
        <v>519</v>
      </c>
      <c r="N40" s="799"/>
      <c r="O40" s="799"/>
      <c r="P40" s="799"/>
      <c r="Q40" s="799"/>
      <c r="R40" s="800"/>
      <c r="S40" s="600"/>
      <c r="T40" s="617"/>
      <c r="U40" s="612"/>
      <c r="V40" s="612"/>
      <c r="W40" s="612"/>
      <c r="X40" s="612"/>
      <c r="Y40" s="612"/>
      <c r="Z40" s="613"/>
      <c r="AA40" s="619"/>
      <c r="AB40" s="612"/>
      <c r="AC40" s="612"/>
      <c r="AD40" s="612"/>
      <c r="AE40" s="612"/>
      <c r="AF40" s="612"/>
      <c r="AG40" s="612"/>
      <c r="AH40" s="613"/>
      <c r="AI40" s="613"/>
      <c r="AJ40" s="613"/>
      <c r="AK40" s="614"/>
      <c r="AL40" s="614"/>
    </row>
    <row r="41" spans="1:38" ht="43.5" customHeight="1">
      <c r="A41" s="615">
        <v>7</v>
      </c>
      <c r="B41" s="308" t="str">
        <f>VLOOKUP(A41,Table1[],2,0)</f>
        <v>Indicator de rezultat</v>
      </c>
      <c r="C41" s="794" t="str">
        <f>VLOOKUP(A41,Table1[],4,0)</f>
        <v xml:space="preserve">TB O-4(M): Rata succesului tratamentului pacienților cu RR TB și/sau MDR-TB </v>
      </c>
      <c r="D41" s="794"/>
      <c r="E41" s="794"/>
      <c r="F41" s="417">
        <f t="shared" si="0"/>
        <v>0.65049999999999997</v>
      </c>
      <c r="G41" s="417">
        <f t="shared" si="1"/>
        <v>0.52629999999999999</v>
      </c>
      <c r="H41" s="795">
        <f>+IF(ISERROR(F41/G41),0,G41/F41)</f>
        <v>0.80906994619523442</v>
      </c>
      <c r="I41" s="796"/>
      <c r="J41" s="796"/>
      <c r="K41" s="796"/>
      <c r="L41" s="797"/>
      <c r="M41" s="798" t="s">
        <v>520</v>
      </c>
      <c r="N41" s="799"/>
      <c r="O41" s="799"/>
      <c r="P41" s="799"/>
      <c r="Q41" s="799"/>
      <c r="R41" s="800"/>
      <c r="S41" s="600"/>
      <c r="T41" s="620"/>
      <c r="U41" s="612"/>
      <c r="V41" s="612"/>
      <c r="W41" s="612"/>
      <c r="X41" s="612"/>
      <c r="Y41" s="612"/>
      <c r="Z41" s="613"/>
      <c r="AA41" s="619"/>
      <c r="AB41" s="612"/>
      <c r="AC41" s="612"/>
      <c r="AD41" s="612"/>
      <c r="AE41" s="612"/>
      <c r="AF41" s="612"/>
      <c r="AG41" s="621"/>
      <c r="AH41" s="17"/>
      <c r="AI41" s="17"/>
      <c r="AJ41" s="17"/>
    </row>
    <row r="42" spans="1:38" ht="72.75" customHeight="1">
      <c r="A42" s="615">
        <v>8</v>
      </c>
      <c r="B42" s="308" t="str">
        <f>VLOOKUP(A42,Table1[],2,0)</f>
        <v>Indicator de rezultat</v>
      </c>
      <c r="C42" s="794" t="str">
        <f>VLOOKUP(A42,Table1[],4,0)</f>
        <v>TB O-1a: Rata de notificare a cazurilor de tuberculoză (toate formele) per 100,000 populație</v>
      </c>
      <c r="D42" s="794"/>
      <c r="E42" s="794"/>
      <c r="F42" s="265">
        <f t="shared" si="0"/>
        <v>103.5</v>
      </c>
      <c r="G42" s="265">
        <f t="shared" si="1"/>
        <v>83.17</v>
      </c>
      <c r="H42" s="795">
        <f>+IF(ISERROR(G42/F42),0,F42/G42)</f>
        <v>1.2444391006372491</v>
      </c>
      <c r="I42" s="796"/>
      <c r="J42" s="796"/>
      <c r="K42" s="796"/>
      <c r="L42" s="797"/>
      <c r="M42" s="798" t="s">
        <v>521</v>
      </c>
      <c r="N42" s="799"/>
      <c r="O42" s="799"/>
      <c r="P42" s="799"/>
      <c r="Q42" s="799"/>
      <c r="R42" s="800"/>
      <c r="S42" s="600"/>
      <c r="T42" s="620"/>
      <c r="U42" s="612"/>
      <c r="V42" s="612"/>
      <c r="W42" s="612"/>
      <c r="X42" s="612"/>
      <c r="Y42" s="612"/>
      <c r="Z42" s="613"/>
      <c r="AA42" s="619"/>
      <c r="AB42" s="612"/>
      <c r="AC42" s="612"/>
      <c r="AD42" s="612"/>
      <c r="AE42" s="612"/>
      <c r="AF42" s="612"/>
      <c r="AG42" s="621"/>
      <c r="AH42" s="17"/>
      <c r="AI42" s="17"/>
      <c r="AJ42" s="17"/>
    </row>
    <row r="43" spans="1:38" ht="43.5" customHeight="1">
      <c r="A43" s="615">
        <v>9</v>
      </c>
      <c r="B43" s="308" t="str">
        <f>VLOOKUP(A43,Table1[],2,0)</f>
        <v>Indicator de rezultat</v>
      </c>
      <c r="C43" s="794" t="str">
        <f>VLOOKUP(A43,Table1[],4,0)</f>
        <v>TB O-5(M): Rata de acoperire cu tratament antituberculos</v>
      </c>
      <c r="D43" s="794"/>
      <c r="E43" s="794"/>
      <c r="F43" s="417" t="str">
        <f t="shared" si="0"/>
        <v>n/a</v>
      </c>
      <c r="G43" s="417" t="str">
        <f t="shared" si="1"/>
        <v>n/a</v>
      </c>
      <c r="H43" s="795">
        <f t="shared" si="4"/>
        <v>0</v>
      </c>
      <c r="I43" s="796"/>
      <c r="J43" s="796"/>
      <c r="K43" s="796"/>
      <c r="L43" s="797"/>
      <c r="M43" s="798" t="s">
        <v>522</v>
      </c>
      <c r="N43" s="799"/>
      <c r="O43" s="799"/>
      <c r="P43" s="799"/>
      <c r="Q43" s="799"/>
      <c r="R43" s="800"/>
      <c r="S43" s="600"/>
      <c r="T43" s="620"/>
      <c r="U43" s="612"/>
      <c r="V43" s="612"/>
      <c r="W43" s="612"/>
      <c r="X43" s="612"/>
      <c r="Y43" s="612"/>
      <c r="Z43" s="613"/>
      <c r="AA43" s="619"/>
      <c r="AB43" s="612"/>
      <c r="AC43" s="612"/>
      <c r="AD43" s="612"/>
      <c r="AE43" s="612"/>
      <c r="AF43" s="612"/>
      <c r="AG43" s="621"/>
      <c r="AH43" s="17"/>
      <c r="AI43" s="17"/>
      <c r="AJ43" s="17"/>
    </row>
    <row r="44" spans="1:38" ht="54" customHeight="1">
      <c r="A44" s="615">
        <v>10</v>
      </c>
      <c r="B44" s="308" t="str">
        <f>VLOOKUP(A44,Table1[],2,0)</f>
        <v>Indicator de rezultat</v>
      </c>
      <c r="C44" s="794" t="str">
        <f>VLOOKUP(A44,Table1[],4,0)</f>
        <v xml:space="preserve">HIV O-1 (M): Procentul adulţilor şi copiilor HIV infectaţi care se află în tratament 12 luni după iniţierea tratamentului antiretroviral </v>
      </c>
      <c r="D44" s="794"/>
      <c r="E44" s="794"/>
      <c r="F44" s="417">
        <f t="shared" si="0"/>
        <v>0.85</v>
      </c>
      <c r="G44" s="417">
        <f t="shared" si="1"/>
        <v>0.83299999999999996</v>
      </c>
      <c r="H44" s="795">
        <f t="shared" si="4"/>
        <v>0.98</v>
      </c>
      <c r="I44" s="796"/>
      <c r="J44" s="796"/>
      <c r="K44" s="796"/>
      <c r="L44" s="797"/>
      <c r="M44" s="798" t="s">
        <v>532</v>
      </c>
      <c r="N44" s="799"/>
      <c r="O44" s="799"/>
      <c r="P44" s="799"/>
      <c r="Q44" s="799"/>
      <c r="R44" s="800"/>
      <c r="S44" s="600"/>
      <c r="T44" s="620"/>
      <c r="U44" s="612"/>
      <c r="V44" s="612"/>
      <c r="W44" s="612"/>
      <c r="X44" s="612"/>
      <c r="Y44" s="612"/>
      <c r="Z44" s="613"/>
      <c r="AA44" s="619"/>
      <c r="AB44" s="612"/>
      <c r="AC44" s="612"/>
      <c r="AD44" s="612"/>
      <c r="AE44" s="612"/>
      <c r="AF44" s="612"/>
      <c r="AG44" s="621"/>
      <c r="AH44" s="17"/>
      <c r="AI44" s="17"/>
      <c r="AJ44" s="17"/>
    </row>
    <row r="45" spans="1:38" ht="43.5" customHeight="1">
      <c r="A45" s="615">
        <v>11</v>
      </c>
      <c r="B45" s="308" t="str">
        <f>VLOOKUP(A45,Table1[],2,0)</f>
        <v>Indicator de rezultat</v>
      </c>
      <c r="C45" s="794" t="str">
        <f>VLOOKUP(A45,Table1[],4,0)</f>
        <v>HIV O-4a (M): Procentul BSB care raportează utilizarea prezervativului în timpul ultimului act de sex anal cu partenerul de gen masculin</v>
      </c>
      <c r="D45" s="794"/>
      <c r="E45" s="794"/>
      <c r="F45" s="417" t="str">
        <f t="shared" si="0"/>
        <v>n/a</v>
      </c>
      <c r="G45" s="417" t="str">
        <f t="shared" si="1"/>
        <v>n/a</v>
      </c>
      <c r="H45" s="795">
        <f t="shared" si="4"/>
        <v>0</v>
      </c>
      <c r="I45" s="796"/>
      <c r="J45" s="796"/>
      <c r="K45" s="796"/>
      <c r="L45" s="797"/>
      <c r="M45" s="798" t="s">
        <v>519</v>
      </c>
      <c r="N45" s="799"/>
      <c r="O45" s="799"/>
      <c r="P45" s="799"/>
      <c r="Q45" s="799"/>
      <c r="R45" s="800"/>
      <c r="S45" s="600"/>
      <c r="T45" s="620"/>
      <c r="U45" s="612"/>
      <c r="V45" s="612"/>
      <c r="W45" s="612"/>
      <c r="X45" s="612"/>
      <c r="Y45" s="612"/>
      <c r="Z45" s="613"/>
      <c r="AA45" s="619"/>
      <c r="AB45" s="612"/>
      <c r="AC45" s="612"/>
      <c r="AD45" s="612"/>
      <c r="AE45" s="612"/>
      <c r="AF45" s="612"/>
      <c r="AG45" s="621"/>
      <c r="AH45" s="17"/>
      <c r="AI45" s="17"/>
      <c r="AJ45" s="17"/>
    </row>
    <row r="46" spans="1:38" ht="43.5" customHeight="1">
      <c r="A46" s="615">
        <v>12</v>
      </c>
      <c r="B46" s="308" t="str">
        <f>VLOOKUP(A46,Table1[],2,0)</f>
        <v>Indicator de rezultat</v>
      </c>
      <c r="C46" s="794" t="str">
        <f>VLOOKUP(A46,Table1[],4,0)</f>
        <v>HIV O-5 (M): Procentul LSC care raportează utilizarea prezervativului cu ultimul lor client</v>
      </c>
      <c r="D46" s="794"/>
      <c r="E46" s="794"/>
      <c r="F46" s="417" t="str">
        <f t="shared" si="0"/>
        <v>n/a</v>
      </c>
      <c r="G46" s="417" t="str">
        <f t="shared" si="1"/>
        <v>n/a</v>
      </c>
      <c r="H46" s="795">
        <f>+IF(ISERROR(G46/F46),0,G46/F46)</f>
        <v>0</v>
      </c>
      <c r="I46" s="796"/>
      <c r="J46" s="796"/>
      <c r="K46" s="796"/>
      <c r="L46" s="797"/>
      <c r="M46" s="798" t="s">
        <v>519</v>
      </c>
      <c r="N46" s="799"/>
      <c r="O46" s="799"/>
      <c r="P46" s="799"/>
      <c r="Q46" s="799"/>
      <c r="R46" s="800"/>
      <c r="S46" s="600"/>
      <c r="T46" s="620"/>
      <c r="U46" s="612" t="e">
        <f t="shared" ref="U46:X47" si="5">IF($L36&gt;U$34,IF($L36&lt;=U$35,$L36,NA()),NA())</f>
        <v>#N/A</v>
      </c>
      <c r="V46" s="612" t="e">
        <f t="shared" si="5"/>
        <v>#N/A</v>
      </c>
      <c r="W46" s="612" t="e">
        <f t="shared" si="5"/>
        <v>#N/A</v>
      </c>
      <c r="X46" s="612" t="e">
        <f t="shared" si="5"/>
        <v>#N/A</v>
      </c>
      <c r="Y46" s="612" t="e">
        <f>IF($L36&gt;Y$34,IF($L36&lt;=Y$35,1,1),NA())</f>
        <v>#N/A</v>
      </c>
      <c r="Z46" s="613"/>
      <c r="AA46" s="619" t="e">
        <f>+'Detail despre Grant'!#REF!</f>
        <v>#REF!</v>
      </c>
      <c r="AB46" s="612" t="e">
        <f>+IF(AA46="A1",1,IF(AA46="A2",0.8,IF(AA46="B1",0.6,IF(AA46="B2",0.4,0.2))))</f>
        <v>#REF!</v>
      </c>
      <c r="AC46" s="612" t="e">
        <f>IF($AB46&gt;AC$34,IF($AB46&lt;=AC$35,$AB46,NA()),NA())</f>
        <v>#REF!</v>
      </c>
      <c r="AD46" s="612" t="e">
        <f t="shared" si="3"/>
        <v>#REF!</v>
      </c>
      <c r="AE46" s="612" t="e">
        <f t="shared" si="3"/>
        <v>#REF!</v>
      </c>
      <c r="AF46" s="612" t="e">
        <f t="shared" si="3"/>
        <v>#REF!</v>
      </c>
      <c r="AG46" s="621" t="e">
        <f t="shared" si="3"/>
        <v>#REF!</v>
      </c>
      <c r="AH46" s="17"/>
      <c r="AI46" s="17"/>
      <c r="AJ46" s="17"/>
    </row>
    <row r="47" spans="1:38" ht="43.5" customHeight="1">
      <c r="A47" s="615">
        <v>13</v>
      </c>
      <c r="B47" s="308" t="str">
        <f>VLOOKUP(A47,Table1[],2,0)</f>
        <v>Indicator de rezultat</v>
      </c>
      <c r="C47" s="794" t="str">
        <f>VLOOKUP(A47,Table1[],4,0)</f>
        <v>HIV O-6 (M): Procentul consumatorilor de droguri injectabile care raportează utilizarea setului pentru injectare steril la ultima injectare</v>
      </c>
      <c r="D47" s="794"/>
      <c r="E47" s="794"/>
      <c r="F47" s="417" t="str">
        <f t="shared" si="0"/>
        <v>n/a</v>
      </c>
      <c r="G47" s="417" t="str">
        <f t="shared" si="1"/>
        <v>n/a</v>
      </c>
      <c r="H47" s="795">
        <f>+IF(ISERROR(G47/F47),0,G47/F47)</f>
        <v>0</v>
      </c>
      <c r="I47" s="796"/>
      <c r="J47" s="796"/>
      <c r="K47" s="796"/>
      <c r="L47" s="797"/>
      <c r="M47" s="798" t="s">
        <v>519</v>
      </c>
      <c r="N47" s="799"/>
      <c r="O47" s="799"/>
      <c r="P47" s="799"/>
      <c r="Q47" s="799"/>
      <c r="R47" s="800"/>
      <c r="S47" s="600"/>
      <c r="T47" s="620"/>
      <c r="U47" s="612" t="e">
        <f t="shared" si="5"/>
        <v>#N/A</v>
      </c>
      <c r="V47" s="612" t="e">
        <f t="shared" si="5"/>
        <v>#N/A</v>
      </c>
      <c r="W47" s="612" t="e">
        <f t="shared" si="5"/>
        <v>#N/A</v>
      </c>
      <c r="X47" s="612" t="e">
        <f t="shared" si="5"/>
        <v>#N/A</v>
      </c>
      <c r="Y47" s="612" t="e">
        <f>IF($L37&gt;Y$34,IF($L37&lt;=Y$35,1,NA()),NA())</f>
        <v>#N/A</v>
      </c>
      <c r="Z47" s="613"/>
      <c r="AA47" s="619" t="e">
        <f>+'Detail despre Grant'!#REF!</f>
        <v>#REF!</v>
      </c>
      <c r="AB47" s="612" t="e">
        <f>+IF(AA47="A1",1,IF(AA47="A2",0.8,IF(AA47="B1",0.6,IF(AA47="B2",0.4,0.2))))</f>
        <v>#REF!</v>
      </c>
      <c r="AC47" s="612" t="e">
        <f>IF($AB47&gt;AC$34,IF($AB47&lt;=AC$35,$AB47,NA()),NA())</f>
        <v>#REF!</v>
      </c>
      <c r="AD47" s="612" t="e">
        <f t="shared" si="3"/>
        <v>#REF!</v>
      </c>
      <c r="AE47" s="612" t="e">
        <f t="shared" si="3"/>
        <v>#REF!</v>
      </c>
      <c r="AF47" s="612" t="e">
        <f t="shared" si="3"/>
        <v>#REF!</v>
      </c>
      <c r="AG47" s="621" t="e">
        <f t="shared" si="3"/>
        <v>#REF!</v>
      </c>
      <c r="AH47" s="17"/>
      <c r="AI47" s="17"/>
      <c r="AJ47" s="17"/>
    </row>
    <row r="48" spans="1:38" ht="43.5" customHeight="1">
      <c r="A48" s="615">
        <v>14</v>
      </c>
      <c r="B48" s="308" t="str">
        <f>VLOOKUP(A48,Table1[],2,0)</f>
        <v>Indicator de proces</v>
      </c>
      <c r="C48" s="794" t="str">
        <f>VLOOKUP(A48,Table1[],4,0)</f>
        <v>MDR TB-2(M): Numărul cazurilor de TB DR (RR-TB și/sau MDR-TB), confirmate bacteriologic, notificate</v>
      </c>
      <c r="D48" s="794"/>
      <c r="E48" s="794"/>
      <c r="F48" s="265">
        <f t="shared" si="0"/>
        <v>535</v>
      </c>
      <c r="G48" s="265">
        <f t="shared" si="1"/>
        <v>376</v>
      </c>
      <c r="H48" s="795">
        <f>+IF(ISERROR(G48/F48),0,G48/F48)</f>
        <v>0.702803738317757</v>
      </c>
      <c r="I48" s="796"/>
      <c r="J48" s="796"/>
      <c r="K48" s="796"/>
      <c r="L48" s="797"/>
      <c r="M48" s="813" t="s">
        <v>523</v>
      </c>
      <c r="N48" s="813"/>
      <c r="O48" s="813"/>
      <c r="P48" s="813"/>
      <c r="Q48" s="813"/>
      <c r="R48" s="813"/>
      <c r="S48" s="600"/>
      <c r="T48" s="620"/>
      <c r="U48" s="612"/>
      <c r="V48" s="612"/>
      <c r="W48" s="612"/>
      <c r="X48" s="612"/>
      <c r="Y48" s="612"/>
      <c r="Z48" s="613"/>
      <c r="AA48" s="613"/>
      <c r="AB48" s="613"/>
      <c r="AC48" s="613"/>
      <c r="AD48" s="613"/>
      <c r="AE48" s="613"/>
      <c r="AF48" s="613"/>
      <c r="AG48" s="5"/>
      <c r="AH48" s="17"/>
      <c r="AI48" s="17"/>
      <c r="AJ48" s="17"/>
    </row>
    <row r="49" spans="1:36" ht="55.5" customHeight="1">
      <c r="A49" s="615">
        <v>15</v>
      </c>
      <c r="B49" s="308" t="str">
        <f>VLOOKUP(A49,Table1[],2,0)</f>
        <v>Indicator de proces</v>
      </c>
      <c r="C49" s="794" t="str">
        <f>VLOOKUP(A49,Table1[],4,0)</f>
        <v xml:space="preserve">MDR TB-3(M): Numărul cazurilor cu tuberculoză drog-rezistentă (RR-TB și/sau MDR-TB), confirmate bacteriologic, care au demarat tratamentul DOTS-Plus în perioada raportată                </v>
      </c>
      <c r="D49" s="794"/>
      <c r="E49" s="794"/>
      <c r="F49" s="265">
        <f t="shared" si="0"/>
        <v>531</v>
      </c>
      <c r="G49" s="265">
        <f t="shared" si="1"/>
        <v>485</v>
      </c>
      <c r="H49" s="795">
        <f>+IF(ISERROR(G49/F49),0,G49/F49)</f>
        <v>0.91337099811676081</v>
      </c>
      <c r="I49" s="796"/>
      <c r="J49" s="796"/>
      <c r="K49" s="796"/>
      <c r="L49" s="797"/>
      <c r="M49" s="807" t="s">
        <v>524</v>
      </c>
      <c r="N49" s="808"/>
      <c r="O49" s="808"/>
      <c r="P49" s="808"/>
      <c r="Q49" s="808"/>
      <c r="R49" s="808"/>
      <c r="S49" s="600"/>
      <c r="T49" s="620"/>
      <c r="U49" s="612" t="e">
        <f>IF($L47&gt;U$34,IF($L47&lt;=U$35,$L47,NA()),NA())</f>
        <v>#N/A</v>
      </c>
      <c r="V49" s="612" t="e">
        <f>IF($L47&gt;V$34,IF($L47&lt;=V$35,$L47,NA()),NA())</f>
        <v>#N/A</v>
      </c>
      <c r="W49" s="612" t="e">
        <f>IF($L47&gt;W$34,IF($L47&lt;=W$35,$L47,NA()),NA())</f>
        <v>#N/A</v>
      </c>
      <c r="X49" s="612" t="e">
        <f>IF($L47&gt;X$34,IF($L47&lt;=X$35,$L47,NA()),NA())</f>
        <v>#N/A</v>
      </c>
      <c r="Y49" s="612" t="e">
        <f>IF($L47&gt;Y$34,IF($L47&lt;=Y$35,1,NA()),NA())</f>
        <v>#N/A</v>
      </c>
      <c r="Z49" s="613"/>
      <c r="AA49" s="613"/>
      <c r="AB49" s="613"/>
      <c r="AC49" s="613"/>
      <c r="AD49" s="613"/>
      <c r="AE49" s="613"/>
      <c r="AF49" s="613"/>
      <c r="AG49" s="5"/>
      <c r="AH49" s="17"/>
      <c r="AI49" s="17"/>
      <c r="AJ49" s="17"/>
    </row>
    <row r="50" spans="1:36" ht="43.5" customHeight="1">
      <c r="A50" s="615">
        <v>16</v>
      </c>
      <c r="B50" s="308" t="str">
        <f>VLOOKUP(A50,Table1[],2,0)</f>
        <v>Indicator de proces</v>
      </c>
      <c r="C50" s="794" t="str">
        <f>VLOOKUP(A50,Table1[],4,0)</f>
        <v>MDR TB-4: Rezultatul interimar de abandon al tratamentului cazurilor MDR-TB</v>
      </c>
      <c r="D50" s="794"/>
      <c r="E50" s="794"/>
      <c r="F50" s="417">
        <f t="shared" si="0"/>
        <v>8.6999999999999994E-2</v>
      </c>
      <c r="G50" s="417">
        <f t="shared" si="1"/>
        <v>9.2700000000000005E-2</v>
      </c>
      <c r="H50" s="795">
        <f>+IF(ISERROR(G50/F50),0,F50/G50)</f>
        <v>0.93851132686084127</v>
      </c>
      <c r="I50" s="796"/>
      <c r="J50" s="796"/>
      <c r="K50" s="796"/>
      <c r="L50" s="797"/>
      <c r="M50" s="807" t="s">
        <v>525</v>
      </c>
      <c r="N50" s="808"/>
      <c r="O50" s="808"/>
      <c r="P50" s="808"/>
      <c r="Q50" s="808"/>
      <c r="R50" s="808"/>
      <c r="S50" s="600"/>
      <c r="T50" s="620"/>
      <c r="U50" s="612" t="e">
        <f>IF(#REF!&gt;U$34,IF(#REF!&lt;=U$35,#REF!,NA()),NA())</f>
        <v>#REF!</v>
      </c>
      <c r="V50" s="612" t="e">
        <f>IF(#REF!&gt;V$34,IF(#REF!&lt;=V$35,#REF!,NA()),NA())</f>
        <v>#REF!</v>
      </c>
      <c r="W50" s="612" t="e">
        <f>IF(#REF!&gt;W$34,IF(#REF!&lt;=W$35,#REF!,NA()),NA())</f>
        <v>#REF!</v>
      </c>
      <c r="X50" s="612" t="e">
        <f>IF(#REF!&gt;X$34,IF(#REF!&lt;=X$35,#REF!,NA()),NA())</f>
        <v>#REF!</v>
      </c>
      <c r="Y50" s="612" t="e">
        <f>IF(#REF!&gt;Y$34,IF(#REF!&lt;=Y$35,1,NA()),NA())</f>
        <v>#REF!</v>
      </c>
      <c r="Z50" s="613"/>
      <c r="AA50" s="613"/>
      <c r="AB50" s="613"/>
      <c r="AC50" s="613"/>
      <c r="AD50" s="613"/>
      <c r="AE50" s="613"/>
      <c r="AF50" s="613"/>
      <c r="AG50" s="5"/>
      <c r="AH50" s="17"/>
      <c r="AI50" s="17"/>
      <c r="AJ50" s="17"/>
    </row>
    <row r="51" spans="1:36" ht="43.5" customHeight="1">
      <c r="A51" s="615">
        <v>17</v>
      </c>
      <c r="B51" s="308" t="str">
        <f>VLOOKUP(A51,Table1[],2,0)</f>
        <v>Indicator de proces</v>
      </c>
      <c r="C51" s="794" t="str">
        <f>VLOOKUP(A51,Table1[],4,0)</f>
        <v>MDR TB-8: Numărul cazurilor de XDR TB incluși în tratament în perioada raportată</v>
      </c>
      <c r="D51" s="794"/>
      <c r="E51" s="794"/>
      <c r="F51" s="265" t="str">
        <f t="shared" si="0"/>
        <v>n/a</v>
      </c>
      <c r="G51" s="265" t="str">
        <f t="shared" si="1"/>
        <v>n/a</v>
      </c>
      <c r="H51" s="795">
        <f t="shared" ref="H51:H58" si="6">+IF(ISERROR(G51/F51),0,F51/G51)</f>
        <v>0</v>
      </c>
      <c r="I51" s="796"/>
      <c r="J51" s="796"/>
      <c r="K51" s="796"/>
      <c r="L51" s="797"/>
      <c r="M51" s="798" t="s">
        <v>522</v>
      </c>
      <c r="N51" s="799"/>
      <c r="O51" s="799"/>
      <c r="P51" s="799"/>
      <c r="Q51" s="799"/>
      <c r="R51" s="800"/>
      <c r="S51" s="600"/>
      <c r="T51" s="620"/>
      <c r="U51" s="612" t="e">
        <f>IF(#REF!&gt;U$34,IF(#REF!&lt;=U$35,#REF!,NA()),NA())</f>
        <v>#REF!</v>
      </c>
      <c r="V51" s="612" t="e">
        <f>IF(#REF!&gt;V$34,IF(#REF!&lt;=V$35,#REF!,NA()),NA())</f>
        <v>#REF!</v>
      </c>
      <c r="W51" s="612" t="e">
        <f>IF(#REF!&gt;W$34,IF(#REF!&lt;=W$35,#REF!,NA()),NA())</f>
        <v>#REF!</v>
      </c>
      <c r="X51" s="612" t="e">
        <f>IF(#REF!&gt;X$34,IF(#REF!&lt;=X$35,#REF!,NA()),NA())</f>
        <v>#REF!</v>
      </c>
      <c r="Y51" s="612" t="e">
        <f>IF(#REF!&gt;Y$34,IF(#REF!&lt;=Y$35,1,NA()),NA())</f>
        <v>#REF!</v>
      </c>
      <c r="Z51" s="613"/>
      <c r="AA51" s="613"/>
      <c r="AB51" s="613"/>
      <c r="AC51" s="613"/>
      <c r="AD51" s="613"/>
      <c r="AE51" s="613"/>
      <c r="AF51" s="613"/>
      <c r="AG51" s="5"/>
      <c r="AH51" s="17"/>
      <c r="AI51" s="17"/>
      <c r="AJ51" s="17"/>
    </row>
    <row r="52" spans="1:36" ht="68.25" customHeight="1">
      <c r="A52" s="615">
        <v>18</v>
      </c>
      <c r="B52" s="308" t="str">
        <f>VLOOKUP(A52,Table1[],2,0)</f>
        <v>Indicator de proces</v>
      </c>
      <c r="C52" s="794" t="str">
        <f>VLOOKUP(A52,Table1[],4,0)</f>
        <v xml:space="preserve">KP-1d(M): Procentul consumatorilor de droguri injectabile acoperiți de programele de prevenire HIV - pachet definit de servicii </v>
      </c>
      <c r="D52" s="794"/>
      <c r="E52" s="794"/>
      <c r="F52" s="265" t="str">
        <f t="shared" si="0"/>
        <v>n/a</v>
      </c>
      <c r="G52" s="265" t="str">
        <f t="shared" si="1"/>
        <v>n/a</v>
      </c>
      <c r="H52" s="795">
        <f t="shared" si="6"/>
        <v>0</v>
      </c>
      <c r="I52" s="796"/>
      <c r="J52" s="796"/>
      <c r="K52" s="796"/>
      <c r="L52" s="797"/>
      <c r="M52" s="807" t="s">
        <v>533</v>
      </c>
      <c r="N52" s="808"/>
      <c r="O52" s="808"/>
      <c r="P52" s="808"/>
      <c r="Q52" s="808"/>
      <c r="R52" s="808"/>
      <c r="S52" s="600"/>
      <c r="T52" s="620"/>
      <c r="U52" s="612" t="e">
        <f t="shared" si="2"/>
        <v>#N/A</v>
      </c>
      <c r="V52" s="612" t="e">
        <f t="shared" si="2"/>
        <v>#N/A</v>
      </c>
      <c r="W52" s="612" t="e">
        <f t="shared" si="2"/>
        <v>#N/A</v>
      </c>
      <c r="X52" s="612" t="e">
        <f t="shared" si="2"/>
        <v>#N/A</v>
      </c>
      <c r="Y52" s="612" t="e">
        <f t="shared" ref="Y52:Y53" si="7">IF($L50&gt;Y$34,IF($L50&lt;=Y$35,1,NA()),NA())</f>
        <v>#N/A</v>
      </c>
      <c r="Z52" s="613"/>
      <c r="AA52" s="613"/>
      <c r="AB52" s="613"/>
      <c r="AC52" s="613"/>
      <c r="AD52" s="613"/>
      <c r="AE52" s="613"/>
      <c r="AF52" s="613"/>
      <c r="AG52" s="5"/>
      <c r="AH52" s="17"/>
      <c r="AI52" s="17"/>
      <c r="AJ52" s="17"/>
    </row>
    <row r="53" spans="1:36" ht="68.25" customHeight="1">
      <c r="A53" s="615">
        <v>19</v>
      </c>
      <c r="B53" s="308" t="str">
        <f>VLOOKUP(A53,Table1[],2,0)</f>
        <v>Indicator de proces</v>
      </c>
      <c r="C53" s="794" t="str">
        <f>VLOOKUP(A53,Table1[],4,0)</f>
        <v>KP-3d(M): Procentul consumatorilor de droguri injectabile care au fost testați pentru HIV în perioada de raportare și își cunosc rezultatele</v>
      </c>
      <c r="D53" s="794"/>
      <c r="E53" s="794"/>
      <c r="F53" s="265" t="str">
        <f t="shared" si="0"/>
        <v>n/a</v>
      </c>
      <c r="G53" s="265" t="str">
        <f t="shared" si="1"/>
        <v>n/a</v>
      </c>
      <c r="H53" s="795">
        <f t="shared" si="6"/>
        <v>0</v>
      </c>
      <c r="I53" s="796"/>
      <c r="J53" s="796"/>
      <c r="K53" s="796"/>
      <c r="L53" s="797"/>
      <c r="M53" s="807" t="s">
        <v>534</v>
      </c>
      <c r="N53" s="808"/>
      <c r="O53" s="808"/>
      <c r="P53" s="808"/>
      <c r="Q53" s="808"/>
      <c r="R53" s="808"/>
      <c r="S53" s="600"/>
      <c r="T53" s="620"/>
      <c r="U53" s="612" t="e">
        <f t="shared" si="2"/>
        <v>#N/A</v>
      </c>
      <c r="V53" s="612" t="e">
        <f t="shared" si="2"/>
        <v>#N/A</v>
      </c>
      <c r="W53" s="612" t="e">
        <f t="shared" si="2"/>
        <v>#N/A</v>
      </c>
      <c r="X53" s="612" t="e">
        <f t="shared" si="2"/>
        <v>#N/A</v>
      </c>
      <c r="Y53" s="612" t="e">
        <f t="shared" si="7"/>
        <v>#N/A</v>
      </c>
      <c r="Z53" s="613"/>
      <c r="AA53" s="613"/>
      <c r="AB53" s="613"/>
      <c r="AC53" s="613"/>
      <c r="AD53" s="613"/>
      <c r="AE53" s="613"/>
      <c r="AF53" s="613"/>
      <c r="AG53" s="5"/>
      <c r="AH53" s="17"/>
      <c r="AI53" s="17"/>
      <c r="AJ53" s="17"/>
    </row>
    <row r="54" spans="1:36" ht="68.25" customHeight="1">
      <c r="A54" s="615">
        <v>20</v>
      </c>
      <c r="B54" s="308" t="str">
        <f>VLOOKUP(A54,Table1[],2,0)</f>
        <v>Indicator de proces</v>
      </c>
      <c r="C54" s="794" t="str">
        <f>VLOOKUP(A54,Table1[],4,0)</f>
        <v xml:space="preserve">KP-1c(M): Procentul LSC acoperiți de programele de prevenire HIV - pachet definit de servicii </v>
      </c>
      <c r="D54" s="794"/>
      <c r="E54" s="794"/>
      <c r="F54" s="265" t="str">
        <f t="shared" si="0"/>
        <v>n/a</v>
      </c>
      <c r="G54" s="265" t="str">
        <f t="shared" si="1"/>
        <v>n/a</v>
      </c>
      <c r="H54" s="795">
        <f t="shared" si="6"/>
        <v>0</v>
      </c>
      <c r="I54" s="796"/>
      <c r="J54" s="796"/>
      <c r="K54" s="796"/>
      <c r="L54" s="797"/>
      <c r="M54" s="807" t="s">
        <v>517</v>
      </c>
      <c r="N54" s="808"/>
      <c r="O54" s="808"/>
      <c r="P54" s="808"/>
      <c r="Q54" s="808"/>
      <c r="R54" s="808"/>
      <c r="S54" s="600"/>
      <c r="T54" s="5"/>
      <c r="U54" s="613"/>
      <c r="V54" s="613"/>
      <c r="W54" s="613"/>
      <c r="X54" s="613"/>
      <c r="Y54" s="613"/>
      <c r="Z54" s="613"/>
      <c r="AA54" s="613"/>
      <c r="AB54" s="613"/>
      <c r="AC54" s="613"/>
      <c r="AD54" s="613"/>
      <c r="AE54" s="613"/>
      <c r="AF54" s="613"/>
      <c r="AG54" s="5"/>
      <c r="AH54" s="17"/>
      <c r="AI54" s="17"/>
      <c r="AJ54" s="17"/>
    </row>
    <row r="55" spans="1:36" ht="68.25" customHeight="1">
      <c r="A55" s="615">
        <v>21</v>
      </c>
      <c r="B55" s="308" t="str">
        <f>VLOOKUP(A55,Table1[],2,0)</f>
        <v>Indicator de proces</v>
      </c>
      <c r="C55" s="794" t="str">
        <f>VLOOKUP(A55,Table1[],4,0)</f>
        <v>KP-3c(M): Procentul LSC care au fost testați pentru HIV în perioada de raportare și își cunosc rezultatele</v>
      </c>
      <c r="D55" s="794"/>
      <c r="E55" s="794"/>
      <c r="F55" s="265" t="str">
        <f t="shared" si="0"/>
        <v>n/a</v>
      </c>
      <c r="G55" s="265" t="str">
        <f t="shared" si="1"/>
        <v>n/a</v>
      </c>
      <c r="H55" s="795">
        <f t="shared" si="6"/>
        <v>0</v>
      </c>
      <c r="I55" s="796"/>
      <c r="J55" s="796"/>
      <c r="K55" s="796"/>
      <c r="L55" s="797"/>
      <c r="M55" s="807" t="s">
        <v>535</v>
      </c>
      <c r="N55" s="808"/>
      <c r="O55" s="808"/>
      <c r="P55" s="808"/>
      <c r="Q55" s="808"/>
      <c r="R55" s="808"/>
      <c r="S55" s="600"/>
      <c r="T55" s="5"/>
      <c r="U55" s="613"/>
      <c r="V55" s="613"/>
      <c r="W55" s="613"/>
      <c r="X55" s="613"/>
      <c r="Y55" s="613"/>
      <c r="Z55" s="613"/>
      <c r="AA55" s="613"/>
      <c r="AB55" s="613"/>
      <c r="AC55" s="613"/>
      <c r="AD55" s="613"/>
      <c r="AE55" s="613"/>
      <c r="AF55" s="613"/>
      <c r="AG55" s="5"/>
      <c r="AH55" s="17"/>
      <c r="AI55" s="17"/>
      <c r="AJ55" s="17"/>
    </row>
    <row r="56" spans="1:36" ht="68.25" customHeight="1">
      <c r="A56" s="615">
        <v>22</v>
      </c>
      <c r="B56" s="308" t="str">
        <f>VLOOKUP(A56,Table1[],2,0)</f>
        <v>Indicator de proces</v>
      </c>
      <c r="C56" s="794" t="str">
        <f>VLOOKUP(A56,Table1[],4,0)</f>
        <v xml:space="preserve">KP-1a(M): Procentul BSB acoperiți de programele de prevenire HIV - pachet definit de servicii </v>
      </c>
      <c r="D56" s="794"/>
      <c r="E56" s="794"/>
      <c r="F56" s="265" t="str">
        <f t="shared" si="0"/>
        <v>n/a</v>
      </c>
      <c r="G56" s="265" t="str">
        <f t="shared" si="1"/>
        <v>n/a</v>
      </c>
      <c r="H56" s="795">
        <f t="shared" si="6"/>
        <v>0</v>
      </c>
      <c r="I56" s="796"/>
      <c r="J56" s="796"/>
      <c r="K56" s="796"/>
      <c r="L56" s="797"/>
      <c r="M56" s="807" t="s">
        <v>518</v>
      </c>
      <c r="N56" s="808"/>
      <c r="O56" s="808"/>
      <c r="P56" s="808"/>
      <c r="Q56" s="808"/>
      <c r="R56" s="808"/>
      <c r="S56" s="600"/>
      <c r="T56" s="5"/>
      <c r="U56" s="613"/>
      <c r="V56" s="613"/>
      <c r="W56" s="613"/>
      <c r="X56" s="613"/>
      <c r="Y56" s="613"/>
      <c r="Z56" s="613"/>
      <c r="AA56" s="613"/>
      <c r="AB56" s="613"/>
      <c r="AC56" s="613"/>
      <c r="AD56" s="613"/>
      <c r="AE56" s="613"/>
      <c r="AF56" s="613"/>
      <c r="AG56" s="5"/>
      <c r="AH56" s="17"/>
      <c r="AI56" s="17"/>
      <c r="AJ56" s="17"/>
    </row>
    <row r="57" spans="1:36" ht="68.25" customHeight="1">
      <c r="A57" s="615">
        <v>23</v>
      </c>
      <c r="B57" s="308" t="str">
        <f>VLOOKUP(A57,Table1[],2,0)</f>
        <v>Indicator de proces</v>
      </c>
      <c r="C57" s="794" t="str">
        <f>VLOOKUP(A57,Table1[],4,0)</f>
        <v>KP-3a(M): Procentul BSB care au fost testați pentru HIV în perioada de raportare și își cunosc rezultatele</v>
      </c>
      <c r="D57" s="794"/>
      <c r="E57" s="794"/>
      <c r="F57" s="265" t="str">
        <f t="shared" si="0"/>
        <v>n/a</v>
      </c>
      <c r="G57" s="265" t="str">
        <f t="shared" si="1"/>
        <v>n/a</v>
      </c>
      <c r="H57" s="795">
        <f t="shared" si="6"/>
        <v>0</v>
      </c>
      <c r="I57" s="796"/>
      <c r="J57" s="796"/>
      <c r="K57" s="796"/>
      <c r="L57" s="797"/>
      <c r="M57" s="807" t="s">
        <v>536</v>
      </c>
      <c r="N57" s="808"/>
      <c r="O57" s="808"/>
      <c r="P57" s="808"/>
      <c r="Q57" s="808"/>
      <c r="R57" s="808"/>
      <c r="S57" s="600"/>
      <c r="T57" s="5"/>
      <c r="U57" s="613"/>
      <c r="V57" s="613"/>
      <c r="W57" s="613"/>
      <c r="X57" s="613"/>
      <c r="Y57" s="613"/>
      <c r="Z57" s="613"/>
      <c r="AA57" s="613"/>
      <c r="AB57" s="613"/>
      <c r="AC57" s="613"/>
      <c r="AD57" s="613"/>
      <c r="AE57" s="613"/>
      <c r="AF57" s="613"/>
      <c r="AG57" s="5"/>
      <c r="AH57" s="17"/>
      <c r="AI57" s="17"/>
      <c r="AJ57" s="17"/>
    </row>
    <row r="58" spans="1:36" ht="145.5" customHeight="1">
      <c r="A58" s="615">
        <v>24</v>
      </c>
      <c r="B58" s="308" t="str">
        <f>VLOOKUP(A58,Table1[],2,0)</f>
        <v>Indicator de proces</v>
      </c>
      <c r="C58" s="794" t="str">
        <f>VLOOKUP(A58,Table1[],4,0)</f>
        <v xml:space="preserve">TCS-1 (M): Procentul adulţilor şi copiilor care trăiesc cu HIV și urmează tratament antiretroviral </v>
      </c>
      <c r="D58" s="794"/>
      <c r="E58" s="794"/>
      <c r="F58" s="265" t="str">
        <f t="shared" si="0"/>
        <v>n/a</v>
      </c>
      <c r="G58" s="265" t="str">
        <f t="shared" si="1"/>
        <v>n/a</v>
      </c>
      <c r="H58" s="795">
        <f t="shared" si="6"/>
        <v>0</v>
      </c>
      <c r="I58" s="796"/>
      <c r="J58" s="796"/>
      <c r="K58" s="796"/>
      <c r="L58" s="797"/>
      <c r="M58" s="807" t="s">
        <v>516</v>
      </c>
      <c r="N58" s="808"/>
      <c r="O58" s="808"/>
      <c r="P58" s="808"/>
      <c r="Q58" s="808"/>
      <c r="R58" s="808"/>
      <c r="S58" s="622"/>
      <c r="T58" s="5"/>
      <c r="U58" s="613"/>
      <c r="V58" s="613"/>
      <c r="W58" s="613"/>
      <c r="X58" s="613"/>
      <c r="Y58" s="613"/>
      <c r="Z58" s="613"/>
      <c r="AA58" s="613"/>
      <c r="AB58" s="613"/>
      <c r="AC58" s="613"/>
      <c r="AD58" s="613"/>
      <c r="AE58" s="613"/>
      <c r="AF58" s="613"/>
      <c r="AG58" s="5"/>
      <c r="AH58" s="17"/>
      <c r="AI58" s="17"/>
      <c r="AJ58" s="17"/>
    </row>
    <row r="59" spans="1:36">
      <c r="A59" s="615"/>
      <c r="T59" s="5"/>
      <c r="U59" s="613"/>
      <c r="V59" s="613"/>
      <c r="W59" s="613"/>
      <c r="X59" s="613"/>
      <c r="Y59" s="613"/>
      <c r="Z59" s="613"/>
      <c r="AA59" s="613"/>
      <c r="AB59" s="613"/>
      <c r="AC59" s="613"/>
      <c r="AD59" s="613"/>
      <c r="AE59" s="613"/>
      <c r="AF59" s="613"/>
      <c r="AG59" s="5"/>
      <c r="AH59" s="17"/>
      <c r="AI59" s="17"/>
      <c r="AJ59" s="17"/>
    </row>
    <row r="60" spans="1:36">
      <c r="T60" s="5"/>
      <c r="U60" s="613"/>
      <c r="V60" s="613"/>
      <c r="W60" s="613"/>
      <c r="X60" s="613"/>
      <c r="Y60" s="613"/>
      <c r="Z60" s="613"/>
      <c r="AA60" s="613"/>
      <c r="AB60" s="613"/>
      <c r="AC60" s="613"/>
      <c r="AD60" s="613"/>
      <c r="AE60" s="613"/>
      <c r="AF60" s="613"/>
      <c r="AG60" s="5"/>
      <c r="AH60" s="17"/>
      <c r="AI60" s="17"/>
      <c r="AJ60" s="17"/>
    </row>
    <row r="61" spans="1:36">
      <c r="T61" s="5"/>
      <c r="U61" s="613"/>
      <c r="V61" s="613"/>
      <c r="W61" s="613"/>
      <c r="X61" s="613"/>
      <c r="Y61" s="613"/>
      <c r="Z61" s="613"/>
      <c r="AA61" s="613"/>
      <c r="AB61" s="613"/>
      <c r="AC61" s="613"/>
      <c r="AD61" s="614"/>
      <c r="AE61" s="614"/>
      <c r="AF61" s="614"/>
    </row>
    <row r="62" spans="1:36">
      <c r="T62" s="5"/>
      <c r="U62" s="613"/>
      <c r="V62" s="613"/>
      <c r="W62" s="613"/>
      <c r="X62" s="613"/>
      <c r="Y62" s="613"/>
      <c r="Z62" s="613"/>
      <c r="AA62" s="613"/>
      <c r="AB62" s="613"/>
      <c r="AC62" s="613"/>
      <c r="AD62" s="614"/>
      <c r="AE62" s="614"/>
      <c r="AF62" s="614"/>
    </row>
    <row r="63" spans="1:36">
      <c r="T63" s="5"/>
      <c r="U63" s="613"/>
      <c r="V63" s="613"/>
      <c r="W63" s="613"/>
      <c r="X63" s="613"/>
      <c r="Y63" s="613"/>
      <c r="Z63" s="613"/>
      <c r="AA63" s="613"/>
      <c r="AB63" s="613"/>
      <c r="AC63" s="613"/>
      <c r="AD63" s="614"/>
      <c r="AE63" s="614"/>
      <c r="AF63" s="614"/>
    </row>
    <row r="64" spans="1:36">
      <c r="T64" s="5"/>
      <c r="U64" s="613"/>
      <c r="V64" s="613"/>
      <c r="W64" s="613"/>
      <c r="X64" s="613"/>
      <c r="Y64" s="613"/>
      <c r="Z64" s="613"/>
      <c r="AA64" s="613"/>
      <c r="AB64" s="613"/>
      <c r="AC64" s="613"/>
      <c r="AD64" s="614"/>
      <c r="AE64" s="614"/>
      <c r="AF64" s="614"/>
    </row>
    <row r="65" spans="20:32">
      <c r="T65" s="5"/>
      <c r="U65" s="613"/>
      <c r="V65" s="613"/>
      <c r="W65" s="613"/>
      <c r="X65" s="613"/>
      <c r="Y65" s="613"/>
      <c r="Z65" s="613"/>
      <c r="AA65" s="613"/>
      <c r="AB65" s="613"/>
      <c r="AC65" s="613"/>
      <c r="AD65" s="614"/>
      <c r="AE65" s="614"/>
      <c r="AF65" s="614"/>
    </row>
  </sheetData>
  <mergeCells count="97">
    <mergeCell ref="C58:E58"/>
    <mergeCell ref="H58:L58"/>
    <mergeCell ref="M58:R58"/>
    <mergeCell ref="C56:E56"/>
    <mergeCell ref="H56:L56"/>
    <mergeCell ref="M56:R56"/>
    <mergeCell ref="C57:E57"/>
    <mergeCell ref="H57:L57"/>
    <mergeCell ref="M57:R57"/>
    <mergeCell ref="C54:E54"/>
    <mergeCell ref="H54:L54"/>
    <mergeCell ref="M54:R54"/>
    <mergeCell ref="C55:E55"/>
    <mergeCell ref="H55:L55"/>
    <mergeCell ref="M55:R55"/>
    <mergeCell ref="C52:E52"/>
    <mergeCell ref="H52:L52"/>
    <mergeCell ref="M52:R52"/>
    <mergeCell ref="C53:E53"/>
    <mergeCell ref="H53:L53"/>
    <mergeCell ref="M53:R53"/>
    <mergeCell ref="H50:L50"/>
    <mergeCell ref="M50:R50"/>
    <mergeCell ref="C51:E51"/>
    <mergeCell ref="H51:L51"/>
    <mergeCell ref="M51:R51"/>
    <mergeCell ref="C50:E50"/>
    <mergeCell ref="M34:R34"/>
    <mergeCell ref="M49:R49"/>
    <mergeCell ref="H37:L37"/>
    <mergeCell ref="H34:I34"/>
    <mergeCell ref="J34:K34"/>
    <mergeCell ref="M48:R48"/>
    <mergeCell ref="M35:R35"/>
    <mergeCell ref="M36:R36"/>
    <mergeCell ref="M37:R37"/>
    <mergeCell ref="M46:R46"/>
    <mergeCell ref="M47:R47"/>
    <mergeCell ref="C46:E46"/>
    <mergeCell ref="C47:E47"/>
    <mergeCell ref="H46:L46"/>
    <mergeCell ref="H47:L47"/>
    <mergeCell ref="H49:L49"/>
    <mergeCell ref="H48:L48"/>
    <mergeCell ref="C48:E48"/>
    <mergeCell ref="C49:E49"/>
    <mergeCell ref="C37:E37"/>
    <mergeCell ref="H36:L36"/>
    <mergeCell ref="C36:E36"/>
    <mergeCell ref="N9:R9"/>
    <mergeCell ref="D3:E3"/>
    <mergeCell ref="F4:M4"/>
    <mergeCell ref="O3:Q3"/>
    <mergeCell ref="N8:R8"/>
    <mergeCell ref="H8:L8"/>
    <mergeCell ref="D8:F8"/>
    <mergeCell ref="D9:F9"/>
    <mergeCell ref="H9:L9"/>
    <mergeCell ref="F33:L33"/>
    <mergeCell ref="C34:E34"/>
    <mergeCell ref="C35:E35"/>
    <mergeCell ref="H35:L35"/>
    <mergeCell ref="C38:E38"/>
    <mergeCell ref="H38:L38"/>
    <mergeCell ref="M38:R38"/>
    <mergeCell ref="C39:E39"/>
    <mergeCell ref="H39:L39"/>
    <mergeCell ref="M39:R39"/>
    <mergeCell ref="C40:E40"/>
    <mergeCell ref="H40:L40"/>
    <mergeCell ref="M40:R40"/>
    <mergeCell ref="C41:E41"/>
    <mergeCell ref="H41:L41"/>
    <mergeCell ref="M41:R41"/>
    <mergeCell ref="C42:E42"/>
    <mergeCell ref="H42:L42"/>
    <mergeCell ref="M42:R42"/>
    <mergeCell ref="C43:E43"/>
    <mergeCell ref="H43:L43"/>
    <mergeCell ref="M43:R43"/>
    <mergeCell ref="C44:E44"/>
    <mergeCell ref="H44:L44"/>
    <mergeCell ref="M44:R44"/>
    <mergeCell ref="C45:E45"/>
    <mergeCell ref="H45:L45"/>
    <mergeCell ref="M45:R45"/>
    <mergeCell ref="D19:F19"/>
    <mergeCell ref="H19:L19"/>
    <mergeCell ref="N19:R19"/>
    <mergeCell ref="N20:R20"/>
    <mergeCell ref="C2:AD2"/>
    <mergeCell ref="D20:F20"/>
    <mergeCell ref="H20:L20"/>
    <mergeCell ref="E5:O5"/>
    <mergeCell ref="G6:L6"/>
    <mergeCell ref="F3:L3"/>
    <mergeCell ref="D4:E4"/>
  </mergeCells>
  <phoneticPr fontId="23" type="noConversion"/>
  <conditionalFormatting sqref="D4:E4">
    <cfRule type="cellIs" dxfId="28" priority="68" stopIfTrue="1" operator="equal">
      <formula>"C"</formula>
    </cfRule>
    <cfRule type="cellIs" dxfId="27" priority="69" stopIfTrue="1" operator="equal">
      <formula>"B2"</formula>
    </cfRule>
    <cfRule type="cellIs" dxfId="26" priority="70" stopIfTrue="1" operator="equal">
      <formula>"B1"</formula>
    </cfRule>
  </conditionalFormatting>
  <conditionalFormatting sqref="H35:H36 H38:H41 H43:H58">
    <cfRule type="cellIs" dxfId="25" priority="74" stopIfTrue="1" operator="between">
      <formula>0.000001</formula>
      <formula>0.599</formula>
    </cfRule>
    <cfRule type="cellIs" dxfId="24" priority="75" stopIfTrue="1" operator="between">
      <formula>0.6</formula>
      <formula>0.899</formula>
    </cfRule>
    <cfRule type="cellIs" dxfId="23" priority="76" stopIfTrue="1" operator="greaterThanOrEqual">
      <formula>0.9</formula>
    </cfRule>
  </conditionalFormatting>
  <conditionalFormatting sqref="H42">
    <cfRule type="cellIs" dxfId="22" priority="4" stopIfTrue="1" operator="between">
      <formula>0.000001</formula>
      <formula>0.599</formula>
    </cfRule>
    <cfRule type="cellIs" dxfId="21" priority="5" stopIfTrue="1" operator="between">
      <formula>0.6</formula>
      <formula>0.899</formula>
    </cfRule>
    <cfRule type="cellIs" dxfId="20" priority="6" stopIfTrue="1" operator="greaterThanOrEqual">
      <formula>0.9</formula>
    </cfRule>
  </conditionalFormatting>
  <conditionalFormatting sqref="H37">
    <cfRule type="cellIs" dxfId="19" priority="1" stopIfTrue="1" operator="between">
      <formula>0.000001</formula>
      <formula>0.599</formula>
    </cfRule>
    <cfRule type="cellIs" dxfId="18" priority="2" stopIfTrue="1" operator="between">
      <formula>0.6</formula>
      <formula>0.899</formula>
    </cfRule>
    <cfRule type="cellIs" dxfId="17" priority="3" stopIfTrue="1" operator="greaterThanOrEqual">
      <formula>0.9</formula>
    </cfRule>
  </conditionalFormatting>
  <pageMargins left="0.70866141732283472" right="0.70866141732283472" top="0.74803149606299213" bottom="0.74803149606299213" header="0.31496062992125984" footer="0.31496062992125984"/>
  <pageSetup paperSize="256" scale="46" fitToHeight="0" orientation="portrait" r:id="rId1"/>
  <headerFooter alignWithMargins="0">
    <oddFooter>&amp;L&amp;F&amp;C&amp;A&amp;RV1.0          &amp;D</oddFooter>
  </headerFooter>
  <rowBreaks count="1" manualBreakCount="1">
    <brk id="49" min="1" max="1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indexed="27"/>
    <pageSetUpPr fitToPage="1"/>
  </sheetPr>
  <dimension ref="A1:T39"/>
  <sheetViews>
    <sheetView showGridLines="0" view="pageBreakPreview" topLeftCell="A44" zoomScale="75" zoomScaleNormal="90" zoomScaleSheetLayoutView="75" workbookViewId="0">
      <selection activeCell="S12" sqref="S12"/>
    </sheetView>
  </sheetViews>
  <sheetFormatPr defaultRowHeight="11.25"/>
  <cols>
    <col min="1" max="1" width="1.140625" style="24" customWidth="1"/>
    <col min="2" max="2" width="19.28515625" style="24" customWidth="1"/>
    <col min="3" max="3" width="1.140625" style="24" customWidth="1"/>
    <col min="4" max="4" width="17.140625" style="24" customWidth="1"/>
    <col min="5" max="5" width="17.5703125" style="24" customWidth="1"/>
    <col min="6" max="6" width="9.7109375" style="24" customWidth="1"/>
    <col min="7" max="7" width="38.140625" style="24" customWidth="1"/>
    <col min="8" max="8" width="4.28515625" style="24" customWidth="1"/>
    <col min="9" max="9" width="15.85546875" style="24" customWidth="1"/>
    <col min="10" max="10" width="3.5703125" style="24" customWidth="1"/>
    <col min="11" max="11" width="7.5703125" style="25" customWidth="1"/>
    <col min="12" max="12" width="14.28515625" style="24" customWidth="1"/>
    <col min="13" max="13" width="12" style="24" customWidth="1"/>
    <col min="14" max="14" width="5.42578125" style="24" customWidth="1"/>
    <col min="15" max="15" width="2.5703125" style="24" customWidth="1"/>
    <col min="16" max="16384" width="9.140625" style="24"/>
  </cols>
  <sheetData>
    <row r="1" spans="1:15" ht="38.25" customHeight="1">
      <c r="A1" s="106"/>
      <c r="B1" s="106"/>
      <c r="C1" s="106"/>
      <c r="D1" s="106"/>
      <c r="E1" s="106"/>
      <c r="F1" s="106"/>
      <c r="G1" s="106"/>
      <c r="H1" s="106"/>
      <c r="I1" s="106"/>
      <c r="J1" s="106"/>
      <c r="K1" s="107"/>
      <c r="L1" s="106"/>
      <c r="M1" s="106"/>
      <c r="N1" s="106"/>
    </row>
    <row r="2" spans="1:15" customFormat="1" ht="27.75" customHeight="1">
      <c r="A2" s="3"/>
      <c r="B2" s="756" t="str">
        <f>+"Tabel Programatic de evaluare:  "&amp;"  "&amp;IF(+'Introducerea datelor'!C4="Please Select","",'Introducerea datelor'!C4&amp;" - ")&amp;IF('Introducerea datelor'!G6="Please Select","",'Introducerea datelor'!G6)</f>
        <v>Tabel Programatic de evaluare:    Moldova - HIVAIDS / TB</v>
      </c>
      <c r="C2" s="756"/>
      <c r="D2" s="756"/>
      <c r="E2" s="756"/>
      <c r="F2" s="756"/>
      <c r="G2" s="756"/>
      <c r="H2" s="756"/>
      <c r="I2" s="756"/>
      <c r="J2" s="756"/>
      <c r="K2" s="756"/>
      <c r="L2" s="756"/>
      <c r="M2" s="756"/>
      <c r="N2" s="756"/>
      <c r="O2" s="47"/>
    </row>
    <row r="3" spans="1:15" customFormat="1" ht="18.75">
      <c r="A3" s="3"/>
      <c r="B3" s="96" t="str">
        <f>+IF('Introducerea datelor'!G8="Please Select","",'Introducerea datelor'!G8)</f>
        <v/>
      </c>
      <c r="C3" s="761" t="str">
        <f>+IF('Introducerea datelor'!I8="Please Select","",'Introducerea datelor'!I8)</f>
        <v>Period 1</v>
      </c>
      <c r="D3" s="761"/>
      <c r="E3" s="233"/>
      <c r="F3" s="233"/>
      <c r="G3" s="233"/>
      <c r="H3" s="233"/>
      <c r="I3" s="233"/>
      <c r="J3" s="233"/>
      <c r="K3" s="233"/>
      <c r="L3" s="96" t="str">
        <f>+'Introducerea datelor'!B16</f>
        <v>Perioada de Raportare:</v>
      </c>
      <c r="M3" s="121" t="str">
        <f>+'Introducerea datelor'!C16</f>
        <v>P1</v>
      </c>
      <c r="N3" s="121"/>
      <c r="O3" s="24"/>
    </row>
    <row r="4" spans="1:15" customFormat="1" ht="15">
      <c r="A4" s="3"/>
      <c r="B4" s="96" t="str">
        <f>+'Introducerea datelor'!B12</f>
        <v>Ultimul Rating:</v>
      </c>
      <c r="C4" s="793" t="str">
        <f>+IF('Introducerea datelor'!C12="Please Select","",'Introducerea datelor'!C12)</f>
        <v/>
      </c>
      <c r="D4" s="793"/>
      <c r="E4" s="759" t="str">
        <f>+'Introducerea datelor'!C8</f>
        <v>IP UCIMP DS</v>
      </c>
      <c r="F4" s="759"/>
      <c r="G4" s="759"/>
      <c r="H4" s="759"/>
      <c r="I4" s="759"/>
      <c r="J4" s="759"/>
      <c r="K4" s="759"/>
      <c r="L4" s="96" t="str">
        <f>+'Introducerea datelor'!D16</f>
        <v>De la:</v>
      </c>
      <c r="M4" s="122">
        <f>+IF(ISBLANK('Introducerea datelor'!E16),"",'Introducerea datelor'!E16)</f>
        <v>43101</v>
      </c>
      <c r="N4" s="122"/>
      <c r="O4" s="24"/>
    </row>
    <row r="5" spans="1:15" customFormat="1" ht="18.75" customHeight="1">
      <c r="A5" s="3"/>
      <c r="B5" s="96"/>
      <c r="C5" s="96"/>
      <c r="D5" s="97"/>
      <c r="E5" s="759" t="str">
        <f>+'Introducerea datelor'!G4</f>
        <v>Consolidarea controlului tuberculozei și reducerea SIDA și a mortalității aferente în Republica Moldova</v>
      </c>
      <c r="F5" s="759"/>
      <c r="G5" s="759"/>
      <c r="H5" s="759"/>
      <c r="I5" s="759"/>
      <c r="J5" s="759"/>
      <c r="K5" s="759"/>
      <c r="L5" s="96" t="str">
        <f>+'Introducerea datelor'!F16</f>
        <v>Pînă la:</v>
      </c>
      <c r="M5" s="122">
        <f>+IF(ISBLANK('Introducerea datelor'!G16),"",'Introducerea datelor'!G16)</f>
        <v>43281</v>
      </c>
      <c r="N5" s="122"/>
    </row>
    <row r="6" spans="1:15" customFormat="1" ht="22.5" customHeight="1">
      <c r="A6" s="3"/>
      <c r="B6" s="100"/>
      <c r="C6" s="101"/>
      <c r="D6" s="102"/>
      <c r="E6" s="852" t="s">
        <v>387</v>
      </c>
      <c r="F6" s="852"/>
      <c r="G6" s="852"/>
      <c r="H6" s="852"/>
      <c r="I6" s="852"/>
      <c r="J6" s="852"/>
      <c r="K6" s="852"/>
      <c r="L6" s="2"/>
      <c r="M6" s="2"/>
      <c r="N6" s="2"/>
    </row>
    <row r="7" spans="1:15" s="26" customFormat="1" ht="4.5" customHeight="1">
      <c r="A7" s="108"/>
      <c r="B7" s="109"/>
      <c r="C7" s="109"/>
      <c r="D7" s="109"/>
      <c r="E7" s="109"/>
      <c r="F7" s="109"/>
      <c r="G7" s="109"/>
      <c r="H7" s="109"/>
      <c r="I7" s="109"/>
      <c r="J7" s="109"/>
      <c r="K7" s="109"/>
      <c r="L7" s="110"/>
      <c r="M7" s="110"/>
      <c r="N7" s="111"/>
    </row>
    <row r="8" spans="1:15" s="26" customFormat="1" ht="21" customHeight="1" thickBot="1">
      <c r="A8" s="108"/>
      <c r="B8" s="851" t="s">
        <v>393</v>
      </c>
      <c r="C8" s="851"/>
      <c r="D8" s="851"/>
      <c r="E8" s="851"/>
      <c r="F8" s="851"/>
      <c r="G8" s="851"/>
      <c r="H8" s="851"/>
      <c r="I8" s="851"/>
      <c r="J8" s="851"/>
      <c r="K8" s="851"/>
      <c r="L8" s="851"/>
      <c r="M8" s="851"/>
      <c r="N8" s="851"/>
    </row>
    <row r="9" spans="1:15" s="26" customFormat="1" ht="3.75" customHeight="1" thickBot="1">
      <c r="A9" s="108"/>
      <c r="B9" s="109"/>
      <c r="C9" s="109"/>
      <c r="D9" s="109"/>
      <c r="E9" s="109"/>
      <c r="F9" s="109"/>
      <c r="G9" s="109"/>
      <c r="H9" s="109"/>
      <c r="I9" s="109"/>
      <c r="J9" s="109"/>
      <c r="K9" s="109"/>
      <c r="L9" s="110"/>
      <c r="M9" s="110"/>
      <c r="N9" s="111"/>
    </row>
    <row r="10" spans="1:15" s="27" customFormat="1" ht="25.5" customHeight="1" thickBot="1">
      <c r="A10" s="112"/>
      <c r="B10" s="860" t="s">
        <v>388</v>
      </c>
      <c r="C10" s="861"/>
      <c r="D10" s="856" t="s">
        <v>389</v>
      </c>
      <c r="E10" s="857"/>
      <c r="F10" s="857"/>
      <c r="G10" s="858"/>
      <c r="H10" s="113"/>
      <c r="I10" s="856" t="s">
        <v>387</v>
      </c>
      <c r="J10" s="857"/>
      <c r="K10" s="857"/>
      <c r="L10" s="857"/>
      <c r="M10" s="857"/>
      <c r="N10" s="858"/>
    </row>
    <row r="11" spans="1:15" s="27" customFormat="1" ht="37.5" customHeight="1">
      <c r="A11" s="112"/>
      <c r="B11" s="245" t="s">
        <v>56</v>
      </c>
      <c r="C11" s="246"/>
      <c r="D11" s="869" t="str">
        <f>IF(ISBLANK(Financiar!C9),"",(Financiar!C9))</f>
        <v/>
      </c>
      <c r="E11" s="869"/>
      <c r="F11" s="869"/>
      <c r="G11" s="870"/>
      <c r="H11" s="281"/>
      <c r="I11" s="862"/>
      <c r="J11" s="863"/>
      <c r="K11" s="863"/>
      <c r="L11" s="863"/>
      <c r="M11" s="863"/>
      <c r="N11" s="864"/>
    </row>
    <row r="12" spans="1:15" s="27" customFormat="1" ht="252.75" customHeight="1">
      <c r="A12" s="112"/>
      <c r="B12" s="249" t="s">
        <v>57</v>
      </c>
      <c r="C12" s="250"/>
      <c r="D12" s="831" t="str">
        <f>IF(ISBLANK(Financiar!C23),"",(Financiar!C23))</f>
        <v xml:space="preserve">Obiectivul 1 „Asigurarea accesului universal la diagnosticul la timp şi de calitate al tuturor formelor de tuberculoză, inclusiv celor cu TB-M/EDR” - procentul mic al variației se datorează, în mare parte, economiilor acumulate în rezultatul procurării unor cantități mai mici de medii nutritive, conform solicitării Beneficiarului, precum și transferării unor activități pentru sem II 2018, la solicitarea beneficiarului.
Obiectivul 2„Asigurarea accesului universal la tratamentul calitativ pentru toate formele de TB, inclusiv cu TB-M/EDR” - procentul mic al variației se datorează faptului că o parte din procurările de medicamente antituberculoase de linia II au fost transferate pentru perioada semestrului II.2018
</v>
      </c>
      <c r="E12" s="831"/>
      <c r="F12" s="831"/>
      <c r="G12" s="865"/>
      <c r="H12" s="281"/>
      <c r="I12" s="862"/>
      <c r="J12" s="863"/>
      <c r="K12" s="863"/>
      <c r="L12" s="863"/>
      <c r="M12" s="863"/>
      <c r="N12" s="864"/>
    </row>
    <row r="13" spans="1:15" s="27" customFormat="1" ht="271.5" customHeight="1">
      <c r="A13" s="112"/>
      <c r="B13" s="249" t="s">
        <v>58</v>
      </c>
      <c r="C13" s="250"/>
      <c r="D13" s="831" t="str">
        <f>IF(ISBLANK(Financiar!I9),"",(Financiar!I9))</f>
        <v/>
      </c>
      <c r="E13" s="831"/>
      <c r="F13" s="831"/>
      <c r="G13" s="865"/>
      <c r="H13" s="281"/>
      <c r="I13" s="862"/>
      <c r="J13" s="863"/>
      <c r="K13" s="863"/>
      <c r="L13" s="863"/>
      <c r="M13" s="863"/>
      <c r="N13" s="864"/>
    </row>
    <row r="14" spans="1:15" s="27" customFormat="1" ht="52.5" customHeight="1" thickBot="1">
      <c r="A14" s="112"/>
      <c r="B14" s="247" t="s">
        <v>59</v>
      </c>
      <c r="C14" s="248"/>
      <c r="D14" s="871" t="str">
        <f>IF(ISBLANK(Financiar!I23),"",(Financiar!I23))</f>
        <v/>
      </c>
      <c r="E14" s="871"/>
      <c r="F14" s="871"/>
      <c r="G14" s="872"/>
      <c r="H14" s="281"/>
      <c r="I14" s="853"/>
      <c r="J14" s="854"/>
      <c r="K14" s="854"/>
      <c r="L14" s="854"/>
      <c r="M14" s="854"/>
      <c r="N14" s="855"/>
    </row>
    <row r="15" spans="1:15" s="27" customFormat="1" ht="4.5" customHeight="1">
      <c r="A15" s="112"/>
      <c r="B15" s="117"/>
      <c r="C15" s="118"/>
      <c r="D15" s="282"/>
      <c r="E15" s="282"/>
      <c r="F15" s="282"/>
      <c r="G15" s="282"/>
      <c r="H15" s="281"/>
      <c r="I15" s="283"/>
      <c r="J15" s="283"/>
      <c r="K15" s="283"/>
      <c r="L15" s="283"/>
      <c r="M15" s="283"/>
      <c r="N15" s="283"/>
      <c r="O15" s="49"/>
    </row>
    <row r="16" spans="1:15" s="26" customFormat="1" ht="21" customHeight="1" thickBot="1">
      <c r="A16" s="108"/>
      <c r="B16" s="851" t="s">
        <v>392</v>
      </c>
      <c r="C16" s="851"/>
      <c r="D16" s="851"/>
      <c r="E16" s="851"/>
      <c r="F16" s="851"/>
      <c r="G16" s="851"/>
      <c r="H16" s="851"/>
      <c r="I16" s="851"/>
      <c r="J16" s="851"/>
      <c r="K16" s="851"/>
      <c r="L16" s="851"/>
      <c r="M16" s="851"/>
      <c r="N16" s="851"/>
    </row>
    <row r="17" spans="1:20" s="27" customFormat="1" ht="3.75" customHeight="1" thickBot="1">
      <c r="A17" s="112"/>
      <c r="B17" s="284"/>
      <c r="C17" s="115"/>
      <c r="D17" s="285"/>
      <c r="E17" s="286"/>
      <c r="F17" s="287"/>
      <c r="G17" s="287"/>
      <c r="H17" s="288"/>
      <c r="I17" s="116"/>
      <c r="J17" s="289"/>
      <c r="K17" s="290"/>
      <c r="L17" s="291"/>
      <c r="M17" s="114"/>
      <c r="N17" s="292"/>
    </row>
    <row r="18" spans="1:20" s="27" customFormat="1" ht="22.5" customHeight="1" thickBot="1">
      <c r="A18" s="112"/>
      <c r="B18" s="859" t="s">
        <v>55</v>
      </c>
      <c r="C18" s="848"/>
      <c r="D18" s="873" t="s">
        <v>389</v>
      </c>
      <c r="E18" s="874"/>
      <c r="F18" s="874"/>
      <c r="G18" s="875"/>
      <c r="H18" s="293"/>
      <c r="I18" s="866" t="s">
        <v>387</v>
      </c>
      <c r="J18" s="867"/>
      <c r="K18" s="867"/>
      <c r="L18" s="867"/>
      <c r="M18" s="868"/>
      <c r="N18" s="868"/>
    </row>
    <row r="19" spans="1:20" s="27" customFormat="1" ht="37.5" customHeight="1">
      <c r="A19" s="112"/>
      <c r="B19" s="251" t="s">
        <v>64</v>
      </c>
      <c r="C19" s="252"/>
      <c r="D19" s="833" t="str">
        <f>IF(ISBLANK(Management!C8),"",(Management!C8))</f>
        <v>în conformitate cu Acordul de Grant au fost identificare 2 condiții, după cum urmează: 
-Creșterea graduală a finanțării din sursele interne și asugurarea unei cofinanțări de 15% (sau 2.384.508 Euro) din valoarea totală a Grantului pentru anii 2017-2019 (15.896.721 Euro) din sursele interne. (informație disponibilă anual, se va raporta în următoarea perioadă)
-Asigurarea cooperării cu Comitetul de Lumină Verde(GLC), inclusiv prin bugetarea și autorizarea transferului cotizațiilor anuale de maximum 50.000 USD. (se va raporta în următoarea perioadă)</v>
      </c>
      <c r="E19" s="833"/>
      <c r="F19" s="833"/>
      <c r="G19" s="834"/>
      <c r="H19" s="294"/>
      <c r="I19" s="838"/>
      <c r="J19" s="839"/>
      <c r="K19" s="839"/>
      <c r="L19" s="839"/>
      <c r="M19" s="839"/>
      <c r="N19" s="840"/>
    </row>
    <row r="20" spans="1:20" ht="47.25" customHeight="1">
      <c r="A20" s="106"/>
      <c r="B20" s="255" t="s">
        <v>65</v>
      </c>
      <c r="C20" s="256"/>
      <c r="D20" s="831" t="str">
        <f>IF(ISBLANK(Management!I8),"",(Management!I8))</f>
        <v>Toate posturile în cadrul echipei ce gestionează Grantul curent sunt ocupate.</v>
      </c>
      <c r="E20" s="831" t="e">
        <f>+'Introducerea datelor'!D75/'Introducerea datelor'!G75</f>
        <v>#DIV/0!</v>
      </c>
      <c r="F20" s="831" t="e">
        <f>+('Introducerea datelor'!E75+'Introducerea datelor'!F75)/'Introducerea datelor'!G75</f>
        <v>#DIV/0!</v>
      </c>
      <c r="G20" s="832"/>
      <c r="H20" s="294"/>
      <c r="I20" s="844"/>
      <c r="J20" s="845"/>
      <c r="K20" s="845"/>
      <c r="L20" s="845"/>
      <c r="M20" s="845"/>
      <c r="N20" s="846"/>
      <c r="O20" s="28"/>
    </row>
    <row r="21" spans="1:20" ht="90.75" customHeight="1">
      <c r="A21" s="106"/>
      <c r="B21" s="257" t="s">
        <v>66</v>
      </c>
      <c r="C21" s="256"/>
      <c r="D21" s="831" t="str">
        <f>IF(ISBLANK(Management!C16),"",(Management!C16))</f>
        <v>Contractul de Sub-recipient cu IMSP IFP ”Chiril Draganiuc” a fost semnat la 09 februarie 2018 pentru realizarea activităților de colectare a sputei din teritorii către laboratoarele de referință în bacteriologia tuberculozei; transportatrea în teritorii a medicamenetelor de linia a doua și a treia pentru tratamentul pacienților cu TB DR; realizarea vizitelor de monitorizare și evaluare a activităților antituberculoase în teritorii și realizarea cursurilor de instruire.</v>
      </c>
      <c r="E21" s="831"/>
      <c r="F21" s="831"/>
      <c r="G21" s="832"/>
      <c r="H21" s="294"/>
      <c r="I21" s="844"/>
      <c r="J21" s="845"/>
      <c r="K21" s="845"/>
      <c r="L21" s="845"/>
      <c r="M21" s="845"/>
      <c r="N21" s="846"/>
      <c r="O21" s="28"/>
    </row>
    <row r="22" spans="1:20" ht="46.5" customHeight="1">
      <c r="A22" s="106"/>
      <c r="B22" s="257" t="s">
        <v>67</v>
      </c>
      <c r="C22" s="256"/>
      <c r="D22" s="831" t="str">
        <f>IF(ISBLANK(Management!I16),"",(Management!I16))</f>
        <v>În perioada raportată Sub-Recipientii au prezentat cite două rapoarte trimestriale, in conformitate cu acordurile semnate.</v>
      </c>
      <c r="E22" s="831"/>
      <c r="F22" s="831"/>
      <c r="G22" s="832"/>
      <c r="H22" s="294"/>
      <c r="I22" s="844"/>
      <c r="J22" s="845"/>
      <c r="K22" s="845"/>
      <c r="L22" s="845"/>
      <c r="M22" s="845"/>
      <c r="N22" s="846"/>
      <c r="O22" s="28"/>
    </row>
    <row r="23" spans="1:20" ht="43.5" customHeight="1">
      <c r="A23" s="106"/>
      <c r="B23" s="257" t="s">
        <v>68</v>
      </c>
      <c r="C23" s="256"/>
      <c r="D23" s="831" t="str">
        <f>IF(ISBLANK(Management!C27),"",(Management!C27))</f>
        <v>Variația dintre bugetul aprobat și cheltuieli cumulative, se datorează in mare parte faptului, că o parte din procurările de medicamente antituberculoase de linia II au fost transferate pentru perioada semestrului II.2018</v>
      </c>
      <c r="E23" s="831"/>
      <c r="F23" s="831"/>
      <c r="G23" s="832"/>
      <c r="H23" s="294"/>
      <c r="I23" s="844"/>
      <c r="J23" s="845"/>
      <c r="K23" s="845"/>
      <c r="L23" s="845"/>
      <c r="M23" s="845"/>
      <c r="N23" s="846"/>
      <c r="O23" s="28"/>
    </row>
    <row r="24" spans="1:20" ht="60" customHeight="1" thickBot="1">
      <c r="A24" s="106"/>
      <c r="B24" s="253" t="s">
        <v>69</v>
      </c>
      <c r="C24" s="254"/>
      <c r="D24" s="849" t="str">
        <f>IF(ISBLANK(Management!I27),"",(Management!I27))</f>
        <v>Analiza stocului (la finele sem I 2018) medicamentelor antituberculoase de linia a II și a III, a numărului de pacienți în tratament la aceeași dată, arata prezența unui stock  între 4 și 6 luni, pentru preparatele de baza, urmatoarea livrare fiind asteptata in lunile septembrie-octombrie.</v>
      </c>
      <c r="E24" s="849"/>
      <c r="F24" s="849"/>
      <c r="G24" s="850"/>
      <c r="H24" s="294"/>
      <c r="I24" s="841"/>
      <c r="J24" s="842"/>
      <c r="K24" s="842"/>
      <c r="L24" s="842"/>
      <c r="M24" s="842"/>
      <c r="N24" s="843"/>
      <c r="O24" s="28"/>
      <c r="T24" s="271"/>
    </row>
    <row r="25" spans="1:20" ht="4.5" customHeight="1">
      <c r="A25" s="108"/>
      <c r="B25" s="295"/>
      <c r="C25" s="296"/>
      <c r="D25" s="297"/>
      <c r="E25" s="298"/>
      <c r="F25" s="299"/>
      <c r="G25" s="299"/>
      <c r="H25" s="293"/>
      <c r="I25" s="298"/>
      <c r="J25" s="300"/>
      <c r="K25" s="290"/>
      <c r="L25" s="291"/>
      <c r="M25" s="114"/>
      <c r="N25" s="292"/>
      <c r="O25" s="28"/>
    </row>
    <row r="26" spans="1:20" s="26" customFormat="1" ht="21" customHeight="1" thickBot="1">
      <c r="A26" s="108"/>
      <c r="B26" s="851" t="s">
        <v>391</v>
      </c>
      <c r="C26" s="851"/>
      <c r="D26" s="851"/>
      <c r="E26" s="851"/>
      <c r="F26" s="851"/>
      <c r="G26" s="851"/>
      <c r="H26" s="851"/>
      <c r="I26" s="851"/>
      <c r="J26" s="851"/>
      <c r="K26" s="851"/>
      <c r="L26" s="851"/>
      <c r="M26" s="851"/>
      <c r="N26" s="851"/>
      <c r="R26" s="272"/>
    </row>
    <row r="27" spans="1:20" ht="3.75" customHeight="1" thickBot="1">
      <c r="A27" s="108"/>
      <c r="B27" s="295"/>
      <c r="C27" s="296"/>
      <c r="D27" s="297"/>
      <c r="E27" s="298"/>
      <c r="F27" s="299"/>
      <c r="G27" s="299"/>
      <c r="H27" s="293"/>
      <c r="I27" s="298"/>
      <c r="J27" s="300"/>
      <c r="K27" s="290"/>
      <c r="L27" s="291"/>
      <c r="M27" s="114"/>
      <c r="N27" s="292"/>
      <c r="O27" s="28"/>
    </row>
    <row r="28" spans="1:20" ht="21.75" customHeight="1" thickBot="1">
      <c r="A28" s="106"/>
      <c r="B28" s="847" t="s">
        <v>390</v>
      </c>
      <c r="C28" s="848"/>
      <c r="D28" s="835" t="s">
        <v>389</v>
      </c>
      <c r="E28" s="836"/>
      <c r="F28" s="836"/>
      <c r="G28" s="837"/>
      <c r="H28" s="293"/>
      <c r="I28" s="835" t="s">
        <v>387</v>
      </c>
      <c r="J28" s="836"/>
      <c r="K28" s="836"/>
      <c r="L28" s="836"/>
      <c r="M28" s="836"/>
      <c r="N28" s="837"/>
      <c r="O28" s="28"/>
    </row>
    <row r="29" spans="1:20" ht="86.25" hidden="1" customHeight="1">
      <c r="A29" s="106"/>
      <c r="B29" s="301" t="s">
        <v>242</v>
      </c>
      <c r="C29" s="302"/>
      <c r="D29" s="827" t="str">
        <f>IF(ISBLANK(Programatic!D9),"",(Programatic!D9))</f>
        <v xml:space="preserve">Date finale pentru anul 2017. 320 persoane au decedat de tuberculoză în anul 2017 (7,94 decese la 100 000 persoane). 
Notă - Ținta a fost atinsă. Se constată o micșorare cu 14% a ratei de mortalitate față de datele anului 2016 (372 cazuri de deces cauzate de tuberculoză), cu 21,6% a ratei de mortalitate față de datele anului 2015 (408 cazuri de deces cauzate de tuberculoză), cu 37% a ratei de mortalitate față de datele anului 2014 (508 cazuri de deces cauzate de tuberculoză) și cu 29,8% față de datele anului 2013 (456 cazuri de deces cauzate de tuberculoză). </v>
      </c>
      <c r="E29" s="828"/>
      <c r="F29" s="828"/>
      <c r="G29" s="829"/>
      <c r="H29" s="294"/>
      <c r="I29" s="821"/>
      <c r="J29" s="822"/>
      <c r="K29" s="822"/>
      <c r="L29" s="822"/>
      <c r="M29" s="822"/>
      <c r="N29" s="823"/>
      <c r="O29" s="28"/>
    </row>
    <row r="30" spans="1:20" ht="87" hidden="1" customHeight="1">
      <c r="A30" s="106"/>
      <c r="B30" s="303" t="s">
        <v>243</v>
      </c>
      <c r="C30" s="304"/>
      <c r="D30" s="830" t="str">
        <f>IF(ISBLANK(Programatic!H9),"",(Programatic!H9))</f>
        <v xml:space="preserve">Date finale pentru anul 2017. 308 cazuri noi de tuberculoză cu cultura pozitivă, testate la sensibilitate pentru preparatele de linia I, din 1 159 investigate în 2017, au fost diagnosticate cu MDR.
Notă - Se constată menținerea unei rate înalte a TB MDR printre cazurile noi, situație caracteristică ultimilor ani. </v>
      </c>
      <c r="E30" s="819"/>
      <c r="F30" s="819"/>
      <c r="G30" s="820"/>
      <c r="H30" s="294"/>
      <c r="I30" s="824"/>
      <c r="J30" s="825"/>
      <c r="K30" s="825"/>
      <c r="L30" s="825"/>
      <c r="M30" s="825"/>
      <c r="N30" s="826"/>
      <c r="O30" s="28"/>
    </row>
    <row r="31" spans="1:20" ht="75" hidden="1" customHeight="1">
      <c r="A31" s="106"/>
      <c r="B31" s="303" t="s">
        <v>244</v>
      </c>
      <c r="C31" s="304"/>
      <c r="D31" s="830" t="str">
        <f>IF(ISBLANK(Programatic!N9),"",(Programatic!N9))</f>
        <v>Date finale pentru anul 2017. 144 persoane au decedat de SIDA în anul 2017 (populația RM - 4.035.277).
Datele pentru acest indicator sunt pentru a. 2017, pentru ambele maluri, raportabile către 15 august 2018.</v>
      </c>
      <c r="E31" s="819"/>
      <c r="F31" s="819"/>
      <c r="G31" s="820"/>
      <c r="H31" s="294"/>
      <c r="I31" s="824"/>
      <c r="J31" s="825"/>
      <c r="K31" s="825"/>
      <c r="L31" s="825"/>
      <c r="M31" s="825"/>
      <c r="N31" s="826"/>
      <c r="O31" s="28"/>
    </row>
    <row r="32" spans="1:20" ht="94.5" customHeight="1">
      <c r="A32" s="106"/>
      <c r="B32" s="305" t="s">
        <v>60</v>
      </c>
      <c r="C32" s="304"/>
      <c r="D32" s="818" t="str">
        <f>IF(ISBLANK(Programatic!M35),"",(Programatic!M35))</f>
        <v xml:space="preserve">Date finale pentru anul 2017. 320 persoane au decedat de tuberculoză în anul 2017 (7,94 decese la 100 000 persoane). 
Notă - Ținta a fost atinsă. Se constată o micșorare cu 14% a ratei de mortalitate față de datele anului 2016 (372 cazuri de deces cauzate de tuberculoză), cu 21,6% a ratei de mortalitate față de datele anului 2015 (408 cazuri de deces cauzate de tuberculoză), cu 37% a ratei de mortalitate față de datele anului 2014 (508 cazuri de deces cauzate de tuberculoză) și cu 29,8% față de datele anului 2013 (456 cazuri de deces cauzate de tuberculoză). </v>
      </c>
      <c r="E32" s="819"/>
      <c r="F32" s="819"/>
      <c r="G32" s="820"/>
      <c r="H32" s="294"/>
      <c r="I32" s="824"/>
      <c r="J32" s="825"/>
      <c r="K32" s="825"/>
      <c r="L32" s="825"/>
      <c r="M32" s="825"/>
      <c r="N32" s="826"/>
      <c r="O32" s="28"/>
    </row>
    <row r="33" spans="1:15" ht="87" customHeight="1">
      <c r="A33" s="106"/>
      <c r="B33" s="305" t="s">
        <v>61</v>
      </c>
      <c r="C33" s="304"/>
      <c r="D33" s="818" t="str">
        <f>IF(ISBLANK(Programatic!M36),"",(Programatic!M36))</f>
        <v xml:space="preserve">Date finale pentru anul 2017. 308 cazuri noi de tuberculoză cu cultura pozitivă, testate la sensibilitate pentru preparatele de linia I, din 1 159 investigate în 2017, au fost diagnosticate cu MDR.
Notă - Se constată menținerea unei rate înalte a TB MDR printre cazurile noi, situație caracteristică ultimilor ani. </v>
      </c>
      <c r="E33" s="819"/>
      <c r="F33" s="819"/>
      <c r="G33" s="820"/>
      <c r="H33" s="294"/>
      <c r="I33" s="824"/>
      <c r="J33" s="825"/>
      <c r="K33" s="825"/>
      <c r="L33" s="825"/>
      <c r="M33" s="825"/>
      <c r="N33" s="826"/>
      <c r="O33" s="28"/>
    </row>
    <row r="34" spans="1:15" ht="199.5" customHeight="1">
      <c r="A34" s="106"/>
      <c r="B34" s="305" t="s">
        <v>62</v>
      </c>
      <c r="C34" s="304"/>
      <c r="D34" s="818" t="str">
        <f>IF(ISBLANK(Programatic!M37),"",(Programatic!M37))</f>
        <v xml:space="preserve">Date finale pentru anul 2017. 144 persoane au decedat de SIDA în anul 2017 (populația RM - 4.035.277).
Datele pentru acest indicator sunt pentru a. 2017, pentru ambele maluri, raportabile către 15 august 2018.
</v>
      </c>
      <c r="E34" s="819"/>
      <c r="F34" s="819"/>
      <c r="G34" s="820"/>
      <c r="H34" s="294"/>
      <c r="I34" s="824"/>
      <c r="J34" s="825"/>
      <c r="K34" s="825"/>
      <c r="L34" s="825"/>
      <c r="M34" s="825"/>
      <c r="N34" s="826"/>
      <c r="O34" s="28"/>
    </row>
    <row r="35" spans="1:15" ht="107.25" customHeight="1">
      <c r="A35" s="106"/>
      <c r="B35" s="305" t="s">
        <v>63</v>
      </c>
      <c r="C35" s="306"/>
      <c r="D35" s="818" t="str">
        <f>IF(ISBLANK(Programatic!M46),"",(Programatic!M46))</f>
        <v>Data de raportare - 31 August 2020. Datele sunt colectate și validate în conformitate cu rezultatele Studiului Bio-Comportamental (BSS).</v>
      </c>
      <c r="E35" s="819"/>
      <c r="F35" s="819"/>
      <c r="G35" s="820"/>
      <c r="H35" s="294"/>
      <c r="I35" s="824"/>
      <c r="J35" s="825"/>
      <c r="K35" s="825"/>
      <c r="L35" s="825"/>
      <c r="M35" s="825"/>
      <c r="N35" s="826"/>
      <c r="O35" s="28"/>
    </row>
    <row r="36" spans="1:15" ht="82.5" customHeight="1">
      <c r="A36" s="106"/>
      <c r="B36" s="305" t="s">
        <v>70</v>
      </c>
      <c r="C36" s="306"/>
      <c r="D36" s="818" t="str">
        <f>IF(ISBLANK(Programatic!M47),"",(Programatic!M47))</f>
        <v>Data de raportare - 31 August 2020. Datele sunt colectate și validate în conformitate cu rezultatele Studiului Bio-Comportamental (BSS).</v>
      </c>
      <c r="E36" s="819"/>
      <c r="F36" s="819"/>
      <c r="G36" s="820"/>
      <c r="H36" s="294"/>
      <c r="I36" s="824"/>
      <c r="J36" s="825"/>
      <c r="K36" s="825"/>
      <c r="L36" s="825"/>
      <c r="M36" s="825"/>
      <c r="N36" s="826"/>
      <c r="O36" s="28"/>
    </row>
    <row r="37" spans="1:15" ht="102" customHeight="1">
      <c r="A37" s="106"/>
      <c r="B37" s="305" t="s">
        <v>71</v>
      </c>
      <c r="C37" s="306"/>
      <c r="D37" s="818" t="str">
        <f>IF(ISBLANK(Programatic!M48),"",(Programatic!M48))</f>
        <v xml:space="preserve">Date preliminare pentru semestrul I.2018. 376 cazuri cu tuberculoză drog-rezistentă (RR-TB și/sau MDR-TB), confirmate bacteriologic, au fost notificate, față de 535 cazuri estimate pentru perioada raportată.                                                    
Notă - Reducerea numărului de pacienți MDR TB notificați este în directă corespundere cu scăderea incidenței TB.                  </v>
      </c>
      <c r="E37" s="819"/>
      <c r="F37" s="819"/>
      <c r="G37" s="820"/>
      <c r="H37" s="294"/>
      <c r="I37" s="824"/>
      <c r="J37" s="825"/>
      <c r="K37" s="825"/>
      <c r="L37" s="825"/>
      <c r="M37" s="825"/>
      <c r="N37" s="826"/>
      <c r="O37" s="28"/>
    </row>
    <row r="38" spans="1:15" ht="162.75" customHeight="1">
      <c r="A38" s="106"/>
      <c r="B38" s="305" t="s">
        <v>72</v>
      </c>
      <c r="C38" s="306"/>
      <c r="D38" s="818" t="str">
        <f>IF(ISBLANK(Programatic!M49),"",(Programatic!M49))</f>
        <v xml:space="preserve">Date preliminare pentru semestrul I.2018. 485 cazuri cu tuberculoză drog-rezistentă (RR-TB și/sau MDR-TB), confirmate bacteriologic, au demarat tratamentul DOTS-Plus în sem.I.2018, față de 531 pacienți preconizați pentru perioada raportată.                                                                                                            </v>
      </c>
      <c r="E38" s="819"/>
      <c r="F38" s="819"/>
      <c r="G38" s="820"/>
      <c r="H38" s="294"/>
      <c r="I38" s="824"/>
      <c r="J38" s="825"/>
      <c r="K38" s="825"/>
      <c r="L38" s="825"/>
      <c r="M38" s="825"/>
      <c r="N38" s="826"/>
      <c r="O38" s="28"/>
    </row>
    <row r="39" spans="1:15" ht="178.5" customHeight="1"/>
  </sheetData>
  <mergeCells count="58">
    <mergeCell ref="B18:C18"/>
    <mergeCell ref="B10:C10"/>
    <mergeCell ref="D10:G10"/>
    <mergeCell ref="I12:N12"/>
    <mergeCell ref="D12:G12"/>
    <mergeCell ref="I11:N11"/>
    <mergeCell ref="I18:N18"/>
    <mergeCell ref="D11:G11"/>
    <mergeCell ref="D13:G13"/>
    <mergeCell ref="I13:N13"/>
    <mergeCell ref="D14:G14"/>
    <mergeCell ref="D18:G18"/>
    <mergeCell ref="B28:C28"/>
    <mergeCell ref="D24:G24"/>
    <mergeCell ref="B26:N26"/>
    <mergeCell ref="B2:N2"/>
    <mergeCell ref="E5:K5"/>
    <mergeCell ref="E6:K6"/>
    <mergeCell ref="C4:D4"/>
    <mergeCell ref="E4:K4"/>
    <mergeCell ref="C3:D3"/>
    <mergeCell ref="I14:N14"/>
    <mergeCell ref="I21:N21"/>
    <mergeCell ref="I22:N22"/>
    <mergeCell ref="I23:N23"/>
    <mergeCell ref="B16:N16"/>
    <mergeCell ref="B8:N8"/>
    <mergeCell ref="I10:N10"/>
    <mergeCell ref="D19:G19"/>
    <mergeCell ref="D21:G21"/>
    <mergeCell ref="D22:G22"/>
    <mergeCell ref="I28:N28"/>
    <mergeCell ref="I19:N19"/>
    <mergeCell ref="I24:N24"/>
    <mergeCell ref="I20:N20"/>
    <mergeCell ref="D23:G23"/>
    <mergeCell ref="D28:G28"/>
    <mergeCell ref="D32:G32"/>
    <mergeCell ref="D30:G30"/>
    <mergeCell ref="D31:G31"/>
    <mergeCell ref="D33:G33"/>
    <mergeCell ref="D20:G20"/>
    <mergeCell ref="D38:G38"/>
    <mergeCell ref="I29:N29"/>
    <mergeCell ref="I30:N30"/>
    <mergeCell ref="I31:N31"/>
    <mergeCell ref="I32:N32"/>
    <mergeCell ref="I33:N33"/>
    <mergeCell ref="D37:G37"/>
    <mergeCell ref="D36:G36"/>
    <mergeCell ref="I34:N34"/>
    <mergeCell ref="I35:N35"/>
    <mergeCell ref="I36:N36"/>
    <mergeCell ref="I37:N37"/>
    <mergeCell ref="I38:N38"/>
    <mergeCell ref="D34:G34"/>
    <mergeCell ref="D29:G29"/>
    <mergeCell ref="D35:G35"/>
  </mergeCells>
  <phoneticPr fontId="23" type="noConversion"/>
  <conditionalFormatting sqref="C4:D4">
    <cfRule type="cellIs" dxfId="16" priority="1" stopIfTrue="1" operator="equal">
      <formula>"C"</formula>
    </cfRule>
    <cfRule type="cellIs" dxfId="15" priority="2" stopIfTrue="1" operator="equal">
      <formula>"B2"</formula>
    </cfRule>
    <cfRule type="cellIs" dxfId="14" priority="3" stopIfTrue="1" operator="equal">
      <formula>"B1"</formula>
    </cfRule>
  </conditionalFormatting>
  <pageMargins left="0.70866141732283472" right="0.70866141732283472" top="0.74803149606299213" bottom="0.74803149606299213" header="0.31496062992125984" footer="0.31496062992125984"/>
  <pageSetup paperSize="256" scale="52" fitToHeight="0" orientation="portrait" r:id="rId1"/>
  <headerFooter alignWithMargins="0">
    <oddFooter>&amp;L&amp;F&amp;C&amp;A&amp;RV1.0          &amp;D</oddFooter>
  </headerFooter>
  <rowBreaks count="1" manualBreakCount="1">
    <brk id="2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27"/>
    <pageSetUpPr fitToPage="1"/>
  </sheetPr>
  <dimension ref="A1:M43"/>
  <sheetViews>
    <sheetView showGridLines="0" view="pageBreakPreview" zoomScaleNormal="100" zoomScaleSheetLayoutView="100" workbookViewId="0">
      <selection activeCell="O25" sqref="O25"/>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894" t="str">
        <f>+"Tabel Programatic de Evaluare:  "&amp;"  "&amp;IF(+'Introducerea datelor'!C4="Please Select","",'Introducerea datelor'!C4&amp;" - ")&amp;IF('Introducerea datelor'!G6="Please Select","",'Introducerea datelor'!G6)</f>
        <v>Tabel Programatic de Evaluare:    Moldova - HIVAIDS / TB</v>
      </c>
      <c r="C2" s="894"/>
      <c r="D2" s="894"/>
      <c r="E2" s="894"/>
      <c r="F2" s="894"/>
      <c r="G2" s="894"/>
      <c r="H2" s="894"/>
      <c r="I2" s="894"/>
      <c r="J2" s="894"/>
      <c r="K2" s="894"/>
      <c r="L2" s="894"/>
    </row>
    <row r="3" spans="1:13">
      <c r="B3" s="21" t="str">
        <f>+IF('Introducerea datelor'!G8="Please Select","",'Introducerea datelor'!G8)</f>
        <v/>
      </c>
      <c r="C3" s="903" t="str">
        <f>+IF('Introducerea datelor'!I8="Please Select","",'Introducerea datelor'!I8)</f>
        <v>Period 1</v>
      </c>
      <c r="D3" s="903"/>
      <c r="E3" s="899"/>
      <c r="F3" s="899"/>
      <c r="G3" s="899"/>
      <c r="H3" s="899"/>
      <c r="I3" s="899"/>
      <c r="J3" s="900" t="str">
        <f>+'Introducerea datelor'!B16</f>
        <v>Perioada de Raportare:</v>
      </c>
      <c r="K3" s="900"/>
      <c r="L3" s="121" t="str">
        <f>+'Introducerea datelor'!C16</f>
        <v>P1</v>
      </c>
      <c r="M3" s="54"/>
    </row>
    <row r="4" spans="1:13">
      <c r="B4" s="21" t="str">
        <f>+'Introducerea datelor'!B12</f>
        <v>Ultimul Rating:</v>
      </c>
      <c r="C4" s="895" t="str">
        <f>+IF('Introducerea datelor'!C12="Please Select","",'Introducerea datelor'!C12)</f>
        <v/>
      </c>
      <c r="D4" s="895"/>
      <c r="E4" s="899" t="str">
        <f>+'Introducerea datelor'!C8</f>
        <v>IP UCIMP DS</v>
      </c>
      <c r="F4" s="899"/>
      <c r="G4" s="899"/>
      <c r="H4" s="899"/>
      <c r="I4" s="899"/>
      <c r="J4" s="900" t="str">
        <f>+'Introducerea datelor'!D16</f>
        <v>De la:</v>
      </c>
      <c r="K4" s="901"/>
      <c r="L4" s="122">
        <f>+IF(ISBLANK('Introducerea datelor'!E16),"",'Introducerea datelor'!E16)</f>
        <v>43101</v>
      </c>
    </row>
    <row r="5" spans="1:13" ht="18.75" customHeight="1">
      <c r="B5" s="21"/>
      <c r="C5" s="21"/>
      <c r="D5" s="899" t="str">
        <f>+'Introducerea datelor'!G4</f>
        <v>Consolidarea controlului tuberculozei și reducerea SIDA și a mortalității aferente în Republica Moldova</v>
      </c>
      <c r="E5" s="899"/>
      <c r="F5" s="899"/>
      <c r="G5" s="899"/>
      <c r="H5" s="899"/>
      <c r="I5" s="899"/>
      <c r="J5" s="899"/>
      <c r="K5" s="21" t="str">
        <f>+'Introducerea datelor'!F16</f>
        <v>Pînă la:</v>
      </c>
      <c r="L5" s="122">
        <f>+IF(ISBLANK('Introducerea datelor'!G16),"",'Introducerea datelor'!G16)</f>
        <v>43281</v>
      </c>
    </row>
    <row r="6" spans="1:13" ht="18.75">
      <c r="B6" s="20"/>
      <c r="C6" s="21"/>
      <c r="D6" s="22"/>
      <c r="E6" s="902" t="s">
        <v>394</v>
      </c>
      <c r="F6" s="902"/>
      <c r="G6" s="902"/>
      <c r="H6" s="902"/>
      <c r="I6" s="902"/>
    </row>
    <row r="7" spans="1:13" ht="18.75">
      <c r="E7" s="46"/>
      <c r="F7" s="46"/>
      <c r="G7" s="46"/>
      <c r="H7" s="46"/>
      <c r="I7" s="46"/>
    </row>
    <row r="8" spans="1:13" s="26" customFormat="1" ht="21" customHeight="1" thickBot="1">
      <c r="B8" s="50" t="s">
        <v>395</v>
      </c>
      <c r="C8" s="50"/>
      <c r="D8" s="50"/>
      <c r="E8" s="50"/>
      <c r="F8" s="50"/>
      <c r="G8" s="50"/>
      <c r="H8" s="50"/>
      <c r="I8" s="50"/>
      <c r="J8" s="50"/>
      <c r="K8" s="50"/>
      <c r="L8" s="50"/>
    </row>
    <row r="9" spans="1:13" ht="6" customHeight="1">
      <c r="B9" s="48"/>
    </row>
    <row r="10" spans="1:13" ht="18" customHeight="1">
      <c r="B10" s="876"/>
      <c r="C10" s="877"/>
      <c r="D10" s="877"/>
      <c r="E10" s="877"/>
      <c r="F10" s="877"/>
      <c r="G10" s="877"/>
      <c r="H10" s="877"/>
      <c r="I10" s="877"/>
      <c r="J10" s="877"/>
      <c r="K10" s="877"/>
      <c r="L10" s="878"/>
    </row>
    <row r="11" spans="1:13" ht="18" customHeight="1">
      <c r="B11" s="879"/>
      <c r="C11" s="880"/>
      <c r="D11" s="880"/>
      <c r="E11" s="880"/>
      <c r="F11" s="880"/>
      <c r="G11" s="880"/>
      <c r="H11" s="880"/>
      <c r="I11" s="880"/>
      <c r="J11" s="880"/>
      <c r="K11" s="880"/>
      <c r="L11" s="881"/>
    </row>
    <row r="12" spans="1:13" ht="15.75" thickBot="1"/>
    <row r="13" spans="1:13" ht="26.25" customHeight="1" thickBot="1">
      <c r="B13" s="890" t="s">
        <v>417</v>
      </c>
      <c r="C13" s="891"/>
      <c r="D13" s="891"/>
      <c r="E13" s="892"/>
      <c r="F13" s="51"/>
      <c r="G13" s="884" t="s">
        <v>396</v>
      </c>
      <c r="H13" s="882"/>
      <c r="I13" s="882"/>
      <c r="J13" s="52" t="s">
        <v>397</v>
      </c>
      <c r="K13" s="882" t="s">
        <v>398</v>
      </c>
      <c r="L13" s="883"/>
    </row>
    <row r="14" spans="1:13" ht="18.75" customHeight="1">
      <c r="A14" s="907" t="s">
        <v>399</v>
      </c>
      <c r="B14" s="921"/>
      <c r="C14" s="922"/>
      <c r="D14" s="922"/>
      <c r="E14" s="923"/>
      <c r="F14" s="31"/>
      <c r="G14" s="920"/>
      <c r="H14" s="896"/>
      <c r="I14" s="896"/>
      <c r="J14" s="896"/>
      <c r="K14" s="896"/>
      <c r="L14" s="897"/>
    </row>
    <row r="15" spans="1:13" ht="18.75" customHeight="1">
      <c r="A15" s="908"/>
      <c r="B15" s="913"/>
      <c r="C15" s="914"/>
      <c r="D15" s="914"/>
      <c r="E15" s="915"/>
      <c r="F15" s="31"/>
      <c r="G15" s="885"/>
      <c r="H15" s="886"/>
      <c r="I15" s="886"/>
      <c r="J15" s="886"/>
      <c r="K15" s="886"/>
      <c r="L15" s="898"/>
    </row>
    <row r="16" spans="1:13" ht="18.75" customHeight="1">
      <c r="A16" s="908"/>
      <c r="B16" s="910"/>
      <c r="C16" s="911"/>
      <c r="D16" s="911"/>
      <c r="E16" s="912"/>
      <c r="F16" s="31"/>
      <c r="G16" s="885"/>
      <c r="H16" s="886"/>
      <c r="I16" s="886"/>
      <c r="J16" s="886"/>
      <c r="K16" s="886"/>
      <c r="L16" s="898"/>
    </row>
    <row r="17" spans="1:12" ht="18.75" customHeight="1">
      <c r="A17" s="908"/>
      <c r="B17" s="913"/>
      <c r="C17" s="914"/>
      <c r="D17" s="914"/>
      <c r="E17" s="915"/>
      <c r="F17" s="31"/>
      <c r="G17" s="885"/>
      <c r="H17" s="886"/>
      <c r="I17" s="886"/>
      <c r="J17" s="886"/>
      <c r="K17" s="886"/>
      <c r="L17" s="898"/>
    </row>
    <row r="18" spans="1:12" ht="18.75" customHeight="1">
      <c r="A18" s="908"/>
      <c r="B18" s="910"/>
      <c r="C18" s="911"/>
      <c r="D18" s="911"/>
      <c r="E18" s="912"/>
      <c r="F18" s="31"/>
      <c r="G18" s="925"/>
      <c r="H18" s="926"/>
      <c r="I18" s="927"/>
      <c r="J18" s="886"/>
      <c r="K18" s="886"/>
      <c r="L18" s="898"/>
    </row>
    <row r="19" spans="1:12" ht="18.75" customHeight="1">
      <c r="A19" s="908"/>
      <c r="B19" s="913"/>
      <c r="C19" s="914"/>
      <c r="D19" s="914"/>
      <c r="E19" s="915"/>
      <c r="F19" s="31"/>
      <c r="G19" s="928"/>
      <c r="H19" s="929"/>
      <c r="I19" s="930"/>
      <c r="J19" s="886"/>
      <c r="K19" s="886"/>
      <c r="L19" s="898"/>
    </row>
    <row r="20" spans="1:12" ht="18.75" customHeight="1">
      <c r="A20" s="908"/>
      <c r="B20" s="916"/>
      <c r="C20" s="916"/>
      <c r="D20" s="916"/>
      <c r="E20" s="917"/>
      <c r="F20" s="31"/>
      <c r="G20" s="885"/>
      <c r="H20" s="886"/>
      <c r="I20" s="886"/>
      <c r="J20" s="886"/>
      <c r="K20" s="886"/>
      <c r="L20" s="898"/>
    </row>
    <row r="21" spans="1:12" ht="18.75" customHeight="1">
      <c r="A21" s="908"/>
      <c r="B21" s="916"/>
      <c r="C21" s="916"/>
      <c r="D21" s="916"/>
      <c r="E21" s="917"/>
      <c r="F21" s="31"/>
      <c r="G21" s="885"/>
      <c r="H21" s="886"/>
      <c r="I21" s="886"/>
      <c r="J21" s="886"/>
      <c r="K21" s="886"/>
      <c r="L21" s="898"/>
    </row>
    <row r="22" spans="1:12" ht="18.75" customHeight="1">
      <c r="A22" s="908"/>
      <c r="B22" s="916"/>
      <c r="C22" s="916"/>
      <c r="D22" s="916"/>
      <c r="E22" s="917"/>
      <c r="F22" s="31"/>
      <c r="G22" s="885"/>
      <c r="H22" s="886"/>
      <c r="I22" s="886"/>
      <c r="J22" s="886"/>
      <c r="K22" s="886"/>
      <c r="L22" s="898"/>
    </row>
    <row r="23" spans="1:12" ht="18.75" customHeight="1">
      <c r="A23" s="908"/>
      <c r="B23" s="916"/>
      <c r="C23" s="916"/>
      <c r="D23" s="916"/>
      <c r="E23" s="917"/>
      <c r="F23" s="31"/>
      <c r="G23" s="885"/>
      <c r="H23" s="886"/>
      <c r="I23" s="886"/>
      <c r="J23" s="886"/>
      <c r="K23" s="886"/>
      <c r="L23" s="898"/>
    </row>
    <row r="24" spans="1:12" ht="18.75" customHeight="1">
      <c r="A24" s="908"/>
      <c r="B24" s="916"/>
      <c r="C24" s="916"/>
      <c r="D24" s="916"/>
      <c r="E24" s="917"/>
      <c r="F24" s="31"/>
      <c r="G24" s="885"/>
      <c r="H24" s="886"/>
      <c r="I24" s="886"/>
      <c r="J24" s="886"/>
      <c r="K24" s="886"/>
      <c r="L24" s="898"/>
    </row>
    <row r="25" spans="1:12" ht="18.75" customHeight="1" thickBot="1">
      <c r="A25" s="909"/>
      <c r="B25" s="918"/>
      <c r="C25" s="918"/>
      <c r="D25" s="918"/>
      <c r="E25" s="919"/>
      <c r="F25" s="31"/>
      <c r="G25" s="887"/>
      <c r="H25" s="888"/>
      <c r="I25" s="888"/>
      <c r="J25" s="888"/>
      <c r="K25" s="888"/>
      <c r="L25" s="931"/>
    </row>
    <row r="27" spans="1:12" ht="18.75">
      <c r="E27" s="889" t="s">
        <v>400</v>
      </c>
      <c r="F27" s="889"/>
      <c r="G27" s="889"/>
      <c r="H27" s="889"/>
      <c r="I27" s="889"/>
    </row>
    <row r="28" spans="1:12" ht="6" customHeight="1">
      <c r="E28" s="46"/>
      <c r="F28" s="46"/>
      <c r="G28" s="46"/>
      <c r="H28" s="46"/>
      <c r="I28" s="46"/>
    </row>
    <row r="29" spans="1:12" s="26" customFormat="1" ht="21" customHeight="1" thickBot="1">
      <c r="B29" s="50" t="s">
        <v>401</v>
      </c>
      <c r="C29" s="50"/>
      <c r="D29" s="50"/>
      <c r="E29" s="50"/>
      <c r="F29" s="50"/>
      <c r="G29" s="50"/>
      <c r="H29" s="50"/>
      <c r="I29" s="50"/>
      <c r="J29" s="50"/>
      <c r="K29" s="50"/>
      <c r="L29" s="50"/>
    </row>
    <row r="30" spans="1:12" ht="6" customHeight="1" thickBot="1">
      <c r="B30" s="48"/>
    </row>
    <row r="31" spans="1:12" ht="38.25" customHeight="1" thickBot="1">
      <c r="B31" s="890" t="s">
        <v>396</v>
      </c>
      <c r="C31" s="891"/>
      <c r="D31" s="891"/>
      <c r="E31" s="892"/>
      <c r="F31" s="51"/>
      <c r="G31" s="884" t="s">
        <v>402</v>
      </c>
      <c r="H31" s="882"/>
      <c r="I31" s="882"/>
      <c r="J31" s="52" t="s">
        <v>403</v>
      </c>
      <c r="K31" s="882" t="s">
        <v>398</v>
      </c>
      <c r="L31" s="883"/>
    </row>
    <row r="32" spans="1:12" ht="16.5" customHeight="1">
      <c r="A32" s="907" t="s">
        <v>404</v>
      </c>
      <c r="B32" s="942"/>
      <c r="C32" s="943"/>
      <c r="D32" s="943"/>
      <c r="E32" s="944"/>
      <c r="F32" s="31"/>
      <c r="G32" s="904"/>
      <c r="H32" s="905"/>
      <c r="I32" s="905"/>
      <c r="J32" s="905"/>
      <c r="K32" s="905"/>
      <c r="L32" s="934"/>
    </row>
    <row r="33" spans="1:12" ht="16.5" customHeight="1">
      <c r="A33" s="908"/>
      <c r="B33" s="928"/>
      <c r="C33" s="929"/>
      <c r="D33" s="929"/>
      <c r="E33" s="945"/>
      <c r="F33" s="31"/>
      <c r="G33" s="906"/>
      <c r="H33" s="893"/>
      <c r="I33" s="893"/>
      <c r="J33" s="893"/>
      <c r="K33" s="893"/>
      <c r="L33" s="932"/>
    </row>
    <row r="34" spans="1:12" ht="16.5" customHeight="1">
      <c r="A34" s="908"/>
      <c r="B34" s="935" t="str">
        <f>IF(Recomandari!I39="","",Recomandari!I39)</f>
        <v/>
      </c>
      <c r="C34" s="936"/>
      <c r="D34" s="936"/>
      <c r="E34" s="937"/>
      <c r="F34" s="31"/>
      <c r="G34" s="906"/>
      <c r="H34" s="893"/>
      <c r="I34" s="893"/>
      <c r="J34" s="893"/>
      <c r="K34" s="893"/>
      <c r="L34" s="932"/>
    </row>
    <row r="35" spans="1:12" ht="16.5" customHeight="1">
      <c r="A35" s="908"/>
      <c r="B35" s="935"/>
      <c r="C35" s="936"/>
      <c r="D35" s="936"/>
      <c r="E35" s="937"/>
      <c r="F35" s="31"/>
      <c r="G35" s="906"/>
      <c r="H35" s="893"/>
      <c r="I35" s="893"/>
      <c r="J35" s="893"/>
      <c r="K35" s="893"/>
      <c r="L35" s="932"/>
    </row>
    <row r="36" spans="1:12" ht="16.5" customHeight="1">
      <c r="A36" s="908"/>
      <c r="B36" s="935" t="str">
        <f>+IF(Recomandari!I49="","",Recomandari!I49)</f>
        <v/>
      </c>
      <c r="C36" s="936"/>
      <c r="D36" s="936"/>
      <c r="E36" s="937"/>
      <c r="F36" s="31"/>
      <c r="G36" s="906"/>
      <c r="H36" s="893"/>
      <c r="I36" s="893"/>
      <c r="J36" s="893"/>
      <c r="K36" s="893"/>
      <c r="L36" s="932"/>
    </row>
    <row r="37" spans="1:12" ht="16.5" customHeight="1">
      <c r="A37" s="908"/>
      <c r="B37" s="935"/>
      <c r="C37" s="936"/>
      <c r="D37" s="936"/>
      <c r="E37" s="937"/>
      <c r="F37" s="31"/>
      <c r="G37" s="906"/>
      <c r="H37" s="893"/>
      <c r="I37" s="893"/>
      <c r="J37" s="893"/>
      <c r="K37" s="893"/>
      <c r="L37" s="932"/>
    </row>
    <row r="38" spans="1:12" ht="16.5" customHeight="1">
      <c r="A38" s="908"/>
      <c r="B38" s="935"/>
      <c r="C38" s="936"/>
      <c r="D38" s="936"/>
      <c r="E38" s="937"/>
      <c r="F38" s="31"/>
      <c r="G38" s="906"/>
      <c r="H38" s="893"/>
      <c r="I38" s="893"/>
      <c r="J38" s="893"/>
      <c r="K38" s="893"/>
      <c r="L38" s="932"/>
    </row>
    <row r="39" spans="1:12" ht="16.5" customHeight="1">
      <c r="A39" s="908"/>
      <c r="B39" s="935"/>
      <c r="C39" s="936"/>
      <c r="D39" s="936"/>
      <c r="E39" s="937"/>
      <c r="F39" s="31"/>
      <c r="G39" s="906"/>
      <c r="H39" s="893"/>
      <c r="I39" s="893"/>
      <c r="J39" s="893"/>
      <c r="K39" s="893"/>
      <c r="L39" s="932"/>
    </row>
    <row r="40" spans="1:12" ht="16.5" customHeight="1">
      <c r="A40" s="908"/>
      <c r="B40" s="935"/>
      <c r="C40" s="936"/>
      <c r="D40" s="936"/>
      <c r="E40" s="937"/>
      <c r="F40" s="31"/>
      <c r="G40" s="906"/>
      <c r="H40" s="893"/>
      <c r="I40" s="893"/>
      <c r="J40" s="893"/>
      <c r="K40" s="893"/>
      <c r="L40" s="932"/>
    </row>
    <row r="41" spans="1:12" ht="16.5" customHeight="1">
      <c r="A41" s="908"/>
      <c r="B41" s="935"/>
      <c r="C41" s="936"/>
      <c r="D41" s="936"/>
      <c r="E41" s="937"/>
      <c r="F41" s="31"/>
      <c r="G41" s="906"/>
      <c r="H41" s="893"/>
      <c r="I41" s="893"/>
      <c r="J41" s="893"/>
      <c r="K41" s="893"/>
      <c r="L41" s="932"/>
    </row>
    <row r="42" spans="1:12" ht="16.5" customHeight="1">
      <c r="A42" s="908"/>
      <c r="B42" s="935"/>
      <c r="C42" s="936"/>
      <c r="D42" s="936"/>
      <c r="E42" s="937"/>
      <c r="F42" s="31"/>
      <c r="G42" s="906"/>
      <c r="H42" s="893"/>
      <c r="I42" s="893"/>
      <c r="J42" s="893"/>
      <c r="K42" s="893"/>
      <c r="L42" s="932"/>
    </row>
    <row r="43" spans="1:12" ht="16.5" customHeight="1" thickBot="1">
      <c r="A43" s="909"/>
      <c r="B43" s="938"/>
      <c r="C43" s="939"/>
      <c r="D43" s="939"/>
      <c r="E43" s="940"/>
      <c r="F43" s="31"/>
      <c r="G43" s="941"/>
      <c r="H43" s="924"/>
      <c r="I43" s="924"/>
      <c r="J43" s="924"/>
      <c r="K43" s="924"/>
      <c r="L43" s="933"/>
    </row>
  </sheetData>
  <mergeCells count="67">
    <mergeCell ref="A32:A43"/>
    <mergeCell ref="B42:E43"/>
    <mergeCell ref="G42:I43"/>
    <mergeCell ref="G38:I39"/>
    <mergeCell ref="B38:E39"/>
    <mergeCell ref="B40:E41"/>
    <mergeCell ref="B34:E35"/>
    <mergeCell ref="G34:I35"/>
    <mergeCell ref="B36:E37"/>
    <mergeCell ref="G36:I37"/>
    <mergeCell ref="B32:E33"/>
    <mergeCell ref="J42:J43"/>
    <mergeCell ref="G40:I41"/>
    <mergeCell ref="J32:J33"/>
    <mergeCell ref="K18:L19"/>
    <mergeCell ref="G18:I19"/>
    <mergeCell ref="K20:L21"/>
    <mergeCell ref="K22:L23"/>
    <mergeCell ref="K24:L25"/>
    <mergeCell ref="K34:L35"/>
    <mergeCell ref="K40:L41"/>
    <mergeCell ref="K42:L43"/>
    <mergeCell ref="K36:L37"/>
    <mergeCell ref="K31:L31"/>
    <mergeCell ref="K38:L39"/>
    <mergeCell ref="K32:L33"/>
    <mergeCell ref="J40:J41"/>
    <mergeCell ref="A14:A25"/>
    <mergeCell ref="J18:J19"/>
    <mergeCell ref="J16:J17"/>
    <mergeCell ref="J14:J15"/>
    <mergeCell ref="B16:E17"/>
    <mergeCell ref="B20:E21"/>
    <mergeCell ref="G20:I21"/>
    <mergeCell ref="G22:I23"/>
    <mergeCell ref="J20:J21"/>
    <mergeCell ref="B24:E25"/>
    <mergeCell ref="B22:E23"/>
    <mergeCell ref="G16:I17"/>
    <mergeCell ref="B18:E19"/>
    <mergeCell ref="G14:I15"/>
    <mergeCell ref="B14:E15"/>
    <mergeCell ref="J22:J23"/>
    <mergeCell ref="J38:J39"/>
    <mergeCell ref="B2:L2"/>
    <mergeCell ref="C4:D4"/>
    <mergeCell ref="K14:L15"/>
    <mergeCell ref="K16:L17"/>
    <mergeCell ref="E3:I3"/>
    <mergeCell ref="J3:K3"/>
    <mergeCell ref="E4:I4"/>
    <mergeCell ref="J4:K4"/>
    <mergeCell ref="E6:I6"/>
    <mergeCell ref="C3:D3"/>
    <mergeCell ref="D5:J5"/>
    <mergeCell ref="B13:E13"/>
    <mergeCell ref="J34:J35"/>
    <mergeCell ref="J36:J37"/>
    <mergeCell ref="G32:I33"/>
    <mergeCell ref="B10:L11"/>
    <mergeCell ref="K13:L13"/>
    <mergeCell ref="G13:I13"/>
    <mergeCell ref="G24:I25"/>
    <mergeCell ref="G31:I31"/>
    <mergeCell ref="J24:J25"/>
    <mergeCell ref="E27:I27"/>
    <mergeCell ref="B31:E31"/>
  </mergeCells>
  <phoneticPr fontId="23" type="noConversion"/>
  <conditionalFormatting sqref="C4:D4">
    <cfRule type="cellIs" dxfId="13" priority="1" stopIfTrue="1" operator="equal">
      <formula>"C"</formula>
    </cfRule>
    <cfRule type="cellIs" dxfId="12" priority="2" stopIfTrue="1" operator="equal">
      <formula>"B2"</formula>
    </cfRule>
    <cfRule type="cellIs" dxfId="11" priority="3" stopIfTrue="1" operator="equal">
      <formula>"B1"</formula>
    </cfRule>
  </conditionalFormatting>
  <pageMargins left="0.70866141732283472" right="0.70866141732283472" top="0.74803149606299213" bottom="0.74803149606299213" header="0.31496062992125984" footer="0.31496062992125984"/>
  <pageSetup paperSize="256" scale="67" fitToHeight="0" orientation="portrait" r:id="rId1"/>
  <headerFooter alignWithMargins="0">
    <oddFooter>&amp;L&amp;F&amp;C&amp;A&amp;RV1.0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24</vt:i4>
      </vt:variant>
    </vt:vector>
  </HeadingPairs>
  <TitlesOfParts>
    <vt:vector size="35" baseType="lpstr">
      <vt:lpstr>Meniu</vt:lpstr>
      <vt:lpstr>Lista Indicatorilor</vt:lpstr>
      <vt:lpstr>Introducerea datelor</vt:lpstr>
      <vt:lpstr>Detail despre Grant</vt:lpstr>
      <vt:lpstr>Management</vt:lpstr>
      <vt:lpstr>Financiar</vt:lpstr>
      <vt:lpstr>Programatic</vt:lpstr>
      <vt:lpstr>Recomandari</vt:lpstr>
      <vt:lpstr>Actiuni</vt:lpstr>
      <vt:lpstr>Setup</vt:lpstr>
      <vt:lpstr>Sheet1</vt:lpstr>
      <vt:lpstr>Component</vt:lpstr>
      <vt:lpstr>Countries</vt:lpstr>
      <vt:lpstr>Currency</vt:lpstr>
      <vt:lpstr>Indicatori</vt:lpstr>
      <vt:lpstr>LFA</vt:lpstr>
      <vt:lpstr>Medicaments</vt:lpstr>
      <vt:lpstr>PERIOD</vt:lpstr>
      <vt:lpstr>Phase</vt:lpstr>
      <vt:lpstr>Actiuni!Print_Area</vt:lpstr>
      <vt:lpstr>Financiar!Print_Area</vt:lpstr>
      <vt:lpstr>'Introducerea datelor'!Print_Area</vt:lpstr>
      <vt:lpstr>Management!Print_Area</vt:lpstr>
      <vt:lpstr>Programatic!Print_Area</vt:lpstr>
      <vt:lpstr>PrintA</vt:lpstr>
      <vt:lpstr>PrintDataF</vt:lpstr>
      <vt:lpstr>PrintDataM</vt:lpstr>
      <vt:lpstr>PrintF</vt:lpstr>
      <vt:lpstr>PrintGD</vt:lpstr>
      <vt:lpstr>Actiuni!PrintM</vt:lpstr>
      <vt:lpstr>PrintM</vt:lpstr>
      <vt:lpstr>PrintP</vt:lpstr>
      <vt:lpstr>PrintR</vt:lpstr>
      <vt:lpstr>Rating</vt:lpstr>
      <vt:lpstr>Round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2018-05-22T08:08:45Z</cp:lastPrinted>
  <dcterms:created xsi:type="dcterms:W3CDTF">2011-10-24T05:51:11Z</dcterms:created>
  <dcterms:modified xsi:type="dcterms:W3CDTF">2018-09-27T14:36:51Z</dcterms:modified>
</cp:coreProperties>
</file>