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F:\Documents\2. M&amp;E_TB\Progress Reports_TB_Grants\To CCM\Sem1, 2018\"/>
    </mc:Choice>
  </mc:AlternateContent>
  <xr:revisionPtr revIDLastSave="0" documentId="13_ncr:1_{362BA5EA-5F22-4EE1-AB35-E5C9CE87D8F0}" xr6:coauthVersionLast="36" xr6:coauthVersionMax="36" xr10:uidLastSave="{00000000-0000-0000-0000-000000000000}"/>
  <bookViews>
    <workbookView xWindow="0" yWindow="0" windowWidth="17970" windowHeight="7125" tabRatio="76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state="hidden" r:id="rId11"/>
  </sheets>
  <definedNames>
    <definedName name="Component">Setup!$B$9:$B$14</definedName>
    <definedName name="Countries">Setup!$L$9:$L$143</definedName>
    <definedName name="Currency">Setup!$C$9:$C$11</definedName>
    <definedName name="Indicatori">'Introducerea datelor'!$G$118:$S$166</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datelor'!$A$1:$O$175</definedName>
    <definedName name="_xlnm.Print_Area" localSheetId="4">Management!$A$2:$L$34</definedName>
    <definedName name="_xlnm.Print_Area" localSheetId="6">Programatic!$B$1:$R$49</definedName>
    <definedName name="PrintA">Actiuni!$A$2:$L$34</definedName>
    <definedName name="PrintDataF">'Introducerea datelor'!$B$25:$J$67</definedName>
    <definedName name="PrintDataM">'Introducerea datelor'!$B$69:$H$113</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62913"/>
</workbook>
</file>

<file path=xl/calcChain.xml><?xml version="1.0" encoding="utf-8"?>
<calcChain xmlns="http://schemas.openxmlformats.org/spreadsheetml/2006/main">
  <c r="O31" i="29" l="1"/>
  <c r="E16" i="29"/>
  <c r="C102" i="29" l="1"/>
  <c r="C101" i="29"/>
  <c r="C100" i="29"/>
  <c r="C34" i="29"/>
  <c r="C33" i="29"/>
  <c r="D33" i="29"/>
  <c r="H33" i="29"/>
  <c r="E33" i="29"/>
  <c r="F33" i="29"/>
  <c r="G33" i="29"/>
  <c r="D34" i="29"/>
  <c r="E34" i="29"/>
  <c r="F34" i="29"/>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1" i="29" l="1"/>
  <c r="F123" i="29"/>
  <c r="F125" i="29"/>
  <c r="F127" i="29"/>
  <c r="F129" i="29"/>
  <c r="F131" i="29"/>
  <c r="F133" i="29"/>
  <c r="F135" i="29"/>
  <c r="F137" i="29"/>
  <c r="F139" i="29"/>
  <c r="F141" i="29"/>
  <c r="F143" i="29"/>
  <c r="F145" i="29"/>
  <c r="F147" i="29"/>
  <c r="F149" i="29"/>
  <c r="F151" i="29"/>
  <c r="F153" i="29"/>
  <c r="F155" i="29"/>
  <c r="F157" i="29"/>
  <c r="F159" i="29"/>
  <c r="F161" i="29"/>
  <c r="F163" i="29"/>
  <c r="F165" i="29"/>
  <c r="F119"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7" i="45"/>
  <c r="F47" i="45"/>
  <c r="E48" i="45"/>
  <c r="F48" i="45"/>
  <c r="E49" i="45"/>
  <c r="F49" i="45"/>
  <c r="E50" i="45"/>
  <c r="F50" i="45"/>
  <c r="E51" i="45"/>
  <c r="F51" i="45"/>
  <c r="E52" i="45"/>
  <c r="F52" i="45"/>
  <c r="E53" i="45"/>
  <c r="F53" i="45"/>
  <c r="E54" i="45"/>
  <c r="F54" i="45"/>
  <c r="E55" i="45"/>
  <c r="F55" i="45"/>
  <c r="E56" i="45"/>
  <c r="F56" i="45"/>
  <c r="E57" i="45"/>
  <c r="F57" i="45"/>
  <c r="E58" i="45"/>
  <c r="F58" i="45"/>
  <c r="D34" i="45"/>
  <c r="D35" i="45"/>
  <c r="D36" i="45"/>
  <c r="D37" i="45"/>
  <c r="D38" i="45"/>
  <c r="D39" i="45"/>
  <c r="D40" i="45"/>
  <c r="D41" i="45"/>
  <c r="D43" i="45"/>
  <c r="D44" i="45"/>
  <c r="D45" i="45"/>
  <c r="D47" i="45"/>
  <c r="D48" i="45"/>
  <c r="D49" i="45"/>
  <c r="D50" i="45"/>
  <c r="D51" i="45"/>
  <c r="D52" i="45"/>
  <c r="D53" i="45"/>
  <c r="D54" i="45"/>
  <c r="D55" i="45"/>
  <c r="D56" i="45"/>
  <c r="D57" i="45"/>
  <c r="D58" i="45"/>
  <c r="F33" i="45"/>
  <c r="E33" i="45"/>
  <c r="D33" i="45"/>
  <c r="C33" i="45"/>
  <c r="C34" i="45"/>
  <c r="C35" i="45"/>
  <c r="C36" i="45"/>
  <c r="C37" i="45"/>
  <c r="C38" i="45"/>
  <c r="C39" i="45"/>
  <c r="C40" i="45"/>
  <c r="C41" i="45"/>
  <c r="C43" i="45"/>
  <c r="C44" i="45"/>
  <c r="C45" i="45"/>
  <c r="C47" i="45"/>
  <c r="C48" i="45"/>
  <c r="C49" i="45"/>
  <c r="C50" i="45"/>
  <c r="C51" i="45"/>
  <c r="C52" i="45"/>
  <c r="C53" i="45"/>
  <c r="C54" i="45"/>
  <c r="C55" i="45"/>
  <c r="C56" i="45"/>
  <c r="C57" i="45"/>
  <c r="C58" i="45"/>
  <c r="E121" i="29"/>
  <c r="E123" i="29"/>
  <c r="E125" i="29"/>
  <c r="E127" i="29"/>
  <c r="E129" i="29"/>
  <c r="E131" i="29"/>
  <c r="E133" i="29"/>
  <c r="E135" i="29"/>
  <c r="E137" i="29"/>
  <c r="E139" i="29"/>
  <c r="E141" i="29"/>
  <c r="E143" i="29"/>
  <c r="E145" i="29"/>
  <c r="E147" i="29"/>
  <c r="E149" i="29"/>
  <c r="E151" i="29"/>
  <c r="E153" i="29"/>
  <c r="E155" i="29"/>
  <c r="E157" i="29"/>
  <c r="E159" i="29"/>
  <c r="E161" i="29"/>
  <c r="E163" i="29"/>
  <c r="E165" i="29"/>
  <c r="E119" i="29"/>
  <c r="B165" i="29"/>
  <c r="B163" i="29"/>
  <c r="B161" i="29"/>
  <c r="B159" i="29"/>
  <c r="B157" i="29"/>
  <c r="B155" i="29"/>
  <c r="B153" i="29"/>
  <c r="B151" i="29"/>
  <c r="B149" i="29"/>
  <c r="B147" i="29"/>
  <c r="B145" i="29"/>
  <c r="B143" i="29"/>
  <c r="B141" i="29"/>
  <c r="B139" i="29"/>
  <c r="B137" i="29"/>
  <c r="B135" i="29"/>
  <c r="B133" i="29"/>
  <c r="B121" i="29"/>
  <c r="B123" i="29"/>
  <c r="B125" i="29"/>
  <c r="B127" i="29"/>
  <c r="B129" i="29"/>
  <c r="N19" i="37" s="1"/>
  <c r="B131" i="29"/>
  <c r="B119" i="29"/>
  <c r="D19" i="37" l="1"/>
  <c r="H19" i="37"/>
  <c r="G16" i="29" l="1"/>
  <c r="F40" i="29" l="1"/>
  <c r="F41" i="29"/>
  <c r="F42" i="29"/>
  <c r="F43" i="29"/>
  <c r="F44" i="29"/>
  <c r="F45" i="29"/>
  <c r="F46" i="29"/>
  <c r="F47" i="29"/>
  <c r="F48" i="29"/>
  <c r="F39" i="29"/>
  <c r="E42" i="29"/>
  <c r="E43" i="29"/>
  <c r="E44" i="29"/>
  <c r="K27" i="30" l="1"/>
  <c r="J27" i="30"/>
  <c r="E40" i="29" l="1"/>
  <c r="E41" i="29"/>
  <c r="E45" i="29"/>
  <c r="E47" i="29"/>
  <c r="E39" i="29"/>
  <c r="I174" i="29" l="1"/>
  <c r="J174" i="29"/>
  <c r="K174" i="29"/>
  <c r="L174" i="29"/>
  <c r="I175" i="29"/>
  <c r="J175" i="29"/>
  <c r="K175" i="29"/>
  <c r="L175" i="29"/>
  <c r="I171" i="29"/>
  <c r="J171" i="29"/>
  <c r="K171" i="29"/>
  <c r="L171" i="29"/>
  <c r="I172" i="29"/>
  <c r="J172" i="29"/>
  <c r="K172" i="29"/>
  <c r="L172" i="29"/>
  <c r="I173" i="29"/>
  <c r="J173" i="29"/>
  <c r="K173" i="29"/>
  <c r="L173" i="29"/>
  <c r="H171" i="29"/>
  <c r="H172" i="29"/>
  <c r="H173" i="29"/>
  <c r="H174" i="29"/>
  <c r="H175" i="29"/>
  <c r="L170" i="29"/>
  <c r="I170" i="29"/>
  <c r="J170" i="29"/>
  <c r="K170" i="29"/>
  <c r="G13" i="27" l="1"/>
  <c r="B174" i="29" l="1"/>
  <c r="E174" i="29"/>
  <c r="F174" i="29"/>
  <c r="M174" i="29"/>
  <c r="N174" i="29"/>
  <c r="O174" i="29"/>
  <c r="P174" i="29"/>
  <c r="Q174" i="29"/>
  <c r="R174" i="29"/>
  <c r="S174" i="29"/>
  <c r="M175" i="29"/>
  <c r="N175" i="29"/>
  <c r="O175" i="29"/>
  <c r="P175" i="29"/>
  <c r="Q175" i="29"/>
  <c r="R175" i="29"/>
  <c r="S175" i="29"/>
  <c r="C49" i="29" l="1"/>
  <c r="D49" i="29"/>
  <c r="F49" i="29" s="1"/>
  <c r="E49" i="29" l="1"/>
  <c r="E54" i="29"/>
  <c r="E57" i="29"/>
  <c r="E56" i="29"/>
  <c r="N34" i="29"/>
  <c r="M34" i="29"/>
  <c r="L34" i="29"/>
  <c r="K34" i="29"/>
  <c r="J34" i="29"/>
  <c r="I34" i="29"/>
  <c r="H34" i="29"/>
  <c r="N33" i="29"/>
  <c r="M33" i="29"/>
  <c r="L33" i="29"/>
  <c r="K33" i="29"/>
  <c r="J33" i="29"/>
  <c r="I33" i="29"/>
  <c r="E81" i="29" l="1"/>
  <c r="H170" i="29" l="1"/>
  <c r="D30" i="42" l="1"/>
  <c r="D37" i="42" l="1"/>
  <c r="R30" i="29" l="1"/>
  <c r="Q172" i="29"/>
  <c r="R172" i="29"/>
  <c r="Q173" i="29"/>
  <c r="R173" i="29"/>
  <c r="M172" i="29"/>
  <c r="N172" i="29"/>
  <c r="O172" i="29"/>
  <c r="P172" i="29"/>
  <c r="M173" i="29"/>
  <c r="N173" i="29"/>
  <c r="O173" i="29"/>
  <c r="P173" i="29"/>
  <c r="N8" i="37"/>
  <c r="B2" i="39"/>
  <c r="B2" i="42"/>
  <c r="C2" i="37"/>
  <c r="B2" i="35"/>
  <c r="B2" i="30"/>
  <c r="C2" i="45"/>
  <c r="B3" i="27"/>
  <c r="B2" i="1" s="1"/>
  <c r="I9" i="27"/>
  <c r="E53"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2" i="29"/>
  <c r="E91" i="29"/>
  <c r="D11" i="42"/>
  <c r="J3" i="35"/>
  <c r="L3" i="35"/>
  <c r="I3" i="30"/>
  <c r="K3" i="30"/>
  <c r="D33" i="42"/>
  <c r="D34" i="42"/>
  <c r="D35" i="42"/>
  <c r="D36" i="42"/>
  <c r="D38" i="42"/>
  <c r="D32" i="42"/>
  <c r="D31" i="42"/>
  <c r="E111" i="29"/>
  <c r="G111" i="29" s="1"/>
  <c r="I111" i="29" s="1"/>
  <c r="E110" i="29"/>
  <c r="G110" i="29" s="1"/>
  <c r="I110" i="29" s="1"/>
  <c r="E112" i="29"/>
  <c r="G112" i="29" s="1"/>
  <c r="I112" i="29" s="1"/>
  <c r="E113" i="29"/>
  <c r="G113" i="29" s="1"/>
  <c r="I113" i="29" s="1"/>
  <c r="K30" i="35"/>
  <c r="K31" i="35"/>
  <c r="K32" i="35"/>
  <c r="K33" i="35"/>
  <c r="M171" i="29"/>
  <c r="N171" i="29"/>
  <c r="O171" i="29"/>
  <c r="P171" i="29"/>
  <c r="Q171" i="29"/>
  <c r="R171" i="29"/>
  <c r="S171" i="29"/>
  <c r="S172" i="29"/>
  <c r="S173" i="29"/>
  <c r="M170" i="29"/>
  <c r="N170" i="29"/>
  <c r="O170" i="29"/>
  <c r="P170" i="29"/>
  <c r="Q170" i="29"/>
  <c r="R170" i="29"/>
  <c r="S170" i="29"/>
  <c r="F172" i="29"/>
  <c r="F170" i="29"/>
  <c r="E172" i="29"/>
  <c r="E170" i="29"/>
  <c r="B172" i="29"/>
  <c r="B170"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5" i="29"/>
  <c r="F20" i="42" s="1"/>
  <c r="G12" i="27"/>
  <c r="H4" i="1"/>
  <c r="G74"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69" i="29"/>
  <c r="R169" i="29"/>
  <c r="Q169" i="29"/>
  <c r="P169" i="29"/>
  <c r="O169" i="29"/>
  <c r="N169" i="29"/>
  <c r="M169" i="29"/>
  <c r="L169" i="29"/>
  <c r="K169" i="29"/>
  <c r="J169" i="29"/>
  <c r="I169" i="29"/>
  <c r="H169"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2" i="29"/>
  <c r="L35" i="29"/>
  <c r="M35" i="29"/>
  <c r="F35" i="37" l="1"/>
  <c r="G58" i="37"/>
  <c r="G54" i="37"/>
  <c r="G50" i="37"/>
  <c r="G46" i="37"/>
  <c r="G42" i="37"/>
  <c r="G38" i="37"/>
  <c r="F40" i="37"/>
  <c r="F44" i="37"/>
  <c r="F48" i="37"/>
  <c r="F52" i="37"/>
  <c r="F56" i="37"/>
  <c r="F36" i="37"/>
  <c r="G57" i="37"/>
  <c r="G53" i="37"/>
  <c r="G49" i="37"/>
  <c r="H49" i="37" s="1"/>
  <c r="G45" i="37"/>
  <c r="G41" i="37"/>
  <c r="G37" i="37"/>
  <c r="F41" i="37"/>
  <c r="F45" i="37"/>
  <c r="H45" i="37" s="1"/>
  <c r="F49" i="37"/>
  <c r="F53" i="37"/>
  <c r="F57" i="37"/>
  <c r="F37" i="37"/>
  <c r="G56" i="37"/>
  <c r="G52" i="37"/>
  <c r="H52" i="37" s="1"/>
  <c r="G48" i="37"/>
  <c r="G44" i="37"/>
  <c r="G40" i="37"/>
  <c r="G36" i="37"/>
  <c r="F42" i="37"/>
  <c r="F46" i="37"/>
  <c r="F50" i="37"/>
  <c r="F54" i="37"/>
  <c r="F58" i="37"/>
  <c r="F38" i="37"/>
  <c r="G55" i="37"/>
  <c r="G47" i="37"/>
  <c r="G43" i="37"/>
  <c r="G39" i="37"/>
  <c r="F43" i="37"/>
  <c r="F47" i="37"/>
  <c r="F55" i="37"/>
  <c r="G51" i="37"/>
  <c r="G35" i="37"/>
  <c r="H35" i="37" s="1"/>
  <c r="F51" i="37"/>
  <c r="F39" i="37"/>
  <c r="H39" i="37" s="1"/>
  <c r="H15" i="35"/>
  <c r="H22" i="30"/>
  <c r="B3" i="32"/>
  <c r="AE46" i="37"/>
  <c r="AC46" i="37"/>
  <c r="AG46" i="37"/>
  <c r="AF46" i="37"/>
  <c r="AE37" i="37"/>
  <c r="AD37" i="37"/>
  <c r="AC37" i="37"/>
  <c r="AG37" i="37"/>
  <c r="AF37" i="37"/>
  <c r="AD46" i="37"/>
  <c r="E20" i="42"/>
  <c r="K113" i="29"/>
  <c r="L33" i="35" s="1"/>
  <c r="J33" i="35"/>
  <c r="H7" i="35"/>
  <c r="D35" i="29"/>
  <c r="R32" i="29"/>
  <c r="B22" i="30"/>
  <c r="AC47" i="37"/>
  <c r="AG47" i="37"/>
  <c r="AD47" i="37"/>
  <c r="AE47" i="37"/>
  <c r="AF47" i="37"/>
  <c r="J30" i="35"/>
  <c r="K110" i="29"/>
  <c r="L30" i="35" s="1"/>
  <c r="K111" i="29"/>
  <c r="L31" i="35" s="1"/>
  <c r="J31" i="35"/>
  <c r="J32" i="35"/>
  <c r="K112" i="29"/>
  <c r="L32" i="35" s="1"/>
  <c r="H8" i="30"/>
  <c r="H26" i="35"/>
  <c r="B8" i="30"/>
  <c r="B7" i="35"/>
  <c r="B15" i="35"/>
  <c r="K35" i="29"/>
  <c r="I35" i="29"/>
  <c r="G35" i="29"/>
  <c r="R31" i="29"/>
  <c r="R34" i="29"/>
  <c r="F35" i="29"/>
  <c r="R51" i="29"/>
  <c r="Q53" i="29"/>
  <c r="E55" i="29"/>
  <c r="H38" i="37" l="1"/>
  <c r="H51" i="37"/>
  <c r="H48" i="37"/>
  <c r="H41" i="37"/>
  <c r="H40" i="37"/>
  <c r="H50" i="37"/>
  <c r="H47" i="37"/>
  <c r="H37" i="37"/>
  <c r="H53" i="37"/>
  <c r="H54" i="37"/>
  <c r="H43" i="37"/>
  <c r="H55" i="37"/>
  <c r="H56" i="37"/>
  <c r="H57" i="37"/>
  <c r="H42" i="37"/>
  <c r="H58"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4" authorId="1" shapeId="0" xr:uid="{00000000-0006-0000-0200-000002000000}">
      <text>
        <r>
          <rPr>
            <b/>
            <sz val="8"/>
            <color indexed="81"/>
            <rFont val="Tahoma"/>
            <family val="2"/>
            <charset val="204"/>
          </rPr>
          <t xml:space="preserve">If data are not available, do not enter zeros; rather, leave the cells in the table blank. </t>
        </r>
      </text>
    </comment>
    <comment ref="B75" authorId="1" shapeId="0" xr:uid="{00000000-0006-0000-0200-000003000000}">
      <text>
        <r>
          <rPr>
            <b/>
            <sz val="8"/>
            <color indexed="81"/>
            <rFont val="Tahoma"/>
            <family val="2"/>
            <charset val="204"/>
          </rPr>
          <t>If data are not available, do not enter zeros; rather, leave the cells in this table blank.</t>
        </r>
      </text>
    </comment>
    <comment ref="B81" authorId="0" shapeId="0" xr:uid="{00000000-0006-0000-0200-000004000000}">
      <text>
        <r>
          <rPr>
            <sz val="8"/>
            <color indexed="81"/>
            <rFont val="Tahoma"/>
            <family val="2"/>
            <charset val="204"/>
          </rPr>
          <t xml:space="preserve">If data are not available, do not enter zeros; rather, leave the cells in this table blank. </t>
        </r>
      </text>
    </comment>
    <comment ref="B96"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<sst xmlns="http://schemas.openxmlformats.org/spreadsheetml/2006/main" count="837" uniqueCount="537">
  <si>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</si>
  <si>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</si>
  <si>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</si>
  <si>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</si>
  <si>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</si>
  <si>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</si>
  <si>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</si>
  <si>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</si>
  <si>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</si>
  <si>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</si>
  <si>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</si>
  <si>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</si>
  <si>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</si>
  <si>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</si>
  <si>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</si>
  <si>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</si>
  <si>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</si>
  <si>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</si>
  <si>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</si>
  <si>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</si>
  <si>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</si>
  <si>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</si>
  <si>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</si>
  <si>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</si>
  <si>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</si>
  <si>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</si>
  <si>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</si>
  <si>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</si>
  <si>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</si>
  <si>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</si>
  <si>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</si>
  <si>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</si>
  <si>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</si>
  <si>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</si>
  <si>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</si>
  <si>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</si>
  <si>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</si>
  <si>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</si>
  <si>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</si>
  <si>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</si>
  <si>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</si>
  <si>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</si>
  <si>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</si>
  <si>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</si>
  <si>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</si>
  <si>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</si>
  <si>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</si>
  <si>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</si>
  <si>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</si>
  <si>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</si>
  <si>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</si>
  <si>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</si>
  <si>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</si>
  <si>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</si>
  <si>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</si>
  <si>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</si>
  <si>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</si>
  <si>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</si>
  <si>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</si>
  <si>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</si>
  <si>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</si>
  <si>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</si>
  <si>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</si>
  <si>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</si>
  <si>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</si>
  <si>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</si>
  <si>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</si>
  <si>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</si>
  <si>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</si>
  <si>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</si>
  <si>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</si>
  <si>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</si>
  <si>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</si>
  <si>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</si>
  <si>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</si>
  <si>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</si>
  <si>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</si>
  <si>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</si>
  <si>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</si>
  <si>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</si>
  <si>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</si>
  <si>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</si>
  <si>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</si>
  <si>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</si>
  <si>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</si>
  <si>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</si>
  <si>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</si>
  <si>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</si>
  <si>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</si>
  <si>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</si>
  <si>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</si>
  <si>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</si>
  <si>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</si>
  <si>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</si>
  <si>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</si>
  <si>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</si>
  <si>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</si>
  <si>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</si>
  <si>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</si>
  <si>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</si>
  <si>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</si>
  <si>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</si>
  <si>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</si>
  <si>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</si>
  <si>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</si>
  <si>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</si>
  <si>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</si>
  <si>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</si>
  <si>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</si>
  <si>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</si>
  <si>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</si>
  <si>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</si>
  <si>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</si>
  <si>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</si>
  <si>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</si>
  <si>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</si>
  <si>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</si>
  <si>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</si>
  <si>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</si>
  <si>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</si>
  <si>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</si>
  <si>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</si>
  <si>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</si>
  <si>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</si>
  <si>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</si>
  <si>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</si>
  <si>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</si>
  <si>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</si>
  <si>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</si>
  <si>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</si>
  <si>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</si>
  <si>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</si>
  <si>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</si>
  <si>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</si>
  <si>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</si>
  <si>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</si>
  <si>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</si>
  <si>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</si>
  <si>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</si>
  <si>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</si>
  <si>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</si>
  <si>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</si>
  <si>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</si>
  <si>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</si>
  <si>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</si>
  <si>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</si>
  <si>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</si>
  <si>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</si>
  <si>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</si>
  <si>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</si>
  <si>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</si>
  <si>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</si>
  <si>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</si>
  <si>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</si>
  <si>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</si>
  <si>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</si>
  <si>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</si>
  <si>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</si>
  <si>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</si>
  <si>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</si>
  <si>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</si>
  <si>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</si>
  <si>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</si>
  <si>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</si>
  <si>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</si>
  <si>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</si>
  <si>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</si>
  <si>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</si>
  <si>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</si>
  <si>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</si>
  <si>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</si>
  <si>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</si>
  <si>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</si>
  <si>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</si>
  <si>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</si>
  <si>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</si>
  <si>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</si>
  <si>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</si>
  <si>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</si>
  <si>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</si>
  <si>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</si>
  <si>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</si>
  <si>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</si>
  <si>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</si>
  <si>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</si>
  <si>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</si>
  <si>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</si>
  <si>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</si>
  <si>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</si>
  <si>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</si>
  <si>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</si>
  <si>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</si>
  <si>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</si>
  <si>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</si>
  <si>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</si>
  <si>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</si>
  <si>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</si>
  <si>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</si>
  <si>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</si>
  <si>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</si>
  <si>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</si>
  <si>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</si>
  <si>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</si>
  <si>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</si>
  <si>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</si>
  <si>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</si>
  <si>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</si>
  <si>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</si>
  <si>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</si>
  <si>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</si>
  <si>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</si>
  <si>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</si>
  <si>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</si>
  <si>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</si>
  <si>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</si>
  <si>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</si>
  <si>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</si>
  <si>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</si>
  <si>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</si>
  <si>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</si>
  <si>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</si>
  <si>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</si>
  <si>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</si>
  <si>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</si>
  <si>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</si>
  <si>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</si>
  <si>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</si>
  <si>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</si>
  <si>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</si>
  <si>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</si>
  <si>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</si>
  <si>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</si>
  <si>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</si>
  <si>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</si>
  <si>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</si>
  <si>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</si>
  <si>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</si>
  <si>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</si>
  <si>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</si>
  <si>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</si>
  <si>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</si>
  <si>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</si>
  <si>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</si>
  <si>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</si>
  <si>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</si>
  <si>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</si>
  <si>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</si>
  <si>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</si>
  <si>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</si>
  <si>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</si>
  <si>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</si>
  <si>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</si>
  <si>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</si>
  <si>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</si>
  <si>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</si>
  <si>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</si>
  <si>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</si>
  <si>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</si>
  <si>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</si>
  <si>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</si>
  <si>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</si>
  <si>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</si>
  <si>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</si>
  <si>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</si>
  <si>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</si>
  <si>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</si>
  <si>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</si>
  <si>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</si>
  <si>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</si>
  <si>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</si>
  <si>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</si>
  <si>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</si>
  <si>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</si>
  <si>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</si>
  <si>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</si>
  <si>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</si>
  <si>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</si>
  <si>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</si>
  <si>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</si>
  <si>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</si>
  <si>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</si>
  <si>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</si>
  <si>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</si>
  <si>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</si>
  <si>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</si>
  <si>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</si>
  <si>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</si>
  <si>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</si>
  <si>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</si>
  <si>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</si>
  <si>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</si>
  <si>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</si>
  <si>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</si>
  <si>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</si>
  <si>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</si>
  <si>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</si>
  <si>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</si>
  <si>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</si>
  <si>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</si>
  <si>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</si>
  <si>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</si>
  <si>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</si>
  <si>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</si>
  <si>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</si>
  <si>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</si>
  <si>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</si>
  <si>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</si>
  <si>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</si>
  <si>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</si>
  <si>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</si>
  <si>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</si>
  <si>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</si>
  <si>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</si>
  <si>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</si>
  <si>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</si>
  <si>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</si>
  <si>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</si>
  <si>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</si>
  <si>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</si>
  <si>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</si>
  <si>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</si>
  <si>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</si>
  <si>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</si>
  <si>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</si>
  <si>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</si>
  <si>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</si>
  <si>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</si>
  <si>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</si>
  <si>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</si>
  <si>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</si>
  <si>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</si>
  <si>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</si>
  <si>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</si>
  <si>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</si>
  <si>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</si>
  <si>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</si>
  <si>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</si>
  <si>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</si>
  <si>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</si>
  <si>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</si>
  <si>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</si>
  <si>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</si>
  <si>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</si>
  <si>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</si>
  <si>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</si>
  <si>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</si>
  <si>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</si>
  <si>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</si>
  <si>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</si>
  <si>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</si>
  <si>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</si>
  <si>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</si>
  <si>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</si>
  <si>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</si>
  <si>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</si>
  <si>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</si>
  <si>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</si>
  <si>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</si>
  <si>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</si>
  <si>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</si>
  <si>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</si>
  <si>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</si>
  <si>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</si>
  <si>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</si>
  <si>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</si>
  <si>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</si>
  <si>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</si>
  <si>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</si>
  <si>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</si>
  <si>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</si>
  <si>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</si>
  <si>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</si>
  <si>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</si>
  <si>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</si>
  <si>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</si>
  <si>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</si>
  <si>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</si>
  <si>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</si>
  <si>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</si>
  <si>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</si>
  <si>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</si>
  <si>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</si>
  <si>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</si>
  <si>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</si>
  <si>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</si>
  <si>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</si>
  <si>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</si>
  <si>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</si>
  <si>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</si>
  <si>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</si>
  <si>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</si>
  <si>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</si>
  <si>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</si>
  <si>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</si>
  <si>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</si>
  <si>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</si>
  <si>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</si>
  <si>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</si>
  <si>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</si>
  <si>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</si>
  <si>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</si>
  <si>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</si>
  <si>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</si>
  <si>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</si>
  <si>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</si>
  <si>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</si>
  <si>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</si>
  <si>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</si>
  <si>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</si>
  <si>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</si>
  <si>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</si>
  <si>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</si>
  <si>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</si>
  <si>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</si>
  <si>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</si>
  <si>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</si>
  <si>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</si>
  <si>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Recomandările cheie a Comisiei de Supraveghere</t>
  </si>
  <si>
    <t>IP UCIMP DS</t>
  </si>
  <si>
    <t>Tsovinar Sakanyan</t>
  </si>
  <si>
    <t xml:space="preserve">                               Introduceți datele pentru management în celulele albastre</t>
  </si>
  <si>
    <t>Consolidarea managementului, coordonării, monitorizării și evaluării Programului Național de control al tuberculozei</t>
  </si>
  <si>
    <t>Fortificarea managementului Programului</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</si>
  <si>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</si>
  <si>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</si>
  <si>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</si>
  <si>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Period 1</t>
  </si>
  <si>
    <t>* Include numai AFR categoriile 4,5 și 6  (Produse medicale și Echipamente medicale &amp; Medicamente și Produse farmaceutice)</t>
  </si>
  <si>
    <t>Angajamente</t>
  </si>
  <si>
    <t>Variația</t>
  </si>
  <si>
    <t>%</t>
  </si>
  <si>
    <t>MDA-C-PCIMU</t>
  </si>
  <si>
    <t>Consolidarea controlului tuberculozei și reducerea SIDA și a mortalității aferente în Republica Moldova</t>
  </si>
  <si>
    <t>Start date</t>
  </si>
  <si>
    <t>End data</t>
  </si>
  <si>
    <t>N/A</t>
  </si>
  <si>
    <t>Asigurarea accesului universal la diagnosticul la timp şi de calitate al tuturor formelor de tuberculoză, inclusiv celor cu TB-M/EDR</t>
  </si>
  <si>
    <t>Asigurarea accesului universal la tratamentul calitativ pentru toate formele de TB, inclusiv cu TB-M/EDR</t>
  </si>
  <si>
    <t>Sporirea accesului la servicii de prevenire a infecției HIV, pe bază de dovezi</t>
  </si>
  <si>
    <t>Asigurarea accesului universal la servicii de tratament, îngrijire și suport comprehensiv al infecției HIV</t>
  </si>
  <si>
    <t xml:space="preserve">Consolidarea capacităţii comunităților si asigurarea durabilităţii programului </t>
  </si>
  <si>
    <t>HIV I-4: Mortalitatea asociată cu SIDA la 100,000 populaţie</t>
  </si>
  <si>
    <t>Studiu Bio-comportamental (BSS)</t>
  </si>
  <si>
    <t xml:space="preserve">Numărător: Numărul de respondenți care au rezultat HIV pozitiv.                                                                                                             
Numitor: Numărul de respondenți testați pentru HIV.                                                                                       </t>
  </si>
  <si>
    <t xml:space="preserve">Numărător: Numărul de respondenți care au rezultat HIV pozitiv.
Numitor: Numărul de respondenți testați pentru HIV.    </t>
  </si>
  <si>
    <t>Indicator de impact</t>
  </si>
  <si>
    <t>HIV O-4a (M): Procentul BSB care raportează utilizarea prezervativului în timpul ultimului act de sex anal cu partenerul de gen masculin</t>
  </si>
  <si>
    <t>HIV O-5 (M): Procentul LSC care raportează utilizarea prezervativului cu ultimul lor client</t>
  </si>
  <si>
    <t>HIV O-6 (M): Procentul consumatorilor de droguri injectabile care raportează utilizarea setului pentru injectare steril la ultima injectare</t>
  </si>
  <si>
    <t xml:space="preserve">Numărător: Numărul de respondenți care au raportat utilizarea prezervativului cu ultimul lor client.
Numitor: Numărul de respondenți care au raportat practicarea sexului comercial în ultimele 12 luni.                                                             </t>
  </si>
  <si>
    <t xml:space="preserve">Numărător: Numărul de respondenți care au raportat utilizarea setului pentru injectare steril, la ultima consumare de droguri injectabile.
Numitor: Numărul de respondenți care au raportat consumarea de droguri injectabile în ultima lună.                                                                                    </t>
  </si>
  <si>
    <t>Indicator de rezultat</t>
  </si>
  <si>
    <t xml:space="preserve">KP-1d(M): Procentul consumatorilor de droguri injectabile acoperiți de programele de prevenire HIV - pachet definit de servicii </t>
  </si>
  <si>
    <t>KP-3d(M): Procentul consumatorilor de droguri injectabile care au fost testați pentru HIV în perioada de raportare și își cunosc rezultatele</t>
  </si>
  <si>
    <t xml:space="preserve">KP-1c(M): Procentul LSC acoperiți de programele de prevenire HIV - pachet definit de servicii </t>
  </si>
  <si>
    <t>KP-3c(M): Procentul LSC care au fost testați pentru HIV în perioada de raportare și își cunosc rezultatele</t>
  </si>
  <si>
    <t xml:space="preserve">KP-1a(M): Procentul BSB acoperiți de programele de prevenire HIV - pachet definit de servicii </t>
  </si>
  <si>
    <t>KP-3a(M): Procentul BSB care au fost testați pentru HIV în perioada de raportare și își cunosc rezultatele</t>
  </si>
  <si>
    <t xml:space="preserve">TCS-1 (M): Procentul adulţilor şi copiilor care trăiesc cu HIV și urmează tratament antiretroviral </t>
  </si>
  <si>
    <t>Indicator de proces</t>
  </si>
  <si>
    <t>HIV</t>
  </si>
  <si>
    <t>Definiție (din M&amp;E Plan)</t>
  </si>
  <si>
    <t>Column1</t>
  </si>
  <si>
    <t>Column2</t>
  </si>
  <si>
    <t>N</t>
  </si>
  <si>
    <t>Tip indicator</t>
  </si>
  <si>
    <t xml:space="preserve">Numărător: Numărul de respondenți care au raportat utilizarea prezervativului în timpul ultimului act de sex anal.                                                       
Numitor: Numărul de respondenți care au raportat practicarea sexului anal în ultimele 6 luni.                                                                                      </t>
  </si>
  <si>
    <t>Sistemul R&amp;R TB; Rapoarte trimestriale; SYME TB</t>
  </si>
  <si>
    <t xml:space="preserve">Componenta </t>
  </si>
  <si>
    <t>TB I-3(M): Rata mortalităţii  - Numărul estimat de decese cauzate de TB (toate formele) pe an, la 100,000 persoane</t>
  </si>
  <si>
    <t xml:space="preserve">TB I-4(M): Prevalența TB MDR printre cazurile noi de tuberculoză </t>
  </si>
  <si>
    <t xml:space="preserve">Numărător: Numărul de respondenți care au rezultat HIV pozitiv.                                                                                                             
Numitor: Numărul de respondenți testați pentru HIV.                                                   
                                </t>
  </si>
  <si>
    <t xml:space="preserve">Registru pacienți/ Registru Național Decese
</t>
  </si>
  <si>
    <t xml:space="preserve">Numărător: Numărul de decese cauzate de HIV/ SIDA într-o anumită perioadă de timp.                                                  Numitor: Adulți (15+): Numărul total al populației (per 100 000 persoane). Copii (&lt;15): Numărul total al populației (per 1 000 nou-născuți).                                      
                                </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</si>
  <si>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</si>
  <si>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 xml:space="preserve">HIV I-9a (M): Procentul BSB care trăiesc cu HIV </t>
  </si>
  <si>
    <t>HIV I-10 (M): Procentul LSC care trăiesc cu HIV</t>
  </si>
  <si>
    <t>HIV I-11 (M): Procentul consumatorilor de droguri injectabile care trăiesc cu HIV</t>
  </si>
  <si>
    <t xml:space="preserve">TB O-4(M): Rata succesului tratamentului pacienților cu RR TB și/sau MDR-TB </t>
  </si>
  <si>
    <t>TB O-1a: Rata de notificare a cazurilor de tuberculoză (toate formele) per 100,000 populație</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</si>
  <si>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</si>
  <si>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</si>
  <si>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de decese cauzate de TB (toate formele) înregistrate într-o anumită perioadă per 100,000 persoane.                                                                                                                                                      Numitor: Numărul total al populației în țară.</t>
  </si>
  <si>
    <t>TB O-5(M): Rata de acoperire cu tratament antituberculos</t>
  </si>
  <si>
    <t>Numărător: Number de cazuri noi și recidive notificate și acoperite cu tratament, during specified period of time.
Numitor: Numărul estimat de cazuri TB din același an (toate formele TB - bacteriologic confirmate și diagnosticate clinic), din baza de date a OMS (WHO Global TB).</t>
  </si>
  <si>
    <t>Sistemul R&amp;R TB; Rapoarte trimestriale; SYME TB
Date estimative ale OMS (WHO Global TB)</t>
  </si>
  <si>
    <t xml:space="preserve">HIV O-1 (M): Procentul adulţilor şi copiilor HIV infectaţi care se află în tratament 12 luni după iniţierea tratamentului antiretroviral </t>
  </si>
  <si>
    <t xml:space="preserve">Numărător: Numărul adulților și copiilor care sunt în viață și în terapie ARV 12 luni după inițierea tratamentului.
Numitor: Numărul total de adulți ăi copii care în perioada de raportare au facut 12 luni de la inițierea TARV.                                                                         
</t>
  </si>
  <si>
    <t>MDR TB-2(M): Numărul cazurilor de TB DR (RR-TB și/sau MDR-TB), confirmate bacteriologic, notificate</t>
  </si>
  <si>
    <t xml:space="preserve">MDR TB-3(M): Numărul cazurilor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</si>
  <si>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</si>
  <si>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</si>
  <si>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MDR TB-4: Rezultatul interimar de abandon al tratamentului cazurilor MDR-TB</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</si>
  <si>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</si>
  <si>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MDR TB-8: Numărul cazurilor de XDR TB incluși în tratament în perioada raportată</t>
  </si>
  <si>
    <t xml:space="preserve">Numărător: Numărul cazurilor de XDR TB incluși în tratament în perioada raportată.                                    Numitor: Nu este                                                            </t>
  </si>
  <si>
    <t xml:space="preserve">Forme de raportare ONG, bazate pe IDU Ident  
</t>
  </si>
  <si>
    <t xml:space="preserve">Forme de raportare ONG, bazate pe IDU Ident
</t>
  </si>
  <si>
    <t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t>
  </si>
  <si>
    <t xml:space="preserve">Numărător: Numărul de CDI respondenți, care au fost testați pentru HIV în perioada de raportare și își cunosc rezultatele.
Numitor: Numărul estimat de CDI în Rep. Moldova.      
</t>
  </si>
  <si>
    <t xml:space="preserve">Numărător: Numărul de BSB care au fost testați pentru HIV în perioada de raportare și își cunosc rezultatele.
Numitor: Numărul estimat de BSB în Rep. Moldova.   
</t>
  </si>
  <si>
    <t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t>
  </si>
  <si>
    <t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t>
  </si>
  <si>
    <t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t>
  </si>
  <si>
    <t xml:space="preserve">Numărător: Numărul de LSC care au fost testați pentru HIV în perioada de raportare și își cunosc rezultatele.                                                                                                                                                             Numitor: Numărul estimat de LSC în Rep. Moldova.                                                           </t>
  </si>
  <si>
    <t>Registrele pacienților în TARV (Centrele TARV)</t>
  </si>
  <si>
    <t xml:space="preserve">
BSS. Data de raportare - 31 August 2020
</t>
  </si>
  <si>
    <t>BSS. Data de raportare - 31 August 2020</t>
  </si>
  <si>
    <t>Contractul de Sub-recipient cu IMSP IFP ”Chiril Draganiuc” a fost semnat la 09 februarie 2018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</si>
  <si>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În perioada raportată Sub-Recipientii au prezentat cite două rapoarte trimestriale, in conformitate cu acordurile semnate.</t>
  </si>
  <si>
    <t>Analiza stocului (la finele sem I 2018) medicamentelor antituberculoase de linia a II și a III, a numărului de pacienți în tratament la aceeași dată, arata prezența unui stock  între 4 și 6 luni, pentru preparatele de baza, urmatoarea livrare fiind asteptata in lunile septembrie-octombrie.</t>
  </si>
  <si>
    <t xml:space="preserve">Date finale pentru anul 2017. 320 persoane au decedat de tuberculoză în anul 2017 (7,94 decese la 100 000 persoane). 
Notă - Ținta a fost atinsă. Se constată o micșorare cu 14% a ratei de mortalitate față de datele anului 2016 (372 cazuri de deces cauzate de tuberculoză), cu 21,6% a ratei de mortalitate față de datele anului 2015 (408 cazuri de deces cauzate de tuberculoză), cu 37% a ratei de mortalitate față de datele anului 2014 (508 cazuri de deces cauzate de tuberculoză) și cu 29,8% față de datele anului 2013 (456 cazuri de deces cauzate de tuberculoză). </t>
  </si>
  <si>
    <t xml:space="preserve">Date finale pentru anul 2017. 308 cazuri noi de tuberculoză cu cultura pozitivă, testate la sensibilitate pentru preparatele de linia I, din 1 159 investigate în 2017, au fost diagnosticate cu MDR.
Notă - Se constată menținerea unei rate înalte a TB MDR printre cazurile noi, situație caracteristică ultimilor ani. </t>
  </si>
  <si>
    <r>
      <rPr>
        <b/>
        <sz val="8"/>
        <rFont val="Calibri"/>
        <family val="2"/>
      </rPr>
      <t>Date finale pentru anul 2017</t>
    </r>
    <r>
      <rPr>
        <sz val="8"/>
        <rFont val="Calibri"/>
        <family val="2"/>
      </rPr>
      <t xml:space="preserve">. 320 persoane au decedat de tuberculoză în anul 2017 (7,94 decese la 100 000 persoane). 
Notă - Ținta a fost atinsă. Se constată o micșorare cu 14% a ratei de mortalitate față de datele anului 2016 (372 cazuri de deces cauzate de tuberculoză), cu 21,6% a ratei de mortalitate față de datele anului 2015 (408 cazuri de deces cauzate de tuberculoză), cu 37% a ratei de mortalitate față de datele anului 2014 (508 cazuri de deces cauzate de tuberculoză) și cu 29,8% față de datele anului 2013 (456 cazuri de deces cauzate de tuberculoză). </t>
    </r>
  </si>
  <si>
    <r>
      <rPr>
        <b/>
        <sz val="8"/>
        <rFont val="Calibri"/>
        <family val="2"/>
      </rPr>
      <t>Date finale pentru anul 2017</t>
    </r>
    <r>
      <rPr>
        <sz val="8"/>
        <rFont val="Calibri"/>
        <family val="2"/>
      </rPr>
      <t xml:space="preserve">. 308 cazuri noi de tuberculoză cu cultura pozitivă, testate la sensibilitate pentru preparatele de linia I, din 1 159 investigate în 2017, au fost diagnosticate cu MDR.
Notă - Se constată menținerea unei rate înalte a TB MDR printre cazurile noi, situație caracteristică ultimilor ani. </t>
    </r>
  </si>
  <si>
    <t>n/a</t>
  </si>
  <si>
    <r>
      <rPr>
        <b/>
        <sz val="8"/>
        <rFont val="Calibri"/>
        <family val="2"/>
      </rPr>
      <t xml:space="preserve">Date preliminare pentru anul 2018. </t>
    </r>
    <r>
      <rPr>
        <sz val="8"/>
        <rFont val="Calibri"/>
        <family val="2"/>
      </rPr>
      <t xml:space="preserve">Pentru acest indicator, țintele sunt procentuale și anuale, la jumătate de an fiind raportat doar numărătorul. Numărul pacienților în terapie ARV la data de 30.06.2018, a fost de 5.487, dintre care: 3.821 - pe malul drept (3.725 adulți și 96 copii (&lt;15 ani), 1.967 bărbați și 1.854 femei) și 1.666 persoane - pe malul stâng al Nistrului, inclusiv 1.634 adulți și 32 copii, 821 bărbați și 845 femei.
Dezagregare:
- Bărbați: 2.788 
- Femei: 2.699 
- Adulți (15+): 5.359 
- Copii (&lt;15): 128 </t>
    </r>
  </si>
  <si>
    <r>
      <rPr>
        <b/>
        <sz val="8"/>
        <rFont val="Calibri"/>
        <family val="2"/>
      </rPr>
      <t>Date preliminare pentru anul 2018</t>
    </r>
    <r>
      <rPr>
        <sz val="8"/>
        <rFont val="Calibri"/>
        <family val="2"/>
      </rPr>
      <t xml:space="preserve">. Pentru acest indicator, țintele sunt procentuale și anuale, la jumătate de an fiind raportat doar numărătorul. La data de 30.06.2018, din 8.190 LSC estimate pentru acoperire de programele comprehensive de prevenire pentru LSC și clienții lor în anul 2018, 5.003 de LSC au primit cel puțin două servicii, unul din care a fost distribuirea de prezervative. </t>
    </r>
  </si>
  <si>
    <r>
      <rPr>
        <b/>
        <sz val="8"/>
        <rFont val="Calibri"/>
        <family val="2"/>
      </rPr>
      <t>Date preliminare pentru anul 2018</t>
    </r>
    <r>
      <rPr>
        <sz val="8"/>
        <rFont val="Calibri"/>
        <family val="2"/>
      </rPr>
      <t xml:space="preserve">. Pentru acest indicator, țintele sunt procentuale și anuale, la jumătate de an fiind raportat doar numărătorul. La data de 30.06.2018, din 4.206 BSB estimați pentru acoperire de programele comprehensive de prevenire pentru BSB în anul 2018, 2.888 au primit cel puțin două servicii, unul din care este obligatoriu distribuirea de prezervative sau lubrifianți. </t>
    </r>
  </si>
  <si>
    <t>Data de raportare - 31 August 2020. Datele sunt colectate și validate în conformitate cu rezultatele Studiului Bio-Comportamental (BSS).</t>
  </si>
  <si>
    <r>
      <rPr>
        <b/>
        <sz val="8"/>
        <rFont val="Calibri"/>
        <family val="2"/>
      </rPr>
      <t>Date preliminare pentru cohorta MDR-TB sem.I.2016</t>
    </r>
    <r>
      <rPr>
        <sz val="8"/>
        <rFont val="Calibri"/>
        <family val="2"/>
      </rPr>
      <t xml:space="preserve">. 280 cazuri confirmate de TB MDR, din 532 incluse în tratmentul DOTS Plus în sem.I.2016, au fost tratate cu succes (vindecate și cu tratamente încheiate).                        </t>
    </r>
  </si>
  <si>
    <r>
      <rPr>
        <b/>
        <sz val="8"/>
        <rFont val="Calibri"/>
        <family val="2"/>
      </rPr>
      <t>Date finale pentru anul 2017</t>
    </r>
    <r>
      <rPr>
        <sz val="8"/>
        <rFont val="Calibri"/>
        <family val="2"/>
      </rPr>
      <t>. 3 353 cazuri de tuberculoză (toate formele, bacteriologic confirmate și diagnosticate clinic, cazuri noi și recidive) au fost notificate către autoritatea națională în anul 2017.                                                                                                      Notă - Se constată o descreștere continuă a ratei de notificare înregistrate.</t>
    </r>
  </si>
  <si>
    <t>Indicatorul se raportează anual. Datele pentru anul 2018 vor fi disponibile începînd cu trimestrul I.2019.</t>
  </si>
  <si>
    <r>
      <rPr>
        <b/>
        <sz val="8"/>
        <rFont val="Calibri"/>
        <family val="2"/>
      </rPr>
      <t>Date preliminare pentru semestrul I.2018</t>
    </r>
    <r>
      <rPr>
        <sz val="8"/>
        <rFont val="Calibri"/>
        <family val="2"/>
      </rPr>
      <t xml:space="preserve">. 376 cazuri cu tuberculoză drog-rezistentă (RR-TB și/sau MDR-TB), confirmate bacteriologic, au fost notificate, față de 535 cazuri estimate pentru perioada raportată.                                                    
Notă - Reducerea numărului de pacienți MDR TB notificați este în directă corespundere cu scăderea incidenței TB.   </t>
    </r>
    <r>
      <rPr>
        <sz val="10"/>
        <color rgb="FFFF0000"/>
        <rFont val="Calibri"/>
        <family val="2"/>
      </rPr>
      <t xml:space="preserve">               </t>
    </r>
  </si>
  <si>
    <r>
      <rPr>
        <b/>
        <sz val="8"/>
        <rFont val="Calibri"/>
        <family val="2"/>
      </rPr>
      <t>Date preliminare pentru semestrul I.2018.</t>
    </r>
    <r>
      <rPr>
        <sz val="8"/>
        <rFont val="Calibri"/>
        <family val="2"/>
      </rPr>
      <t xml:space="preserve"> 485 cazuri cu tuberculoză drog-rezistentă (RR-TB și/sau MDR-TB), confirmate bacteriologic, au demarat tratamentul DOTS-Plus în sem.I.2018, față de 531 pacienți preconizați pentru perioada raportată.                                                                                                            </t>
    </r>
  </si>
  <si>
    <r>
      <rPr>
        <b/>
        <sz val="8"/>
        <rFont val="Calibri"/>
        <family val="2"/>
      </rPr>
      <t>Date preliminare pentru cohorta sem.I.2017.</t>
    </r>
    <r>
      <rPr>
        <sz val="8"/>
        <rFont val="Calibri"/>
        <family val="2"/>
      </rPr>
      <t xml:space="preserve"> 47 pacienți din 507 incluși în tratamentul DOTS Plus în sem.I.2017, au abandonat tratamentul către luna a 6 de la demararea tratamentului DOTS Plus.                   </t>
    </r>
  </si>
  <si>
    <t xml:space="preserve">Obiectivul 1 „Asigurarea accesului universal la diagnosticul la timp şi de calitate al tuturor formelor de tuberculoză, inclusiv celor cu TB-M/EDR” - procentul mic al variației se datorează, în mare parte, economiilor acumulate în rezultatul procurării unor cantități mai mici de medii nutritive, conform solicitării Beneficiarului, precum și transferării unor activități pentru sem II 2018, la solicitarea beneficiarului.
Obiectivul 2„Asigurarea accesului universal la tratamentul calitativ pentru toate formele de TB, inclusiv cu TB-M/EDR” - procentul mic al variației se datorează faptului că o parte din procurările de medicamente antituberculoase de linia II au fost transferate pentru perioada semestrului II.2018
</t>
  </si>
  <si>
    <t>Variația dintre bugetul aprobat și cheltuieli cumulative, se datorează in mare parte faptului, că o parte din procurările de medicamente antituberculoase de linia II au fost transferate pentru perioada semestrului II.2018</t>
  </si>
  <si>
    <t>Toate posturile în cadrul echipei ce gestionează Grantul curent sunt ocupate.</t>
  </si>
  <si>
    <t>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(informație disponibilă anual, se va raporta în următoarea perioadă)
-Asigurarea cooperării cu Comitetul de Lumină Verde(GLC), inclusiv prin bugetarea și autorizarea transferului cotizațiilor anuale de maximum 50.000 USD. (se va raporta în următoarea perioadă)</t>
  </si>
  <si>
    <t>Date finale pentru anul 2017. 144 persoane au decedat de SIDA în anul 2017 (populația RM - 4.035.277).
Datele pentru acest indicator sunt pentru a. 2017, pentru ambele maluri, raportabile către 15 august 2018.</t>
  </si>
  <si>
    <r>
      <rPr>
        <b/>
        <sz val="8"/>
        <rFont val="Calibri"/>
        <family val="2"/>
      </rPr>
      <t>Date finale pentru anul 2017</t>
    </r>
    <r>
      <rPr>
        <sz val="8"/>
        <rFont val="Calibri"/>
        <family val="2"/>
      </rPr>
      <t xml:space="preserve">. 144 persoane au decedat de SIDA în anul 2017 (populația RM - 4.035.277).
Datele pentru acest indicator sunt pentru a. 2017, pentru ambele maluri, raportabile către 15 august 2018.
</t>
    </r>
  </si>
  <si>
    <r>
      <rPr>
        <b/>
        <sz val="8"/>
        <rFont val="Calibri"/>
        <family val="2"/>
      </rPr>
      <t>Date preliminare pentru anul 2017</t>
    </r>
    <r>
      <rPr>
        <sz val="8"/>
        <rFont val="Calibri"/>
        <family val="2"/>
      </rPr>
      <t xml:space="preserve">. 770 din 924 pacienți HIV+ care au inițiat TARV pe parcursul a. 2016 erau în viață și în tratament ARV 12 luni după inițiere. Indicatorul se raportează anual. Datele pentru acest indicator sunt pentru a. 2017, raportabile către 15.08.2018.                                                                            Dezagregare:
Bărbați:  79.5% (387/487)
Femei:   87.6% (383/437)
Adulți (15+): 83.1% (754/907)
Copii (&lt;15): 94.1% (16/17)
</t>
    </r>
  </si>
  <si>
    <r>
      <rPr>
        <b/>
        <sz val="8"/>
        <rFont val="Calibri"/>
        <family val="2"/>
      </rPr>
      <t>Date preliminare pentru anul 2018</t>
    </r>
    <r>
      <rPr>
        <sz val="8"/>
        <rFont val="Calibri"/>
        <family val="2"/>
      </rPr>
      <t xml:space="preserve">. Pentru acest indicator, țintele sunt procentuale și anuale, la jumătate de an fiind raportat doar numărătorul. La data de 30.06.2018, din 17.646 CDI estimați pentru acoperire de programele de prevenire pentru CDI și partenerii lor în anul 2018, 15.225 de persoane au primit cel puțin două servicii, unul din care a fost schimbul de seringi. </t>
    </r>
  </si>
  <si>
    <r>
      <rPr>
        <b/>
        <sz val="8"/>
        <rFont val="Calibri"/>
        <family val="2"/>
      </rPr>
      <t>Date preliminare pentru anul 2018</t>
    </r>
    <r>
      <rPr>
        <sz val="8"/>
        <rFont val="Calibri"/>
        <family val="2"/>
      </rPr>
      <t>. Pentru acest indicator, țintele sunt procentuale și anuale, la jumătate de an fiind raportat doar numărătorul. La data de 30.06.2018, din 10.588 CDI estimați, au fost testați pentru HIV și își cunosc rezultatele 5.948 de CDI.</t>
    </r>
  </si>
  <si>
    <r>
      <rPr>
        <b/>
        <sz val="8"/>
        <rFont val="Calibri"/>
        <family val="2"/>
      </rPr>
      <t>Date preliminare pentru anul 2018</t>
    </r>
    <r>
      <rPr>
        <sz val="8"/>
        <rFont val="Calibri"/>
        <family val="2"/>
      </rPr>
      <t xml:space="preserve">. Pentru acest indicator, țintele sunt procentuale și anuale, la jumătate de an fiind raportat doar numărătorul. La data de 30.06.2018, din 4.554 LSC estimate pentru a fi testate, 2.748 LSC au fost testate pentru HIV și își cunosc rezultatele. </t>
    </r>
  </si>
  <si>
    <r>
      <rPr>
        <b/>
        <sz val="8"/>
        <rFont val="Calibri"/>
        <family val="2"/>
      </rPr>
      <t>Date preliminare pentru anul 2018</t>
    </r>
    <r>
      <rPr>
        <sz val="8"/>
        <rFont val="Calibri"/>
        <family val="2"/>
      </rPr>
      <t>. Pentru acest indicator, țintele sunt procentuale și anuale, la jumătate de an fiind raportat doar numărătorul. La data de 30.06.2018, din 2.398 de BSB estimați pentru a fi testați, 1.303 au fost testați la HIV și își cunosc rezultatele.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</si>
</sst>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50">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rgb="FF00B050"/>
      <name val="Arial"/>
      <family val="2"/>
    </font>
    <font>
      <b/>
      <sz val="11"/>
      <color rgb="FF00B050"/>
      <name val="Arial"/>
      <family val="2"/>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4" fillId="0" borderId="0"/>
    <xf numFmtId="164" fontId="104" fillId="0" borderId="0"/>
    <xf numFmtId="164" fontId="104" fillId="0" borderId="0"/>
    <xf numFmtId="164" fontId="104" fillId="0" borderId="0"/>
    <xf numFmtId="170" fontId="45" fillId="0" borderId="0"/>
    <xf numFmtId="9" fontId="3" fillId="0" borderId="0" applyFont="0" applyFill="0" applyBorder="0" applyAlignment="0" applyProtection="0"/>
    <xf numFmtId="164" fontId="104"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4" fillId="0" borderId="1" applyNumberFormat="0" applyFill="0" applyAlignment="0" applyProtection="0"/>
  </cellStyleXfs>
  <cellXfs count="947">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4" fillId="0" borderId="0" xfId="14" applyProtection="1"/>
    <xf numFmtId="164" fontId="8" fillId="0" borderId="0" xfId="14" applyFont="1" applyProtection="1"/>
    <xf numFmtId="170" fontId="11" fillId="0" borderId="0" xfId="14" applyNumberFormat="1" applyFont="1" applyBorder="1" applyProtection="1"/>
    <xf numFmtId="164" fontId="104" fillId="0" borderId="0" xfId="16" applyProtection="1"/>
    <xf numFmtId="164" fontId="104" fillId="0" borderId="0" xfId="16" applyFill="1" applyBorder="1" applyAlignment="1" applyProtection="1">
      <alignment horizontal="left"/>
    </xf>
    <xf numFmtId="170" fontId="0" fillId="0" borderId="0" xfId="0" applyFill="1" applyBorder="1" applyProtection="1"/>
    <xf numFmtId="164" fontId="104"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70" fontId="0" fillId="0" borderId="2" xfId="0" applyBorder="1"/>
    <xf numFmtId="170" fontId="0" fillId="0" borderId="0" xfId="0" applyFill="1" applyBorder="1" applyAlignment="1">
      <alignment horizontal="center"/>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70" fontId="54" fillId="0" borderId="0" xfId="0" applyFont="1" applyFill="1" applyBorder="1" applyAlignment="1" applyProtection="1">
      <alignment horizontal="left"/>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4"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4"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3" fontId="8" fillId="3" borderId="0" xfId="0" applyNumberFormat="1" applyFont="1" applyFill="1" applyProtection="1"/>
    <xf numFmtId="165" fontId="8" fillId="3" borderId="0" xfId="0" applyNumberFormat="1" applyFont="1" applyFill="1" applyProtection="1"/>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4" fillId="0" borderId="0" xfId="17" applyFill="1" applyBorder="1" applyAlignment="1" applyProtection="1">
      <alignment horizontal="center"/>
    </xf>
    <xf numFmtId="170" fontId="27" fillId="0" borderId="0" xfId="0" quotePrefix="1" applyFont="1" applyProtection="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66" fontId="0" fillId="0" borderId="0" xfId="0" applyNumberFormat="1" applyProtection="1"/>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2"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71" fillId="0" borderId="0" xfId="0" applyFont="1" applyFill="1" applyBorder="1" applyAlignment="1" applyProtection="1">
      <alignment horizontal="center" vertical="center"/>
    </xf>
    <xf numFmtId="170" fontId="4" fillId="0" borderId="33" xfId="0" applyFont="1" applyBorder="1" applyAlignment="1" applyProtection="1"/>
    <xf numFmtId="170" fontId="4" fillId="0" borderId="34" xfId="0" applyFont="1" applyBorder="1" applyAlignment="1" applyProtection="1"/>
    <xf numFmtId="170" fontId="18" fillId="0" borderId="35" xfId="0" applyFont="1" applyBorder="1" applyAlignment="1" applyProtection="1">
      <alignment vertical="distributed"/>
    </xf>
    <xf numFmtId="15" fontId="20" fillId="0" borderId="36" xfId="0" applyNumberFormat="1" applyFont="1" applyFill="1" applyBorder="1" applyAlignment="1" applyProtection="1">
      <alignment horizontal="center" vertical="center" wrapText="1"/>
    </xf>
    <xf numFmtId="170" fontId="19" fillId="0" borderId="37" xfId="0" applyFont="1" applyFill="1" applyBorder="1" applyAlignment="1" applyProtection="1"/>
    <xf numFmtId="15" fontId="19" fillId="0" borderId="2" xfId="0" applyNumberFormat="1" applyFont="1" applyFill="1" applyBorder="1" applyAlignment="1" applyProtection="1">
      <alignment horizontal="center"/>
    </xf>
    <xf numFmtId="15" fontId="19" fillId="0" borderId="38"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39" xfId="0" applyNumberFormat="1" applyFont="1" applyFill="1" applyBorder="1" applyAlignment="1" applyProtection="1">
      <alignment horizontal="center" wrapText="1"/>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70" fontId="0" fillId="0" borderId="40"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1" fillId="0" borderId="39" xfId="0" applyFont="1" applyFill="1" applyBorder="1" applyAlignment="1" applyProtection="1">
      <alignment horizontal="center" wrapText="1"/>
    </xf>
    <xf numFmtId="170" fontId="51" fillId="0" borderId="41" xfId="0" applyFont="1" applyFill="1" applyBorder="1" applyAlignment="1" applyProtection="1">
      <alignment horizontal="center" vertical="center"/>
    </xf>
    <xf numFmtId="170" fontId="17" fillId="0" borderId="0" xfId="0" applyFont="1" applyProtection="1"/>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2" xfId="0" applyFont="1" applyFill="1" applyBorder="1" applyAlignment="1" applyProtection="1">
      <alignment horizontal="center" wrapText="1"/>
    </xf>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49" fontId="0" fillId="0" borderId="0" xfId="0" applyNumberFormat="1" applyProtection="1"/>
    <xf numFmtId="3" fontId="0" fillId="0" borderId="2" xfId="0" applyNumberFormat="1" applyFill="1" applyBorder="1" applyProtection="1"/>
    <xf numFmtId="4" fontId="0" fillId="0" borderId="0" xfId="0" applyNumberFormat="1" applyProtection="1"/>
    <xf numFmtId="170" fontId="0" fillId="0" borderId="50" xfId="0" applyFill="1" applyBorder="1" applyAlignment="1" applyProtection="1">
      <alignment horizontal="center"/>
    </xf>
    <xf numFmtId="164" fontId="93" fillId="0" borderId="0" xfId="16" applyFont="1" applyFill="1" applyBorder="1" applyProtection="1"/>
    <xf numFmtId="3" fontId="21" fillId="9" borderId="45" xfId="0" applyNumberFormat="1" applyFont="1" applyFill="1" applyBorder="1" applyAlignment="1" applyProtection="1">
      <protection locked="0"/>
    </xf>
    <xf numFmtId="3" fontId="21" fillId="9" borderId="51"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2" xfId="0" applyNumberFormat="1" applyFont="1" applyFill="1" applyBorder="1" applyAlignment="1" applyProtection="1"/>
    <xf numFmtId="170" fontId="0" fillId="9" borderId="2" xfId="0" applyFill="1" applyBorder="1" applyProtection="1"/>
    <xf numFmtId="170" fontId="0" fillId="6" borderId="2" xfId="0" applyFill="1" applyBorder="1" applyProtection="1"/>
    <xf numFmtId="49" fontId="18" fillId="0" borderId="57" xfId="0" applyNumberFormat="1" applyFont="1" applyFill="1" applyBorder="1" applyAlignment="1" applyProtection="1">
      <alignment vertical="center" wrapText="1"/>
    </xf>
    <xf numFmtId="170" fontId="63" fillId="0" borderId="58" xfId="0" applyNumberFormat="1" applyFont="1" applyFill="1" applyBorder="1" applyAlignment="1" applyProtection="1">
      <alignment horizontal="center" vertical="center" wrapText="1"/>
    </xf>
    <xf numFmtId="170" fontId="63" fillId="0" borderId="59" xfId="0" applyNumberFormat="1" applyFont="1" applyFill="1" applyBorder="1" applyAlignment="1" applyProtection="1">
      <alignment horizontal="center" vertical="center" wrapText="1"/>
    </xf>
    <xf numFmtId="170" fontId="0" fillId="0" borderId="61" xfId="0" applyBorder="1" applyAlignment="1" applyProtection="1"/>
    <xf numFmtId="170" fontId="0" fillId="0" borderId="2" xfId="0" applyNumberFormat="1" applyFill="1" applyBorder="1" applyProtection="1"/>
    <xf numFmtId="164" fontId="104" fillId="9" borderId="62" xfId="23" applyFill="1" applyBorder="1" applyAlignment="1" applyProtection="1">
      <alignment vertical="center"/>
    </xf>
    <xf numFmtId="170" fontId="0" fillId="0" borderId="12" xfId="0" applyBorder="1" applyProtection="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NumberFormat="1" applyFill="1" applyBorder="1"/>
    <xf numFmtId="15" fontId="20" fillId="0" borderId="67"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170" fontId="0" fillId="0" borderId="44" xfId="0" applyNumberFormat="1" applyFill="1" applyBorder="1" applyProtection="1"/>
    <xf numFmtId="3" fontId="0" fillId="0" borderId="44" xfId="0" applyNumberFormat="1" applyFill="1" applyBorder="1" applyProtection="1"/>
    <xf numFmtId="168" fontId="0" fillId="0" borderId="44" xfId="0" applyNumberFormat="1" applyFill="1" applyBorder="1" applyAlignment="1" applyProtection="1">
      <alignment horizontal="center"/>
    </xf>
    <xf numFmtId="170" fontId="0" fillId="0" borderId="81" xfId="0" applyBorder="1" applyAlignment="1" applyProtection="1">
      <alignment horizontal="center" wrapText="1"/>
    </xf>
    <xf numFmtId="168" fontId="0" fillId="0" borderId="82" xfId="0" applyNumberFormat="1" applyFill="1" applyBorder="1" applyProtection="1"/>
    <xf numFmtId="168" fontId="0" fillId="0" borderId="83" xfId="0" applyNumberFormat="1" applyFill="1" applyBorder="1" applyProtection="1"/>
    <xf numFmtId="170" fontId="100" fillId="0" borderId="2" xfId="0" applyFont="1" applyFill="1" applyBorder="1" applyAlignment="1" applyProtection="1">
      <alignment horizontal="center"/>
    </xf>
    <xf numFmtId="170" fontId="100" fillId="10" borderId="2" xfId="0" applyFont="1" applyFill="1" applyBorder="1" applyAlignment="1" applyProtection="1">
      <alignment horizontal="center"/>
    </xf>
    <xf numFmtId="164" fontId="101" fillId="0" borderId="12" xfId="23" applyFont="1" applyFill="1" applyBorder="1" applyAlignment="1" applyProtection="1">
      <alignment vertical="center"/>
    </xf>
    <xf numFmtId="164" fontId="26" fillId="0" borderId="0" xfId="0" applyNumberFormat="1" applyFont="1" applyAlignment="1" applyProtection="1">
      <alignment horizontal="center"/>
    </xf>
    <xf numFmtId="170" fontId="51" fillId="0" borderId="84" xfId="0" applyFont="1" applyFill="1" applyBorder="1" applyAlignment="1" applyProtection="1">
      <alignment horizontal="center" vertical="center" wrapText="1"/>
    </xf>
    <xf numFmtId="170" fontId="100" fillId="0" borderId="78" xfId="0" applyFont="1" applyFill="1" applyBorder="1" applyAlignment="1" applyProtection="1">
      <alignment horizontal="center"/>
    </xf>
    <xf numFmtId="170" fontId="102" fillId="0" borderId="85"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5" fillId="0" borderId="0" xfId="0" applyFont="1" applyAlignment="1" applyProtection="1">
      <alignment horizontal="left" vertical="center"/>
    </xf>
    <xf numFmtId="170" fontId="0" fillId="0" borderId="0" xfId="0" applyAlignment="1" applyProtection="1">
      <alignment horizontal="center"/>
    </xf>
    <xf numFmtId="3" fontId="30" fillId="0" borderId="37" xfId="0" applyNumberFormat="1" applyFont="1" applyFill="1" applyBorder="1" applyAlignment="1" applyProtection="1">
      <alignment horizontal="center"/>
    </xf>
    <xf numFmtId="3" fontId="30" fillId="0" borderId="81"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0" fontId="51" fillId="0" borderId="88" xfId="0" applyFont="1" applyFill="1" applyBorder="1" applyAlignment="1" applyProtection="1">
      <alignment horizontal="center" vertical="center" wrapText="1"/>
    </xf>
    <xf numFmtId="170" fontId="38" fillId="0" borderId="89" xfId="0" applyNumberFormat="1" applyFont="1" applyFill="1" applyBorder="1" applyAlignment="1" applyProtection="1">
      <alignment horizontal="right"/>
    </xf>
    <xf numFmtId="170" fontId="51" fillId="0" borderId="90" xfId="0" applyFont="1" applyFill="1" applyBorder="1" applyAlignment="1" applyProtection="1">
      <alignment horizontal="center"/>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NumberFormat="1"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vertic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xf>
    <xf numFmtId="170" fontId="38" fillId="0" borderId="99"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3" fontId="80" fillId="9" borderId="45" xfId="0" applyNumberFormat="1" applyFont="1" applyFill="1" applyBorder="1" applyAlignment="1" applyProtection="1">
      <protection locked="0"/>
    </xf>
    <xf numFmtId="3" fontId="80" fillId="9" borderId="51"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2" xfId="0" applyNumberFormat="1" applyFont="1" applyFill="1" applyBorder="1" applyAlignment="1" applyProtection="1"/>
    <xf numFmtId="3" fontId="107" fillId="9" borderId="82" xfId="0" applyNumberFormat="1" applyFont="1" applyFill="1" applyBorder="1" applyAlignment="1" applyProtection="1">
      <alignment horizontal="centerContinuous"/>
    </xf>
    <xf numFmtId="171" fontId="21" fillId="0" borderId="0" xfId="0" applyNumberFormat="1" applyFont="1" applyAlignment="1" applyProtection="1">
      <alignment horizontal="center"/>
    </xf>
    <xf numFmtId="170" fontId="100"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70" fontId="34" fillId="0" borderId="0" xfId="0" applyFont="1" applyAlignment="1">
      <alignment horizontal="center"/>
    </xf>
    <xf numFmtId="170" fontId="34" fillId="0" borderId="0" xfId="0" applyFont="1" applyBorder="1" applyAlignment="1">
      <alignment horizontal="center"/>
    </xf>
    <xf numFmtId="170" fontId="112" fillId="0" borderId="0" xfId="0" applyFont="1" applyFill="1" applyBorder="1" applyAlignment="1" applyProtection="1">
      <alignment horizontal="right"/>
    </xf>
    <xf numFmtId="170" fontId="112" fillId="0" borderId="86" xfId="0" applyFont="1" applyFill="1" applyBorder="1" applyAlignment="1" applyProtection="1">
      <alignment horizontal="right"/>
    </xf>
    <xf numFmtId="3" fontId="14" fillId="9" borderId="45" xfId="0" applyNumberFormat="1" applyFont="1" applyFill="1" applyBorder="1" applyAlignment="1" applyProtection="1">
      <protection locked="0"/>
    </xf>
    <xf numFmtId="3" fontId="14" fillId="0" borderId="215" xfId="0" applyNumberFormat="1" applyFont="1" applyFill="1" applyBorder="1" applyAlignment="1" applyProtection="1"/>
    <xf numFmtId="1" fontId="14" fillId="3" borderId="106" xfId="0" applyNumberFormat="1" applyFont="1" applyFill="1" applyBorder="1" applyAlignment="1" applyProtection="1">
      <alignment horizontal="center"/>
    </xf>
    <xf numFmtId="3" fontId="106" fillId="0" borderId="17" xfId="0" applyNumberFormat="1" applyFont="1" applyFill="1" applyBorder="1" applyAlignment="1" applyProtection="1">
      <alignment horizontal="center"/>
    </xf>
    <xf numFmtId="170" fontId="106" fillId="0" borderId="0" xfId="0" applyFont="1" applyBorder="1" applyProtection="1"/>
    <xf numFmtId="1" fontId="106" fillId="0" borderId="106" xfId="0" applyNumberFormat="1" applyFont="1" applyFill="1" applyBorder="1" applyAlignment="1" applyProtection="1">
      <alignment horizontal="center"/>
    </xf>
    <xf numFmtId="9" fontId="114" fillId="0" borderId="0" xfId="0" applyNumberFormat="1" applyFont="1" applyFill="1" applyBorder="1" applyAlignment="1" applyProtection="1"/>
    <xf numFmtId="170" fontId="91" fillId="0" borderId="0" xfId="0" applyFont="1" applyFill="1" applyBorder="1" applyAlignment="1" applyProtection="1">
      <alignment horizontal="center" vertical="center"/>
    </xf>
    <xf numFmtId="9" fontId="114"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1" fillId="3" borderId="0" xfId="0" applyFont="1" applyFill="1" applyBorder="1" applyAlignment="1" applyProtection="1">
      <alignment horizontal="center" vertical="center"/>
    </xf>
    <xf numFmtId="170" fontId="115"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4" fillId="3" borderId="0" xfId="0" applyNumberFormat="1" applyFont="1" applyFill="1" applyBorder="1" applyProtection="1"/>
    <xf numFmtId="9" fontId="114"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6"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4" fillId="0" borderId="0" xfId="0" applyNumberFormat="1" applyFont="1" applyFill="1" applyBorder="1" applyProtection="1"/>
    <xf numFmtId="170" fontId="41" fillId="0" borderId="0" xfId="0" applyFont="1" applyFill="1" applyBorder="1" applyProtection="1"/>
    <xf numFmtId="170" fontId="118" fillId="0" borderId="0" xfId="0" applyFont="1" applyFill="1" applyBorder="1" applyProtection="1"/>
    <xf numFmtId="170" fontId="119" fillId="0" borderId="0" xfId="0" applyFont="1" applyFill="1" applyBorder="1" applyAlignment="1" applyProtection="1">
      <alignment horizontal="center" vertical="center"/>
    </xf>
    <xf numFmtId="170" fontId="120" fillId="0" borderId="0" xfId="0" applyFont="1" applyFill="1" applyBorder="1" applyAlignment="1" applyProtection="1">
      <alignment horizontal="center" vertical="center"/>
    </xf>
    <xf numFmtId="170" fontId="120" fillId="0" borderId="0" xfId="0" applyFont="1" applyFill="1" applyBorder="1" applyAlignment="1" applyProtection="1">
      <alignment horizontal="right" vertical="center" indent="1"/>
    </xf>
    <xf numFmtId="170" fontId="121" fillId="0" borderId="0" xfId="0" applyFont="1" applyFill="1" applyBorder="1" applyAlignment="1" applyProtection="1">
      <alignment horizontal="center"/>
    </xf>
    <xf numFmtId="170" fontId="51" fillId="0" borderId="69"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0"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6" xfId="0" applyNumberFormat="1" applyFont="1" applyFill="1" applyBorder="1" applyAlignment="1" applyProtection="1">
      <alignment vertical="center"/>
    </xf>
    <xf numFmtId="3" fontId="8" fillId="0" borderId="0" xfId="0" applyNumberFormat="1" applyFont="1" applyFill="1" applyProtection="1"/>
    <xf numFmtId="0" fontId="108" fillId="0" borderId="0" xfId="0" applyNumberFormat="1" applyFont="1" applyAlignment="1" applyProtection="1">
      <alignment horizontal="left" vertical="center"/>
    </xf>
    <xf numFmtId="3" fontId="107" fillId="22" borderId="83" xfId="0" applyNumberFormat="1" applyFont="1" applyFill="1" applyBorder="1" applyAlignment="1" applyProtection="1">
      <alignment horizontal="centerContinuous"/>
    </xf>
    <xf numFmtId="4" fontId="106" fillId="0" borderId="102" xfId="0" applyNumberFormat="1" applyFont="1" applyBorder="1" applyProtection="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3" fontId="0" fillId="0" borderId="0" xfId="0" applyNumberFormat="1" applyFill="1" applyProtection="1"/>
    <xf numFmtId="170" fontId="74" fillId="0" borderId="0" xfId="0" applyFont="1" applyFill="1" applyBorder="1" applyAlignment="1" applyProtection="1">
      <alignment horizontal="center"/>
    </xf>
    <xf numFmtId="3" fontId="21" fillId="9" borderId="221" xfId="0" applyNumberFormat="1" applyFont="1" applyFill="1" applyBorder="1" applyAlignment="1" applyProtection="1">
      <protection locked="0"/>
    </xf>
    <xf numFmtId="3" fontId="80" fillId="9" borderId="221" xfId="0" applyNumberFormat="1" applyFont="1" applyFill="1" applyBorder="1" applyAlignment="1" applyProtection="1">
      <protection locked="0"/>
    </xf>
    <xf numFmtId="4" fontId="106" fillId="0" borderId="103" xfId="0" applyNumberFormat="1" applyFont="1" applyBorder="1" applyProtection="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4" fontId="45" fillId="0" borderId="2" xfId="0" applyNumberFormat="1" applyFont="1" applyFill="1" applyBorder="1" applyAlignment="1" applyProtection="1">
      <alignment horizontal="center" vertical="center"/>
    </xf>
    <xf numFmtId="175" fontId="45" fillId="10" borderId="2" xfId="0" applyNumberFormat="1" applyFont="1" applyFill="1" applyBorder="1" applyAlignment="1" applyProtection="1">
      <alignment horizontal="center" vertical="center"/>
    </xf>
    <xf numFmtId="3" fontId="45" fillId="10" borderId="20" xfId="0" applyNumberFormat="1" applyFont="1" applyFill="1" applyBorder="1" applyAlignment="1" applyProtection="1">
      <alignment horizontal="center" vertical="center"/>
    </xf>
    <xf numFmtId="175" fontId="45" fillId="0" borderId="78" xfId="0" applyNumberFormat="1" applyFont="1" applyFill="1" applyBorder="1" applyAlignment="1" applyProtection="1">
      <alignment horizontal="center" vertical="center"/>
    </xf>
    <xf numFmtId="3" fontId="45" fillId="0" borderId="79" xfId="0" applyNumberFormat="1" applyFont="1" applyFill="1" applyBorder="1" applyAlignment="1" applyProtection="1">
      <alignment horizontal="center" vertical="center"/>
    </xf>
    <xf numFmtId="2" fontId="0" fillId="0" borderId="0" xfId="0" applyNumberFormat="1"/>
    <xf numFmtId="14" fontId="47" fillId="0" borderId="2" xfId="0" applyNumberFormat="1" applyFont="1" applyFill="1" applyBorder="1" applyAlignment="1" applyProtection="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31" fillId="0" borderId="2" xfId="20" applyNumberFormat="1" applyFont="1" applyFill="1" applyBorder="1" applyAlignment="1" applyProtection="1">
      <alignment horizontal="center"/>
    </xf>
    <xf numFmtId="170" fontId="0" fillId="0" borderId="76" xfId="0" applyBorder="1"/>
    <xf numFmtId="170" fontId="103"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3" fillId="18" borderId="28" xfId="0" applyFont="1" applyFill="1" applyBorder="1" applyAlignment="1" applyProtection="1">
      <alignment vertical="center" wrapText="1"/>
      <protection locked="0"/>
    </xf>
    <xf numFmtId="170" fontId="133" fillId="18" borderId="29" xfId="0" applyFont="1" applyFill="1" applyBorder="1" applyAlignment="1" applyProtection="1">
      <alignment vertical="center" wrapText="1"/>
      <protection locked="0"/>
    </xf>
    <xf numFmtId="170" fontId="91" fillId="0" borderId="27" xfId="0" applyFont="1" applyFill="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3" fillId="18" borderId="28" xfId="0" applyFont="1" applyFill="1" applyBorder="1" applyAlignment="1" applyProtection="1">
      <alignment vertical="top" wrapText="1"/>
      <protection locked="0"/>
    </xf>
    <xf numFmtId="170" fontId="133" fillId="18" borderId="29" xfId="0" applyFont="1" applyFill="1" applyBorder="1" applyAlignment="1" applyProtection="1">
      <alignment vertical="top" wrapText="1"/>
      <protection locked="0"/>
    </xf>
    <xf numFmtId="170" fontId="103" fillId="0" borderId="2" xfId="0" applyFont="1" applyBorder="1" applyAlignment="1" applyProtection="1">
      <alignment vertical="center" wrapText="1"/>
      <protection locked="0"/>
    </xf>
    <xf numFmtId="170" fontId="91" fillId="0" borderId="2" xfId="0" applyFont="1" applyFill="1" applyBorder="1" applyAlignment="1" applyProtection="1">
      <alignment vertical="center" wrapText="1"/>
      <protection locked="0"/>
    </xf>
    <xf numFmtId="170" fontId="91" fillId="18" borderId="2" xfId="0" applyFont="1" applyFill="1" applyBorder="1" applyAlignment="1" applyProtection="1">
      <alignment vertical="center" wrapText="1"/>
      <protection locked="0"/>
    </xf>
    <xf numFmtId="170" fontId="91" fillId="0" borderId="2" xfId="0" applyFont="1" applyFill="1" applyBorder="1" applyAlignment="1" applyProtection="1">
      <alignment horizontal="justify" vertical="center" wrapText="1"/>
      <protection locked="0"/>
    </xf>
    <xf numFmtId="170" fontId="91" fillId="18" borderId="2" xfId="0" applyFont="1" applyFill="1" applyBorder="1" applyAlignment="1" applyProtection="1">
      <alignment horizontal="justify" vertical="center"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70" fontId="103" fillId="0" borderId="107" xfId="0" applyFont="1" applyBorder="1" applyAlignment="1" applyProtection="1">
      <alignment horizontal="justify" vertical="center" wrapText="1"/>
      <protection locked="0"/>
    </xf>
    <xf numFmtId="170" fontId="91" fillId="18" borderId="107" xfId="0" applyFont="1" applyFill="1" applyBorder="1" applyAlignment="1" applyProtection="1">
      <alignment horizontal="justify" vertical="center" wrapText="1"/>
      <protection locked="0"/>
    </xf>
    <xf numFmtId="170" fontId="91" fillId="18" borderId="109" xfId="0" applyFont="1" applyFill="1" applyBorder="1" applyAlignment="1" applyProtection="1">
      <alignment horizontal="justify" vertical="center" wrapText="1"/>
      <protection locked="0"/>
    </xf>
    <xf numFmtId="1" fontId="135" fillId="0" borderId="0" xfId="0" applyNumberFormat="1" applyFont="1" applyAlignment="1">
      <alignment vertical="center"/>
    </xf>
    <xf numFmtId="1" fontId="135" fillId="0" borderId="0" xfId="0" applyNumberFormat="1" applyFont="1" applyBorder="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applyAlignment="1"/>
    <xf numFmtId="170" fontId="66" fillId="5" borderId="27" xfId="0" applyFont="1" applyFill="1" applyBorder="1" applyAlignment="1">
      <alignment vertical="center" wrapText="1"/>
    </xf>
    <xf numFmtId="170" fontId="132"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applyAlignment="1"/>
    <xf numFmtId="170" fontId="65" fillId="5" borderId="28" xfId="0" applyFont="1" applyFill="1" applyBorder="1" applyAlignment="1"/>
    <xf numFmtId="170" fontId="65" fillId="5" borderId="29" xfId="0" applyFont="1" applyFill="1" applyBorder="1" applyAlignment="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Border="1" applyAlignment="1">
      <alignment wrapText="1"/>
    </xf>
    <xf numFmtId="170" fontId="59" fillId="6" borderId="27" xfId="0" applyFont="1" applyFill="1" applyBorder="1" applyAlignment="1"/>
    <xf numFmtId="170" fontId="59" fillId="6" borderId="28" xfId="0" applyFont="1" applyFill="1" applyBorder="1" applyAlignment="1"/>
    <xf numFmtId="170" fontId="59" fillId="6" borderId="29" xfId="0" applyFont="1" applyFill="1" applyBorder="1" applyAlignment="1"/>
    <xf numFmtId="170" fontId="0" fillId="0" borderId="0" xfId="0" applyBorder="1" applyAlignment="1"/>
    <xf numFmtId="170" fontId="61" fillId="0" borderId="27" xfId="0" applyFont="1" applyBorder="1" applyAlignment="1">
      <alignment vertical="center" wrapText="1"/>
    </xf>
    <xf numFmtId="164" fontId="10" fillId="14" borderId="0" xfId="12" applyFont="1" applyFill="1" applyAlignment="1" applyProtection="1">
      <alignment vertical="center"/>
    </xf>
    <xf numFmtId="170" fontId="59" fillId="9" borderId="27" xfId="0" applyFont="1" applyFill="1" applyBorder="1" applyAlignment="1"/>
    <xf numFmtId="170" fontId="59" fillId="9" borderId="28" xfId="0" applyFont="1" applyFill="1" applyBorder="1" applyAlignment="1"/>
    <xf numFmtId="170" fontId="59" fillId="9" borderId="29" xfId="0" applyFont="1" applyFill="1" applyBorder="1" applyAlignment="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applyAlignment="1"/>
    <xf numFmtId="170" fontId="138" fillId="0" borderId="0" xfId="0" applyFont="1" applyAlignment="1" applyProtection="1">
      <alignment horizontal="left" vertical="center"/>
    </xf>
    <xf numFmtId="170" fontId="142" fillId="0" borderId="2" xfId="0" applyFont="1" applyBorder="1" applyAlignment="1" applyProtection="1">
      <alignment vertical="center" wrapText="1"/>
      <protection locked="0"/>
    </xf>
    <xf numFmtId="170" fontId="141" fillId="0" borderId="2" xfId="0" applyFont="1" applyFill="1" applyBorder="1" applyAlignment="1" applyProtection="1">
      <alignment vertical="center" wrapText="1"/>
      <protection locked="0"/>
    </xf>
    <xf numFmtId="170" fontId="141" fillId="18" borderId="2" xfId="0" applyFont="1" applyFill="1" applyBorder="1" applyAlignment="1" applyProtection="1">
      <alignment vertical="center" wrapText="1"/>
      <protection locked="0"/>
    </xf>
    <xf numFmtId="170" fontId="141" fillId="18" borderId="27" xfId="0" applyFont="1" applyFill="1" applyBorder="1" applyAlignment="1" applyProtection="1">
      <alignment vertical="center" wrapText="1"/>
      <protection locked="0"/>
    </xf>
    <xf numFmtId="170" fontId="26" fillId="25" borderId="0" xfId="0" applyFont="1" applyFill="1" applyBorder="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0" fontId="91" fillId="18" borderId="27" xfId="0" applyFont="1" applyFill="1" applyBorder="1" applyAlignment="1" applyProtection="1">
      <alignment horizontal="left" vertical="center" wrapText="1"/>
      <protection locked="0"/>
    </xf>
    <xf numFmtId="2" fontId="0" fillId="0" borderId="0" xfId="0" applyNumberFormat="1" applyProtection="1"/>
    <xf numFmtId="2" fontId="0" fillId="0" borderId="0" xfId="0" applyNumberFormat="1" applyFill="1" applyProtection="1"/>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pplyProtection="1">
      <alignment horizontal="center"/>
    </xf>
    <xf numFmtId="170" fontId="85" fillId="0" borderId="0" xfId="0" applyFont="1" applyAlignment="1" applyProtection="1">
      <alignment horizontal="right"/>
    </xf>
    <xf numFmtId="170" fontId="85" fillId="0" borderId="0" xfId="0" applyFont="1" applyBorder="1" applyAlignment="1" applyProtection="1">
      <alignment horizontal="right"/>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71" fontId="17" fillId="6" borderId="25" xfId="20" applyNumberFormat="1" applyFont="1" applyFill="1" applyBorder="1" applyAlignment="1" applyProtection="1">
      <alignment horizontal="center"/>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70" fontId="27" fillId="0" borderId="2" xfId="0" applyFont="1" applyBorder="1" applyAlignment="1" applyProtection="1">
      <alignment horizontal="center" vertical="center" wrapText="1"/>
    </xf>
    <xf numFmtId="9" fontId="0" fillId="0" borderId="0" xfId="19" applyFont="1" applyProtection="1"/>
    <xf numFmtId="170" fontId="23" fillId="3" borderId="27" xfId="0" applyFont="1" applyFill="1" applyBorder="1" applyAlignment="1" applyProtection="1"/>
    <xf numFmtId="168" fontId="148" fillId="3" borderId="2" xfId="0" applyNumberFormat="1" applyFont="1" applyFill="1" applyBorder="1" applyAlignment="1" applyProtection="1">
      <alignment horizontal="center"/>
    </xf>
    <xf numFmtId="168" fontId="148" fillId="0" borderId="2" xfId="0" applyNumberFormat="1" applyFont="1" applyBorder="1" applyAlignment="1" applyProtection="1">
      <alignment horizontal="center"/>
    </xf>
    <xf numFmtId="168" fontId="149" fillId="23" borderId="68" xfId="0" applyNumberFormat="1" applyFont="1" applyFill="1" applyBorder="1" applyAlignment="1" applyProtection="1">
      <alignment horizontal="center"/>
    </xf>
    <xf numFmtId="168" fontId="23" fillId="23" borderId="68" xfId="0" applyNumberFormat="1" applyFont="1" applyFill="1" applyBorder="1" applyAlignment="1" applyProtection="1">
      <alignment horizontal="center"/>
    </xf>
    <xf numFmtId="170" fontId="23" fillId="3" borderId="43" xfId="0" applyFont="1" applyFill="1" applyBorder="1" applyAlignment="1" applyProtection="1"/>
    <xf numFmtId="168" fontId="148" fillId="3" borderId="44" xfId="0" applyNumberFormat="1" applyFont="1" applyFill="1" applyBorder="1" applyAlignment="1" applyProtection="1">
      <alignment horizontal="center"/>
    </xf>
    <xf numFmtId="168" fontId="148" fillId="0" borderId="44" xfId="0" applyNumberFormat="1" applyFont="1" applyBorder="1" applyAlignment="1" applyProtection="1">
      <alignment horizontal="center"/>
    </xf>
    <xf numFmtId="14" fontId="0" fillId="0" borderId="2" xfId="0" applyNumberFormat="1" applyBorder="1" applyAlignment="1" applyProtection="1">
      <alignment horizontal="center"/>
    </xf>
    <xf numFmtId="49" fontId="0" fillId="0" borderId="2" xfId="0" applyNumberFormat="1" applyBorder="1" applyAlignment="1" applyProtection="1">
      <alignment horizontal="center"/>
    </xf>
    <xf numFmtId="49" fontId="106" fillId="24" borderId="2" xfId="0" applyNumberFormat="1" applyFont="1" applyFill="1" applyBorder="1" applyAlignment="1" applyProtection="1">
      <alignment horizontal="center"/>
    </xf>
    <xf numFmtId="49" fontId="56" fillId="0" borderId="2" xfId="0" applyNumberFormat="1" applyFont="1" applyBorder="1" applyAlignment="1" applyProtection="1">
      <alignment horizontal="center" wrapText="1"/>
    </xf>
    <xf numFmtId="170" fontId="8" fillId="0" borderId="0" xfId="0" applyFont="1" applyFill="1" applyProtection="1"/>
    <xf numFmtId="166" fontId="8" fillId="3" borderId="0" xfId="0" applyNumberFormat="1" applyFont="1" applyFill="1" applyProtection="1"/>
    <xf numFmtId="170" fontId="8" fillId="3" borderId="0" xfId="0" applyFont="1" applyFill="1" applyProtection="1"/>
    <xf numFmtId="165" fontId="25" fillId="2" borderId="45" xfId="0" applyNumberFormat="1" applyFont="1" applyFill="1" applyBorder="1" applyAlignment="1" applyProtection="1">
      <alignment horizontal="center"/>
    </xf>
    <xf numFmtId="165" fontId="25" fillId="2" borderId="46" xfId="0" applyNumberFormat="1" applyFont="1" applyFill="1" applyBorder="1" applyAlignment="1" applyProtection="1">
      <alignment horizontal="center"/>
    </xf>
    <xf numFmtId="165" fontId="25" fillId="0" borderId="47" xfId="0" applyNumberFormat="1" applyFont="1" applyFill="1" applyBorder="1" applyAlignment="1" applyProtection="1">
      <alignment horizontal="center"/>
    </xf>
    <xf numFmtId="170" fontId="14" fillId="0" borderId="0" xfId="0" applyFont="1" applyFill="1" applyProtection="1"/>
    <xf numFmtId="3" fontId="14" fillId="18" borderId="45" xfId="0" applyNumberFormat="1" applyFont="1" applyFill="1" applyBorder="1" applyAlignment="1" applyProtection="1"/>
    <xf numFmtId="170" fontId="14" fillId="0" borderId="0" xfId="0" applyNumberFormat="1" applyFont="1" applyFill="1" applyProtection="1"/>
    <xf numFmtId="165" fontId="25" fillId="0" borderId="0" xfId="0" applyNumberFormat="1" applyFont="1" applyFill="1" applyBorder="1" applyAlignment="1" applyProtection="1">
      <alignment horizontal="center"/>
    </xf>
    <xf numFmtId="164" fontId="21" fillId="0" borderId="0" xfId="0" applyNumberFormat="1" applyFont="1" applyFill="1" applyBorder="1" applyAlignment="1" applyProtection="1"/>
    <xf numFmtId="49" fontId="19" fillId="0" borderId="60" xfId="0" applyNumberFormat="1" applyFont="1" applyFill="1" applyBorder="1" applyAlignment="1" applyProtection="1">
      <alignment horizontal="justify" wrapText="1"/>
    </xf>
    <xf numFmtId="49" fontId="19" fillId="0" borderId="60" xfId="0" applyNumberFormat="1" applyFont="1" applyFill="1" applyBorder="1" applyAlignment="1" applyProtection="1">
      <alignment horizontal="justify"/>
    </xf>
    <xf numFmtId="170" fontId="19" fillId="0" borderId="60" xfId="0" applyFont="1" applyFill="1" applyBorder="1" applyAlignment="1" applyProtection="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Fill="1" applyBorder="1" applyAlignment="1" applyProtection="1">
      <alignment horizontal="left"/>
    </xf>
    <xf numFmtId="164" fontId="32" fillId="0" borderId="0" xfId="23" applyFont="1" applyFill="1" applyBorder="1" applyAlignment="1" applyProtection="1">
      <alignment horizontal="center" vertical="center"/>
    </xf>
    <xf numFmtId="170" fontId="0" fillId="0" borderId="0" xfId="0" applyFill="1" applyBorder="1" applyAlignment="1" applyProtection="1">
      <alignment horizontal="left" vertical="top"/>
    </xf>
    <xf numFmtId="15" fontId="0" fillId="0" borderId="0" xfId="0" applyNumberFormat="1" applyFill="1" applyBorder="1" applyAlignment="1" applyProtection="1">
      <alignment horizontal="center"/>
    </xf>
    <xf numFmtId="3" fontId="106" fillId="3" borderId="17" xfId="0" applyNumberFormat="1" applyFont="1" applyFill="1" applyBorder="1" applyAlignment="1" applyProtection="1">
      <alignment horizontal="center"/>
    </xf>
    <xf numFmtId="165" fontId="25" fillId="2" borderId="48" xfId="0" applyNumberFormat="1" applyFont="1" applyFill="1" applyBorder="1" applyAlignment="1" applyProtection="1">
      <alignment horizontal="center"/>
    </xf>
    <xf numFmtId="165" fontId="25" fillId="2" borderId="49" xfId="0" applyNumberFormat="1" applyFont="1" applyFill="1" applyBorder="1" applyAlignment="1" applyProtection="1">
      <alignment horizontal="center"/>
    </xf>
    <xf numFmtId="3" fontId="0" fillId="0" borderId="0" xfId="0" applyNumberFormat="1" applyFill="1" applyBorder="1" applyProtection="1"/>
    <xf numFmtId="170" fontId="21" fillId="0" borderId="23" xfId="0" applyFont="1" applyBorder="1" applyAlignment="1" applyProtection="1">
      <alignment horizontal="center" wrapText="1"/>
    </xf>
    <xf numFmtId="170" fontId="0" fillId="0" borderId="23" xfId="0" applyBorder="1" applyAlignment="1" applyProtection="1">
      <alignment horizontal="center" wrapText="1"/>
    </xf>
    <xf numFmtId="49" fontId="0" fillId="6" borderId="2" xfId="0" applyNumberFormat="1" applyFill="1" applyBorder="1" applyProtection="1"/>
    <xf numFmtId="170" fontId="0" fillId="6" borderId="2" xfId="0" applyNumberFormat="1" applyFill="1" applyBorder="1" applyProtection="1"/>
    <xf numFmtId="3" fontId="0" fillId="6" borderId="2" xfId="0" applyNumberFormat="1" applyFill="1" applyBorder="1" applyProtection="1"/>
    <xf numFmtId="170" fontId="0" fillId="6" borderId="2" xfId="0" applyNumberFormat="1" applyFill="1" applyBorder="1" applyAlignment="1" applyProtection="1">
      <alignment horizontal="center"/>
    </xf>
    <xf numFmtId="49" fontId="0" fillId="6" borderId="44" xfId="0" applyNumberFormat="1" applyFill="1" applyBorder="1" applyAlignment="1" applyProtection="1">
      <alignment horizontal="left"/>
    </xf>
    <xf numFmtId="170" fontId="0" fillId="6" borderId="44" xfId="0" applyNumberFormat="1" applyFill="1" applyBorder="1" applyProtection="1"/>
    <xf numFmtId="3" fontId="0" fillId="6" borderId="44" xfId="0" applyNumberFormat="1" applyFill="1" applyBorder="1" applyProtection="1"/>
    <xf numFmtId="170" fontId="0" fillId="6" borderId="44" xfId="0" applyNumberFormat="1" applyFill="1" applyBorder="1" applyAlignment="1" applyProtection="1">
      <alignment horizontal="center"/>
    </xf>
    <xf numFmtId="170" fontId="0" fillId="5" borderId="63" xfId="0" applyFill="1" applyBorder="1" applyProtection="1"/>
    <xf numFmtId="165" fontId="7" fillId="2" borderId="55" xfId="0" applyNumberFormat="1" applyFont="1" applyFill="1" applyBorder="1" applyAlignment="1" applyProtection="1">
      <alignment horizontal="center"/>
    </xf>
    <xf numFmtId="165" fontId="7" fillId="2" borderId="56" xfId="0" applyNumberFormat="1" applyFont="1" applyFill="1" applyBorder="1" applyAlignment="1" applyProtection="1">
      <alignment horizontal="center"/>
    </xf>
    <xf numFmtId="2" fontId="134" fillId="0" borderId="222" xfId="0" applyNumberFormat="1" applyFont="1" applyBorder="1" applyAlignment="1" applyProtection="1"/>
    <xf numFmtId="170" fontId="0" fillId="0" borderId="80" xfId="0" applyBorder="1" applyProtection="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3" fontId="14" fillId="9" borderId="2" xfId="1" quotePrefix="1" applyNumberFormat="1" applyFont="1" applyFill="1" applyBorder="1" applyProtection="1">
      <protection locked="0"/>
    </xf>
    <xf numFmtId="3" fontId="14" fillId="9" borderId="2" xfId="1" applyNumberFormat="1" applyFont="1" applyFill="1" applyBorder="1" applyAlignment="1" applyProtection="1">
      <protection locked="0"/>
    </xf>
    <xf numFmtId="4" fontId="14" fillId="9" borderId="2" xfId="1" applyNumberFormat="1" applyFont="1" applyFill="1" applyBorder="1" applyAlignment="1" applyProtection="1">
      <protection locked="0"/>
    </xf>
    <xf numFmtId="3" fontId="14" fillId="9" borderId="104" xfId="1" applyNumberFormat="1" applyFont="1" applyFill="1" applyBorder="1" applyAlignment="1" applyProtection="1">
      <protection locked="0"/>
    </xf>
    <xf numFmtId="1" fontId="106" fillId="9" borderId="2" xfId="0" applyNumberFormat="1" applyFont="1" applyFill="1" applyBorder="1" applyAlignment="1" applyProtection="1">
      <alignment horizontal="center"/>
      <protection locked="0"/>
    </xf>
    <xf numFmtId="1" fontId="106" fillId="9" borderId="38" xfId="0" applyNumberFormat="1" applyFont="1" applyFill="1" applyBorder="1" applyAlignment="1" applyProtection="1">
      <alignment horizontal="center"/>
      <protection locked="0"/>
    </xf>
    <xf numFmtId="1" fontId="106" fillId="9" borderId="52" xfId="0" applyNumberFormat="1" applyFont="1" applyFill="1" applyBorder="1" applyAlignment="1" applyProtection="1">
      <alignment horizontal="center"/>
      <protection locked="0"/>
    </xf>
    <xf numFmtId="1" fontId="106"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6" fillId="6" borderId="31" xfId="0" applyNumberFormat="1" applyFont="1" applyFill="1" applyBorder="1" applyAlignment="1" applyProtection="1">
      <alignment horizontal="center"/>
      <protection locked="0"/>
    </xf>
    <xf numFmtId="3" fontId="106" fillId="6" borderId="17" xfId="0" applyNumberFormat="1" applyFont="1" applyFill="1" applyBorder="1" applyAlignment="1" applyProtection="1">
      <alignment horizontal="center"/>
      <protection locked="0"/>
    </xf>
    <xf numFmtId="1" fontId="106" fillId="6" borderId="2" xfId="0" applyNumberFormat="1" applyFont="1" applyFill="1" applyBorder="1" applyAlignment="1" applyProtection="1">
      <alignment horizontal="center"/>
      <protection locked="0"/>
    </xf>
    <xf numFmtId="1" fontId="106" fillId="6" borderId="31" xfId="0" applyNumberFormat="1" applyFont="1" applyFill="1" applyBorder="1" applyAlignment="1" applyProtection="1">
      <alignment horizontal="center"/>
      <protection locked="0"/>
    </xf>
    <xf numFmtId="3" fontId="106"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6" fillId="0" borderId="2" xfId="0" applyNumberFormat="1" applyFont="1" applyFill="1" applyBorder="1" applyProtection="1">
      <protection locked="0"/>
    </xf>
    <xf numFmtId="3" fontId="106"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6" fillId="0" borderId="82" xfId="0" applyNumberFormat="1" applyFont="1" applyBorder="1" applyAlignment="1" applyProtection="1">
      <alignment horizontal="right" wrapText="1"/>
      <protection locked="0"/>
    </xf>
    <xf numFmtId="3" fontId="106" fillId="0" borderId="44" xfId="0" applyNumberFormat="1" applyFont="1" applyFill="1" applyBorder="1" applyProtection="1">
      <protection locked="0"/>
    </xf>
    <xf numFmtId="3" fontId="106"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6"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113" fillId="5" borderId="2" xfId="0" applyNumberFormat="1" applyFont="1" applyFill="1" applyBorder="1" applyAlignment="1" applyProtection="1">
      <alignment horizontal="center" vertical="center"/>
      <protection locked="0"/>
    </xf>
    <xf numFmtId="168" fontId="100"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2" fontId="51" fillId="5" borderId="2"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76" fontId="45" fillId="20" borderId="2" xfId="0" applyNumberFormat="1" applyFont="1" applyFill="1" applyBorder="1" applyAlignment="1" applyProtection="1">
      <alignment horizontal="center" vertical="center"/>
      <protection locked="0"/>
    </xf>
    <xf numFmtId="168" fontId="113" fillId="20" borderId="2" xfId="0" applyNumberFormat="1" applyFont="1" applyFill="1" applyBorder="1" applyAlignment="1" applyProtection="1">
      <alignment horizontal="center" vertical="center"/>
      <protection locked="0"/>
    </xf>
    <xf numFmtId="168" fontId="100"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76" fontId="51" fillId="20" borderId="2"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45" fillId="5" borderId="2" xfId="19" applyNumberFormat="1" applyFont="1" applyFill="1" applyBorder="1" applyAlignment="1" applyProtection="1">
      <alignment horizontal="center" vertical="center"/>
      <protection locked="0"/>
    </xf>
    <xf numFmtId="10" fontId="113" fillId="5" borderId="2" xfId="19" applyNumberFormat="1" applyFont="1" applyFill="1" applyBorder="1" applyAlignment="1" applyProtection="1">
      <alignment horizontal="center" vertical="center"/>
      <protection locked="0"/>
    </xf>
    <xf numFmtId="10" fontId="100" fillId="5" borderId="2" xfId="19"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45" fillId="7" borderId="2" xfId="0" applyNumberFormat="1" applyFont="1" applyFill="1" applyBorder="1" applyAlignment="1" applyProtection="1">
      <alignment horizontal="center" vertical="center"/>
      <protection locked="0"/>
    </xf>
    <xf numFmtId="3" fontId="100"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75" fontId="45" fillId="12" borderId="2" xfId="0" applyNumberFormat="1" applyFont="1" applyFill="1" applyBorder="1" applyAlignment="1" applyProtection="1">
      <alignment horizontal="center" vertical="center"/>
      <protection locked="0"/>
    </xf>
    <xf numFmtId="168" fontId="2"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75"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113" fillId="7" borderId="2" xfId="0" applyNumberFormat="1" applyFont="1" applyFill="1" applyBorder="1" applyAlignment="1" applyProtection="1">
      <alignment horizontal="right" vertical="center"/>
      <protection locked="0"/>
    </xf>
    <xf numFmtId="168" fontId="100" fillId="7" borderId="2" xfId="0" applyNumberFormat="1" applyFont="1" applyFill="1" applyBorder="1" applyAlignment="1" applyProtection="1">
      <alignment horizontal="right"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2"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 xfId="0" applyNumberFormat="1" applyFont="1" applyFill="1" applyBorder="1" applyAlignment="1" applyProtection="1">
      <alignment horizontal="right" vertical="center"/>
      <protection locked="0"/>
    </xf>
    <xf numFmtId="3" fontId="45" fillId="12" borderId="20" xfId="0" applyNumberFormat="1" applyFont="1" applyFill="1" applyBorder="1" applyAlignment="1" applyProtection="1">
      <alignment vertical="center"/>
      <protection locked="0"/>
    </xf>
    <xf numFmtId="176" fontId="45" fillId="7" borderId="2" xfId="0" applyNumberFormat="1" applyFont="1" applyFill="1" applyBorder="1" applyAlignment="1" applyProtection="1">
      <alignment horizontal="center" vertical="center"/>
      <protection locked="0"/>
    </xf>
    <xf numFmtId="176" fontId="51" fillId="7" borderId="2" xfId="0" applyNumberFormat="1" applyFont="1" applyFill="1" applyBorder="1" applyAlignment="1" applyProtection="1">
      <alignment horizontal="center" vertical="center"/>
      <protection locked="0"/>
    </xf>
    <xf numFmtId="1" fontId="45" fillId="7" borderId="2" xfId="0" applyNumberFormat="1" applyFont="1" applyFill="1" applyBorder="1" applyAlignment="1" applyProtection="1">
      <alignment horizontal="center" vertical="center"/>
      <protection locked="0"/>
    </xf>
    <xf numFmtId="1" fontId="51" fillId="7" borderId="2" xfId="0" applyNumberFormat="1" applyFont="1" applyFill="1" applyBorder="1" applyAlignment="1" applyProtection="1">
      <alignment horizontal="center" vertical="center"/>
      <protection locked="0"/>
    </xf>
    <xf numFmtId="1" fontId="51" fillId="12"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right" vertical="center"/>
      <protection locked="0"/>
    </xf>
    <xf numFmtId="3" fontId="51" fillId="12" borderId="20" xfId="0" applyNumberFormat="1" applyFont="1" applyFill="1" applyBorder="1" applyAlignment="1" applyProtection="1">
      <alignment vertical="center"/>
      <protection locked="0"/>
    </xf>
    <xf numFmtId="10"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applyProtection="1"/>
    <xf numFmtId="164" fontId="0" fillId="0" borderId="0" xfId="0" applyNumberFormat="1" applyProtection="1"/>
    <xf numFmtId="164" fontId="9" fillId="0" borderId="0" xfId="13" applyFont="1" applyFill="1" applyAlignment="1" applyProtection="1">
      <alignment vertical="center"/>
    </xf>
    <xf numFmtId="170" fontId="23" fillId="5" borderId="0" xfId="0" applyFont="1" applyFill="1" applyBorder="1" applyAlignment="1" applyProtection="1">
      <alignment horizontal="left"/>
    </xf>
    <xf numFmtId="170" fontId="106" fillId="0" borderId="0" xfId="0" applyFont="1" applyBorder="1" applyAlignment="1" applyProtection="1">
      <alignment horizontal="left"/>
    </xf>
    <xf numFmtId="22" fontId="0" fillId="0" borderId="0" xfId="0" applyNumberFormat="1" applyProtection="1"/>
    <xf numFmtId="170" fontId="0" fillId="0" borderId="0" xfId="0" applyBorder="1" applyAlignment="1" applyProtection="1">
      <alignment horizontal="center"/>
    </xf>
    <xf numFmtId="2" fontId="104" fillId="0" borderId="0" xfId="20" applyNumberFormat="1" applyFill="1" applyBorder="1" applyAlignment="1" applyProtection="1">
      <alignment horizontal="center"/>
    </xf>
    <xf numFmtId="15" fontId="0"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54" fillId="3" borderId="0" xfId="0" applyNumberFormat="1" applyFont="1" applyFill="1" applyBorder="1" applyAlignment="1" applyProtection="1">
      <alignment horizontal="center"/>
    </xf>
    <xf numFmtId="170" fontId="123" fillId="0" borderId="0" xfId="0" applyFont="1" applyProtection="1"/>
    <xf numFmtId="170" fontId="1" fillId="0" borderId="0" xfId="0" applyFont="1" applyBorder="1" applyAlignment="1" applyProtection="1"/>
    <xf numFmtId="170" fontId="1" fillId="0" borderId="0" xfId="0" applyFont="1" applyFill="1" applyBorder="1" applyAlignment="1" applyProtection="1"/>
    <xf numFmtId="170" fontId="55" fillId="0" borderId="0" xfId="0" applyFont="1" applyProtection="1"/>
    <xf numFmtId="170" fontId="21" fillId="0" borderId="0" xfId="0" applyFont="1" applyFill="1" applyBorder="1" applyAlignment="1" applyProtection="1">
      <alignment vertical="center" wrapText="1"/>
    </xf>
    <xf numFmtId="170" fontId="21" fillId="0" borderId="0" xfId="0" applyFont="1" applyFill="1" applyBorder="1" applyAlignment="1" applyProtection="1">
      <alignment horizontal="center"/>
    </xf>
    <xf numFmtId="170" fontId="0" fillId="3" borderId="0" xfId="0" applyFill="1" applyBorder="1" applyAlignment="1" applyProtection="1">
      <alignment horizontal="center"/>
    </xf>
    <xf numFmtId="164" fontId="9" fillId="0" borderId="0" xfId="4" applyFont="1" applyFill="1" applyAlignment="1" applyProtection="1">
      <alignment vertical="center"/>
    </xf>
    <xf numFmtId="170" fontId="124" fillId="0" borderId="0" xfId="0" applyFont="1" applyProtection="1"/>
    <xf numFmtId="170" fontId="126" fillId="5" borderId="0" xfId="0" applyFont="1" applyFill="1" applyBorder="1" applyAlignment="1" applyProtection="1">
      <alignment horizontal="left"/>
    </xf>
    <xf numFmtId="170" fontId="122" fillId="0" borderId="0" xfId="0" applyFont="1" applyProtection="1"/>
    <xf numFmtId="170" fontId="124" fillId="0" borderId="0" xfId="0" applyFont="1" applyBorder="1" applyAlignment="1" applyProtection="1">
      <alignment horizontal="left" wrapText="1"/>
    </xf>
    <xf numFmtId="170" fontId="27" fillId="0" borderId="0" xfId="0" applyFont="1" applyFill="1" applyAlignment="1" applyProtection="1">
      <alignment horizontal="left"/>
    </xf>
    <xf numFmtId="170" fontId="27" fillId="0" borderId="0" xfId="0" applyFont="1" applyFill="1" applyBorder="1" applyAlignment="1" applyProtection="1">
      <alignment horizontal="left"/>
    </xf>
    <xf numFmtId="170" fontId="136" fillId="0" borderId="0" xfId="0" applyFont="1" applyAlignment="1" applyProtection="1">
      <alignment horizontal="center" vertical="center"/>
    </xf>
    <xf numFmtId="170" fontId="106" fillId="0" borderId="0" xfId="0" applyFont="1" applyProtection="1"/>
    <xf numFmtId="171" fontId="21" fillId="0" borderId="0" xfId="0" applyNumberFormat="1" applyFont="1" applyProtection="1"/>
    <xf numFmtId="170" fontId="6" fillId="0" borderId="0" xfId="0" applyFont="1" applyProtection="1"/>
    <xf numFmtId="170" fontId="137" fillId="0" borderId="0" xfId="0" applyFont="1" applyAlignment="1" applyProtection="1">
      <alignment horizontal="center" vertical="center"/>
    </xf>
    <xf numFmtId="170" fontId="139" fillId="0" borderId="0" xfId="0" applyFont="1" applyProtection="1"/>
    <xf numFmtId="170" fontId="140" fillId="0" borderId="0" xfId="0" applyFont="1" applyAlignment="1" applyProtection="1">
      <alignment horizontal="center"/>
    </xf>
    <xf numFmtId="170" fontId="140" fillId="0" borderId="0" xfId="0" applyFont="1" applyProtection="1"/>
    <xf numFmtId="170" fontId="144" fillId="0" borderId="0" xfId="0" applyFont="1" applyProtection="1"/>
    <xf numFmtId="170" fontId="27" fillId="5" borderId="0" xfId="0" applyFont="1" applyFill="1" applyBorder="1" applyAlignment="1" applyProtection="1">
      <alignment horizontal="right" vertical="top" wrapText="1"/>
    </xf>
    <xf numFmtId="170" fontId="23" fillId="5" borderId="0" xfId="0" applyFont="1" applyFill="1" applyBorder="1" applyAlignment="1" applyProtection="1">
      <alignment horizontal="right" vertical="top" wrapText="1"/>
    </xf>
    <xf numFmtId="3" fontId="145" fillId="3" borderId="3" xfId="0" applyNumberFormat="1" applyFont="1" applyFill="1" applyBorder="1" applyAlignment="1" applyProtection="1">
      <alignment horizontal="right"/>
    </xf>
    <xf numFmtId="3" fontId="145" fillId="3" borderId="3" xfId="1" applyNumberFormat="1" applyFont="1" applyFill="1" applyBorder="1" applyProtection="1"/>
    <xf numFmtId="9" fontId="145" fillId="3" borderId="3" xfId="19" applyFont="1" applyFill="1" applyBorder="1" applyProtection="1"/>
    <xf numFmtId="170" fontId="145" fillId="0" borderId="0" xfId="0" applyFont="1" applyProtection="1"/>
    <xf numFmtId="170" fontId="146" fillId="0" borderId="0" xfId="0" applyFont="1" applyProtection="1"/>
    <xf numFmtId="2" fontId="136" fillId="0" borderId="0" xfId="0" applyNumberFormat="1" applyFont="1" applyAlignment="1" applyProtection="1">
      <alignment horizontal="center" vertical="center"/>
    </xf>
    <xf numFmtId="9" fontId="145" fillId="3" borderId="3" xfId="19" applyNumberFormat="1" applyFont="1" applyFill="1" applyBorder="1" applyProtection="1"/>
    <xf numFmtId="170" fontId="145" fillId="3" borderId="3" xfId="0" applyFont="1" applyFill="1" applyBorder="1" applyProtection="1"/>
    <xf numFmtId="9" fontId="145" fillId="3" borderId="3" xfId="19" applyFont="1" applyFill="1" applyBorder="1" applyAlignment="1" applyProtection="1">
      <alignment horizontal="center"/>
    </xf>
    <xf numFmtId="164" fontId="145" fillId="0" borderId="0" xfId="0" applyNumberFormat="1" applyFont="1" applyProtection="1"/>
    <xf numFmtId="170" fontId="14" fillId="3" borderId="3" xfId="0" applyFont="1" applyFill="1" applyBorder="1" applyProtection="1"/>
    <xf numFmtId="9" fontId="14" fillId="3" borderId="3" xfId="19" applyFont="1" applyFill="1" applyBorder="1" applyProtection="1"/>
    <xf numFmtId="170" fontId="143" fillId="0" borderId="0" xfId="0" applyFont="1" applyProtection="1"/>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8" fillId="0" borderId="0" xfId="0" applyFont="1" applyAlignment="1">
      <alignment horizontal="center"/>
    </xf>
    <xf numFmtId="170" fontId="99" fillId="0" borderId="0" xfId="0" applyFont="1" applyAlignment="1">
      <alignment horizontal="center"/>
    </xf>
    <xf numFmtId="170" fontId="26" fillId="25" borderId="126" xfId="0" applyFont="1" applyFill="1" applyBorder="1" applyAlignment="1">
      <alignment horizontal="center" vertical="center" textRotation="90"/>
    </xf>
    <xf numFmtId="0" fontId="45" fillId="27" borderId="2" xfId="0" applyNumberFormat="1" applyFont="1" applyFill="1" applyBorder="1" applyAlignment="1" applyProtection="1">
      <alignment horizontal="left" vertical="center" wrapText="1"/>
    </xf>
    <xf numFmtId="0" fontId="45" fillId="28" borderId="225" xfId="0" applyNumberFormat="1" applyFont="1" applyFill="1" applyBorder="1" applyAlignment="1" applyProtection="1">
      <alignment horizontal="center" vertical="center" wrapText="1"/>
    </xf>
    <xf numFmtId="0" fontId="45" fillId="28" borderId="224" xfId="0" applyNumberFormat="1" applyFont="1" applyFill="1" applyBorder="1" applyAlignment="1" applyProtection="1">
      <alignment horizontal="center" vertical="center" wrapText="1"/>
    </xf>
    <xf numFmtId="0" fontId="45" fillId="28" borderId="87" xfId="0" applyNumberFormat="1" applyFont="1" applyFill="1" applyBorder="1" applyAlignment="1" applyProtection="1">
      <alignment horizontal="center" vertical="center" wrapText="1"/>
    </xf>
    <xf numFmtId="0" fontId="45" fillId="28" borderId="74" xfId="0" applyNumberFormat="1" applyFont="1" applyFill="1" applyBorder="1" applyAlignment="1" applyProtection="1">
      <alignment horizontal="center" vertical="center" wrapText="1"/>
    </xf>
    <xf numFmtId="170" fontId="45" fillId="26" borderId="2" xfId="0" applyNumberFormat="1" applyFont="1" applyFill="1" applyBorder="1" applyAlignment="1" applyProtection="1">
      <alignment horizontal="left" vertical="center" wrapText="1"/>
    </xf>
    <xf numFmtId="170" fontId="45" fillId="26" borderId="225" xfId="0" applyNumberFormat="1" applyFont="1" applyFill="1" applyBorder="1" applyAlignment="1" applyProtection="1">
      <alignment horizontal="center" vertical="center" wrapText="1"/>
    </xf>
    <xf numFmtId="170" fontId="45" fillId="26" borderId="224" xfId="0" applyNumberFormat="1" applyFont="1" applyFill="1" applyBorder="1" applyAlignment="1" applyProtection="1">
      <alignment horizontal="center" vertical="center" wrapText="1"/>
    </xf>
    <xf numFmtId="170" fontId="45" fillId="26" borderId="87" xfId="0" applyNumberFormat="1" applyFont="1" applyFill="1" applyBorder="1" applyAlignment="1" applyProtection="1">
      <alignment horizontal="center" vertical="center" wrapText="1"/>
    </xf>
    <xf numFmtId="170" fontId="45" fillId="26" borderId="74" xfId="0" applyNumberFormat="1" applyFont="1" applyFill="1" applyBorder="1" applyAlignment="1" applyProtection="1">
      <alignment horizontal="center" vertical="center" wrapText="1"/>
    </xf>
    <xf numFmtId="164" fontId="42" fillId="14" borderId="0" xfId="4" applyFont="1" applyFill="1" applyAlignment="1" applyProtection="1">
      <alignment horizontal="center" vertical="center"/>
    </xf>
    <xf numFmtId="49" fontId="0" fillId="0" borderId="27" xfId="0" applyNumberFormat="1" applyBorder="1" applyAlignment="1" applyProtection="1">
      <alignment horizontal="center"/>
    </xf>
    <xf numFmtId="49" fontId="0" fillId="0" borderId="29" xfId="0" applyNumberFormat="1" applyBorder="1" applyAlignment="1" applyProtection="1">
      <alignment horizontal="center"/>
    </xf>
    <xf numFmtId="170" fontId="85" fillId="0" borderId="0" xfId="0" applyFont="1" applyAlignment="1" applyProtection="1">
      <alignment horizontal="right"/>
    </xf>
    <xf numFmtId="49" fontId="0" fillId="0" borderId="27" xfId="0" applyNumberFormat="1" applyBorder="1" applyAlignment="1" applyProtection="1">
      <alignment horizontal="justify" wrapText="1"/>
    </xf>
    <xf numFmtId="49" fontId="0" fillId="0" borderId="28" xfId="0" applyNumberFormat="1" applyBorder="1" applyAlignment="1" applyProtection="1">
      <alignment horizontal="justify" wrapText="1"/>
    </xf>
    <xf numFmtId="49" fontId="0" fillId="0" borderId="29" xfId="0" applyNumberFormat="1" applyBorder="1" applyAlignment="1" applyProtection="1">
      <alignment horizontal="justify" wrapText="1"/>
    </xf>
    <xf numFmtId="170" fontId="112" fillId="0" borderId="86" xfId="0" applyFont="1" applyFill="1" applyBorder="1" applyAlignment="1" applyProtection="1">
      <alignment horizontal="right" wrapText="1"/>
    </xf>
    <xf numFmtId="170" fontId="112" fillId="0" borderId="126" xfId="0" applyFont="1" applyFill="1" applyBorder="1" applyAlignment="1" applyProtection="1">
      <alignment horizontal="right" wrapText="1"/>
    </xf>
    <xf numFmtId="171" fontId="96" fillId="0" borderId="2" xfId="20" applyNumberFormat="1" applyFont="1" applyFill="1" applyBorder="1" applyAlignment="1" applyProtection="1">
      <alignment horizontal="center"/>
    </xf>
    <xf numFmtId="171" fontId="104" fillId="0" borderId="2" xfId="20" applyNumberFormat="1" applyFill="1" applyBorder="1" applyAlignment="1" applyProtection="1">
      <alignment horizontal="center"/>
    </xf>
    <xf numFmtId="170" fontId="85" fillId="0" borderId="86" xfId="0" applyFont="1" applyBorder="1" applyAlignment="1" applyProtection="1">
      <alignment horizontal="right"/>
    </xf>
    <xf numFmtId="172" fontId="106" fillId="0" borderId="27" xfId="0" applyNumberFormat="1" applyFont="1" applyFill="1" applyBorder="1" applyAlignment="1" applyProtection="1">
      <alignment horizontal="center"/>
    </xf>
    <xf numFmtId="172" fontId="106" fillId="0" borderId="29" xfId="0" applyNumberFormat="1" applyFont="1" applyFill="1" applyBorder="1" applyAlignment="1" applyProtection="1">
      <alignment horizontal="center"/>
    </xf>
    <xf numFmtId="49" fontId="109" fillId="0" borderId="2" xfId="0" applyNumberFormat="1" applyFont="1" applyBorder="1" applyAlignment="1" applyProtection="1">
      <alignment horizontal="center"/>
    </xf>
    <xf numFmtId="49" fontId="0" fillId="0" borderId="28" xfId="0" applyNumberFormat="1" applyBorder="1" applyAlignment="1" applyProtection="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0" xfId="0" applyFont="1" applyFill="1" applyBorder="1" applyAlignment="1" applyProtection="1">
      <alignment horizontal="center" vertical="center"/>
    </xf>
    <xf numFmtId="170" fontId="51" fillId="0" borderId="121" xfId="0" applyFont="1" applyFill="1" applyBorder="1" applyAlignment="1" applyProtection="1">
      <alignment horizontal="center" vertical="center"/>
    </xf>
    <xf numFmtId="170" fontId="51" fillId="0" borderId="122" xfId="0" applyFont="1" applyFill="1" applyBorder="1" applyAlignment="1" applyProtection="1">
      <alignment horizontal="center" vertical="center"/>
    </xf>
    <xf numFmtId="170" fontId="56" fillId="0" borderId="128" xfId="0" applyFont="1" applyBorder="1" applyAlignment="1" applyProtection="1">
      <alignment horizontal="right"/>
    </xf>
    <xf numFmtId="170" fontId="92" fillId="0" borderId="128" xfId="0" applyFont="1" applyBorder="1" applyAlignment="1" applyProtection="1"/>
    <xf numFmtId="164" fontId="7" fillId="0" borderId="129" xfId="0" applyNumberFormat="1" applyFont="1" applyBorder="1" applyAlignment="1" applyProtection="1">
      <alignment horizontal="center"/>
    </xf>
    <xf numFmtId="170" fontId="7" fillId="0" borderId="130" xfId="0" applyFont="1" applyBorder="1" applyAlignment="1" applyProtection="1">
      <alignment horizontal="center"/>
    </xf>
    <xf numFmtId="170" fontId="7" fillId="0" borderId="131" xfId="0" applyFont="1" applyBorder="1" applyAlignment="1" applyProtection="1">
      <alignment horizontal="center"/>
    </xf>
    <xf numFmtId="170" fontId="19" fillId="0" borderId="134" xfId="0" applyFont="1" applyBorder="1" applyAlignment="1" applyProtection="1">
      <alignment horizontal="center" wrapText="1"/>
    </xf>
    <xf numFmtId="170" fontId="19" fillId="0" borderId="135" xfId="0" applyFont="1" applyBorder="1" applyAlignment="1" applyProtection="1">
      <alignment horizontal="center" wrapText="1"/>
    </xf>
    <xf numFmtId="170" fontId="19" fillId="0" borderId="136" xfId="0" applyFont="1" applyBorder="1" applyAlignment="1" applyProtection="1">
      <alignment horizontal="center" wrapText="1"/>
    </xf>
    <xf numFmtId="170" fontId="0" fillId="5" borderId="27" xfId="0" applyFill="1" applyBorder="1" applyAlignment="1" applyProtection="1">
      <alignment horizontal="center"/>
    </xf>
    <xf numFmtId="170" fontId="0" fillId="5" borderId="29" xfId="0" applyFill="1" applyBorder="1" applyAlignment="1" applyProtection="1">
      <alignment horizontal="center"/>
    </xf>
    <xf numFmtId="0" fontId="45" fillId="26" borderId="2" xfId="0" applyNumberFormat="1" applyFont="1" applyFill="1" applyBorder="1" applyAlignment="1" applyProtection="1">
      <alignment vertical="center" wrapText="1"/>
    </xf>
    <xf numFmtId="170" fontId="85" fillId="0" borderId="0" xfId="0" applyFont="1" applyBorder="1" applyAlignment="1" applyProtection="1">
      <alignment horizontal="right"/>
    </xf>
    <xf numFmtId="170" fontId="85" fillId="0" borderId="126" xfId="0" applyFont="1" applyBorder="1" applyAlignment="1" applyProtection="1">
      <alignment horizontal="right"/>
    </xf>
    <xf numFmtId="49" fontId="0" fillId="0" borderId="2" xfId="0" applyNumberFormat="1" applyBorder="1" applyAlignment="1" applyProtection="1">
      <alignment horizontal="center"/>
    </xf>
    <xf numFmtId="49" fontId="45" fillId="0" borderId="132" xfId="0" applyNumberFormat="1" applyFont="1" applyFill="1" applyBorder="1" applyAlignment="1" applyProtection="1">
      <alignment horizontal="justify" vertical="center" wrapText="1"/>
    </xf>
    <xf numFmtId="49" fontId="45" fillId="0" borderId="108" xfId="0" applyNumberFormat="1" applyFont="1" applyFill="1" applyBorder="1" applyAlignment="1" applyProtection="1">
      <alignment horizontal="justify" vertical="center" wrapText="1"/>
    </xf>
    <xf numFmtId="49" fontId="45" fillId="0" borderId="133" xfId="0" applyNumberFormat="1" applyFont="1" applyFill="1" applyBorder="1" applyAlignment="1" applyProtection="1">
      <alignment horizontal="justify" vertical="center" wrapText="1"/>
    </xf>
    <xf numFmtId="49" fontId="45" fillId="0" borderId="72" xfId="0" applyNumberFormat="1" applyFont="1" applyFill="1" applyBorder="1" applyAlignment="1" applyProtection="1">
      <alignment horizontal="justify" vertical="center" wrapText="1"/>
    </xf>
    <xf numFmtId="49" fontId="45" fillId="0" borderId="73" xfId="0" applyNumberFormat="1" applyFont="1" applyFill="1" applyBorder="1" applyAlignment="1" applyProtection="1">
      <alignment horizontal="justify" vertical="center" wrapText="1"/>
    </xf>
    <xf numFmtId="49" fontId="45" fillId="0" borderId="77" xfId="0" applyNumberFormat="1" applyFont="1" applyFill="1" applyBorder="1" applyAlignment="1" applyProtection="1">
      <alignment horizontal="justify" vertical="center" wrapText="1"/>
    </xf>
    <xf numFmtId="0" fontId="45" fillId="10" borderId="119" xfId="0" applyNumberFormat="1" applyFont="1" applyFill="1" applyBorder="1" applyAlignment="1" applyProtection="1">
      <alignment horizontal="center" vertical="center" wrapText="1"/>
    </xf>
    <xf numFmtId="170" fontId="45" fillId="10" borderId="132" xfId="0" applyFont="1" applyFill="1" applyBorder="1" applyAlignment="1" applyProtection="1">
      <alignment horizontal="justify" vertical="center" wrapText="1"/>
    </xf>
    <xf numFmtId="170" fontId="45" fillId="10" borderId="108" xfId="0" applyFont="1" applyFill="1" applyBorder="1" applyAlignment="1" applyProtection="1">
      <alignment horizontal="justify" vertical="center" wrapText="1"/>
    </xf>
    <xf numFmtId="170" fontId="45" fillId="10" borderId="133" xfId="0" applyFont="1" applyFill="1" applyBorder="1" applyAlignment="1" applyProtection="1">
      <alignment horizontal="justify" vertical="center" wrapText="1"/>
    </xf>
    <xf numFmtId="170" fontId="45" fillId="10" borderId="72"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7" xfId="0" applyFont="1" applyFill="1" applyBorder="1" applyAlignment="1" applyProtection="1">
      <alignment horizontal="justify" vertical="center" wrapText="1"/>
    </xf>
    <xf numFmtId="170" fontId="45" fillId="26" borderId="2" xfId="0" applyNumberFormat="1" applyFont="1" applyFill="1" applyBorder="1" applyAlignment="1" applyProtection="1">
      <alignment vertical="center" wrapText="1"/>
    </xf>
    <xf numFmtId="170" fontId="45" fillId="28" borderId="225" xfId="0" applyNumberFormat="1" applyFont="1" applyFill="1" applyBorder="1" applyAlignment="1" applyProtection="1">
      <alignment horizontal="center" vertical="center" wrapText="1"/>
    </xf>
    <xf numFmtId="170" fontId="45" fillId="28" borderId="226" xfId="0" applyNumberFormat="1" applyFont="1" applyFill="1" applyBorder="1" applyAlignment="1" applyProtection="1">
      <alignment horizontal="center" vertical="center" wrapText="1"/>
    </xf>
    <xf numFmtId="170" fontId="106" fillId="0" borderId="108" xfId="0" applyFont="1" applyFill="1" applyBorder="1" applyAlignment="1" applyProtection="1">
      <alignment horizontal="justify" vertical="center" wrapText="1"/>
    </xf>
    <xf numFmtId="170" fontId="106" fillId="0" borderId="133" xfId="0" applyFont="1" applyFill="1" applyBorder="1" applyAlignment="1" applyProtection="1">
      <alignment horizontal="justify" vertical="center" wrapText="1"/>
    </xf>
    <xf numFmtId="170" fontId="106" fillId="0" borderId="72" xfId="0" applyFont="1" applyFill="1" applyBorder="1" applyAlignment="1" applyProtection="1">
      <alignment horizontal="justify" vertical="center" wrapText="1"/>
    </xf>
    <xf numFmtId="170" fontId="106" fillId="0" borderId="73" xfId="0" applyFont="1" applyFill="1" applyBorder="1" applyAlignment="1" applyProtection="1">
      <alignment horizontal="justify" vertical="center" wrapText="1"/>
    </xf>
    <xf numFmtId="170" fontId="106" fillId="0" borderId="77" xfId="0" applyFont="1" applyFill="1" applyBorder="1" applyAlignment="1" applyProtection="1">
      <alignment horizontal="justify" vertical="center" wrapText="1"/>
    </xf>
    <xf numFmtId="170" fontId="45" fillId="0" borderId="115" xfId="0" applyFont="1" applyFill="1" applyBorder="1" applyAlignment="1" applyProtection="1">
      <alignment horizontal="center" vertical="center" wrapText="1"/>
    </xf>
    <xf numFmtId="170" fontId="45" fillId="0" borderId="219" xfId="0" applyFont="1" applyFill="1" applyBorder="1" applyAlignment="1" applyProtection="1">
      <alignment horizontal="center" vertical="center" wrapText="1"/>
    </xf>
    <xf numFmtId="0" fontId="45" fillId="0" borderId="87" xfId="0" applyNumberFormat="1" applyFont="1" applyFill="1" applyBorder="1" applyAlignment="1" applyProtection="1">
      <alignment horizontal="center" vertical="center" wrapText="1"/>
    </xf>
    <xf numFmtId="0" fontId="45" fillId="0" borderId="220" xfId="0" applyNumberFormat="1" applyFont="1" applyFill="1" applyBorder="1" applyAlignment="1" applyProtection="1">
      <alignment horizontal="center" vertical="center" wrapText="1"/>
    </xf>
    <xf numFmtId="170" fontId="45" fillId="26" borderId="227" xfId="0" applyNumberFormat="1" applyFont="1" applyFill="1" applyBorder="1" applyAlignment="1" applyProtection="1">
      <alignment horizontal="center" vertical="center" wrapText="1"/>
    </xf>
    <xf numFmtId="170" fontId="45" fillId="26" borderId="223" xfId="0" applyNumberFormat="1" applyFont="1" applyFill="1" applyBorder="1" applyAlignment="1" applyProtection="1">
      <alignment horizontal="center" vertical="center" wrapText="1"/>
    </xf>
    <xf numFmtId="170" fontId="45" fillId="10" borderId="29" xfId="0" applyFont="1" applyFill="1" applyBorder="1" applyAlignment="1" applyProtection="1">
      <alignment horizontal="center" vertical="center" wrapText="1"/>
    </xf>
    <xf numFmtId="170" fontId="45" fillId="0" borderId="29" xfId="0" applyFont="1" applyFill="1" applyBorder="1" applyAlignment="1" applyProtection="1">
      <alignment horizontal="center" vertical="center" wrapText="1"/>
    </xf>
    <xf numFmtId="0" fontId="45" fillId="0" borderId="119" xfId="0" applyNumberFormat="1" applyFont="1" applyFill="1" applyBorder="1" applyAlignment="1" applyProtection="1">
      <alignment horizontal="center" vertical="center" wrapText="1"/>
    </xf>
    <xf numFmtId="0" fontId="45" fillId="27" borderId="2" xfId="0" applyNumberFormat="1" applyFont="1" applyFill="1" applyBorder="1" applyAlignment="1" applyProtection="1">
      <alignment vertical="center" wrapText="1"/>
    </xf>
    <xf numFmtId="10" fontId="26" fillId="0" borderId="112" xfId="19" applyNumberFormat="1" applyFont="1" applyFill="1" applyBorder="1" applyAlignment="1" applyProtection="1">
      <alignment horizontal="center" vertical="center"/>
    </xf>
    <xf numFmtId="10" fontId="26" fillId="0" borderId="113" xfId="19" applyNumberFormat="1" applyFont="1" applyFill="1" applyBorder="1" applyAlignment="1" applyProtection="1">
      <alignment horizontal="center" vertical="center"/>
    </xf>
    <xf numFmtId="10" fontId="26" fillId="0" borderId="114" xfId="19" applyNumberFormat="1" applyFont="1" applyFill="1" applyBorder="1" applyAlignment="1" applyProtection="1">
      <alignment horizontal="center" vertical="center"/>
    </xf>
    <xf numFmtId="0" fontId="45" fillId="26" borderId="133" xfId="0" applyNumberFormat="1" applyFont="1" applyFill="1" applyBorder="1" applyAlignment="1" applyProtection="1">
      <alignment horizontal="center" vertical="center" wrapText="1"/>
    </xf>
    <xf numFmtId="0" fontId="45" fillId="26" borderId="77" xfId="0" applyNumberFormat="1" applyFont="1" applyFill="1" applyBorder="1" applyAlignment="1" applyProtection="1">
      <alignment horizontal="center" vertical="center" wrapText="1"/>
    </xf>
    <xf numFmtId="0" fontId="45" fillId="26" borderId="87" xfId="0" applyNumberFormat="1" applyFont="1" applyFill="1" applyBorder="1" applyAlignment="1" applyProtection="1">
      <alignment horizontal="center" vertical="center" wrapText="1"/>
    </xf>
    <xf numFmtId="0" fontId="45" fillId="26" borderId="74" xfId="0" applyNumberFormat="1" applyFont="1" applyFill="1" applyBorder="1" applyAlignment="1" applyProtection="1">
      <alignment horizontal="center" vertical="center" wrapText="1"/>
    </xf>
    <xf numFmtId="0" fontId="45" fillId="27" borderId="87" xfId="0" applyNumberFormat="1" applyFont="1" applyFill="1" applyBorder="1" applyAlignment="1" applyProtection="1">
      <alignment horizontal="center" vertical="center" wrapText="1"/>
    </xf>
    <xf numFmtId="0" fontId="45" fillId="27" borderId="74" xfId="0" applyNumberFormat="1" applyFont="1" applyFill="1" applyBorder="1" applyAlignment="1" applyProtection="1">
      <alignment horizontal="center" vertical="center" wrapText="1"/>
    </xf>
    <xf numFmtId="0" fontId="45" fillId="27" borderId="225" xfId="0" applyNumberFormat="1" applyFont="1" applyFill="1" applyBorder="1" applyAlignment="1" applyProtection="1">
      <alignment horizontal="center" vertical="center" wrapText="1"/>
    </xf>
    <xf numFmtId="0" fontId="45" fillId="27" borderId="224" xfId="0" applyNumberFormat="1" applyFont="1" applyFill="1" applyBorder="1" applyAlignment="1" applyProtection="1">
      <alignment horizontal="center" vertical="center" wrapText="1"/>
    </xf>
    <xf numFmtId="170" fontId="45" fillId="28" borderId="87" xfId="0" applyNumberFormat="1" applyFont="1" applyFill="1" applyBorder="1" applyAlignment="1" applyProtection="1">
      <alignment horizontal="center" vertical="center" wrapText="1"/>
    </xf>
    <xf numFmtId="170" fontId="45" fillId="28" borderId="228" xfId="0" applyNumberFormat="1" applyFont="1" applyFill="1" applyBorder="1" applyAlignment="1" applyProtection="1">
      <alignment horizontal="center" vertical="center" wrapText="1"/>
    </xf>
    <xf numFmtId="49" fontId="7" fillId="0" borderId="16" xfId="0" applyNumberFormat="1" applyFont="1" applyBorder="1" applyAlignment="1" applyProtection="1">
      <alignment horizontal="center"/>
    </xf>
    <xf numFmtId="49" fontId="7" fillId="0" borderId="31" xfId="0" applyNumberFormat="1" applyFont="1" applyBorder="1" applyAlignment="1" applyProtection="1">
      <alignment horizontal="center"/>
    </xf>
    <xf numFmtId="0" fontId="45" fillId="26" borderId="225" xfId="0" applyNumberFormat="1" applyFont="1" applyFill="1" applyBorder="1" applyAlignment="1" applyProtection="1">
      <alignment horizontal="center" vertical="center" wrapText="1"/>
    </xf>
    <xf numFmtId="0" fontId="45" fillId="26" borderId="224" xfId="0" applyNumberFormat="1" applyFont="1" applyFill="1" applyBorder="1" applyAlignment="1" applyProtection="1">
      <alignment horizontal="center" vertical="center" wrapText="1"/>
    </xf>
    <xf numFmtId="170" fontId="0" fillId="0" borderId="127" xfId="0" applyBorder="1" applyAlignment="1" applyProtection="1">
      <alignment horizontal="center"/>
    </xf>
    <xf numFmtId="170" fontId="0" fillId="0" borderId="13" xfId="0" applyBorder="1" applyAlignment="1" applyProtection="1">
      <alignment horizontal="center"/>
    </xf>
    <xf numFmtId="170" fontId="0" fillId="0" borderId="123" xfId="0" applyFill="1" applyBorder="1" applyAlignment="1" applyProtection="1">
      <alignment horizontal="center" vertical="center"/>
    </xf>
    <xf numFmtId="170" fontId="0" fillId="0" borderId="124" xfId="0" applyFill="1" applyBorder="1" applyAlignment="1" applyProtection="1">
      <alignment horizontal="center" vertical="center"/>
    </xf>
    <xf numFmtId="170" fontId="0" fillId="0" borderId="125" xfId="0" applyFill="1" applyBorder="1" applyAlignment="1" applyProtection="1">
      <alignment horizontal="center" vertical="center"/>
    </xf>
    <xf numFmtId="164" fontId="110" fillId="14" borderId="0" xfId="4" applyFont="1" applyFill="1" applyAlignment="1" applyProtection="1">
      <alignment horizontal="center" vertical="center"/>
    </xf>
    <xf numFmtId="164" fontId="17" fillId="6" borderId="25" xfId="20" applyFont="1" applyFill="1" applyBorder="1" applyAlignment="1" applyProtection="1">
      <alignment horizont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 fillId="0" borderId="25" xfId="20" applyFont="1" applyFill="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applyProtection="1"/>
    <xf numFmtId="164" fontId="28" fillId="0" borderId="0" xfId="0" applyNumberFormat="1" applyFont="1" applyFill="1" applyAlignment="1" applyProtection="1">
      <alignment wrapText="1"/>
    </xf>
    <xf numFmtId="170" fontId="0" fillId="0" borderId="0" xfId="0" applyFill="1" applyAlignment="1" applyProtection="1">
      <alignment wrapText="1"/>
    </xf>
    <xf numFmtId="164" fontId="28" fillId="0" borderId="0" xfId="0" applyNumberFormat="1" applyFont="1" applyAlignment="1" applyProtection="1">
      <alignment wrapText="1"/>
    </xf>
    <xf numFmtId="170" fontId="0" fillId="0" borderId="0" xfId="0" applyAlignment="1" applyProtection="1">
      <alignment wrapText="1"/>
    </xf>
    <xf numFmtId="170" fontId="57" fillId="0" borderId="0" xfId="0" applyFont="1" applyAlignment="1" applyProtection="1">
      <alignment horizontal="left" wrapText="1"/>
    </xf>
    <xf numFmtId="170" fontId="23" fillId="5" borderId="27" xfId="0" applyFont="1" applyFill="1" applyBorder="1" applyAlignment="1" applyProtection="1">
      <alignment horizontal="justify" vertical="center" wrapText="1"/>
      <protection locked="0"/>
    </xf>
    <xf numFmtId="170" fontId="106" fillId="0" borderId="28" xfId="0" applyFont="1" applyBorder="1" applyAlignment="1" applyProtection="1">
      <alignment horizontal="justify" vertical="center" wrapText="1"/>
      <protection locked="0"/>
    </xf>
    <xf numFmtId="170" fontId="106" fillId="0" borderId="29" xfId="0" applyFont="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148" fillId="0" borderId="123" xfId="0" applyFont="1" applyFill="1" applyBorder="1" applyAlignment="1" applyProtection="1">
      <alignment horizontal="center" vertical="center"/>
    </xf>
    <xf numFmtId="170" fontId="148" fillId="0" borderId="124" xfId="0" applyFont="1" applyFill="1" applyBorder="1" applyAlignment="1" applyProtection="1">
      <alignment horizontal="center" vertical="center"/>
    </xf>
    <xf numFmtId="170" fontId="148" fillId="0" borderId="125" xfId="0" applyFont="1" applyFill="1" applyBorder="1" applyAlignment="1" applyProtection="1">
      <alignment horizontal="center" vertical="center"/>
    </xf>
    <xf numFmtId="164" fontId="7" fillId="0" borderId="0" xfId="0" applyNumberFormat="1" applyFont="1" applyAlignment="1" applyProtection="1">
      <alignment horizontal="center" wrapText="1"/>
    </xf>
    <xf numFmtId="170" fontId="0" fillId="0" borderId="0" xfId="0" applyBorder="1" applyAlignment="1" applyProtection="1">
      <alignment horizontal="center"/>
    </xf>
    <xf numFmtId="170" fontId="7" fillId="0" borderId="0" xfId="0" applyFont="1" applyBorder="1" applyAlignment="1" applyProtection="1">
      <alignment horizontal="center"/>
    </xf>
    <xf numFmtId="164" fontId="42" fillId="14" borderId="0" xfId="13" applyFont="1" applyFill="1" applyAlignment="1" applyProtection="1">
      <alignment horizontal="center" vertical="center"/>
    </xf>
    <xf numFmtId="164" fontId="8" fillId="13" borderId="0" xfId="20" applyFont="1" applyFill="1" applyBorder="1" applyAlignment="1" applyProtection="1">
      <alignment horizontal="center"/>
    </xf>
    <xf numFmtId="170" fontId="82" fillId="0" borderId="0" xfId="0" applyFont="1" applyAlignment="1" applyProtection="1">
      <alignment horizontal="center"/>
    </xf>
    <xf numFmtId="164" fontId="7" fillId="0" borderId="0" xfId="0" applyNumberFormat="1" applyFont="1" applyAlignment="1" applyProtection="1">
      <alignment horizontal="center"/>
    </xf>
    <xf numFmtId="164" fontId="21" fillId="0" borderId="0" xfId="0" applyNumberFormat="1" applyFont="1" applyAlignment="1" applyProtection="1">
      <alignment horizontal="right"/>
    </xf>
    <xf numFmtId="164" fontId="21" fillId="0" borderId="0" xfId="0" applyNumberFormat="1" applyFont="1" applyAlignment="1" applyProtection="1">
      <alignment horizontal="left"/>
    </xf>
    <xf numFmtId="15" fontId="21" fillId="0" borderId="0" xfId="0" applyNumberFormat="1" applyFont="1" applyAlignment="1" applyProtection="1">
      <alignment horizontal="right"/>
    </xf>
    <xf numFmtId="170" fontId="0" fillId="0" borderId="137" xfId="0" applyBorder="1" applyAlignment="1" applyProtection="1">
      <alignment horizontal="center"/>
    </xf>
    <xf numFmtId="170" fontId="0" fillId="0" borderId="42" xfId="0" applyBorder="1" applyAlignment="1" applyProtection="1">
      <alignment horizontal="center"/>
    </xf>
    <xf numFmtId="170" fontId="88" fillId="0" borderId="138" xfId="0" applyFont="1" applyFill="1" applyBorder="1" applyAlignment="1" applyProtection="1">
      <alignment horizontal="left" wrapText="1"/>
    </xf>
    <xf numFmtId="170" fontId="88" fillId="0" borderId="139" xfId="0" applyFont="1" applyFill="1" applyBorder="1" applyAlignment="1" applyProtection="1">
      <alignment horizontal="left" wrapText="1"/>
    </xf>
    <xf numFmtId="164" fontId="30" fillId="0" borderId="0" xfId="0" applyNumberFormat="1" applyFont="1" applyAlignment="1" applyProtection="1">
      <alignment wrapText="1"/>
    </xf>
    <xf numFmtId="170" fontId="0" fillId="0" borderId="0" xfId="0" applyAlignment="1" applyProtection="1"/>
    <xf numFmtId="170" fontId="88" fillId="0" borderId="140" xfId="0" applyFont="1" applyFill="1" applyBorder="1" applyAlignment="1" applyProtection="1">
      <alignment horizontal="left" wrapText="1"/>
    </xf>
    <xf numFmtId="170" fontId="88" fillId="0" borderId="68"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26" fillId="5" borderId="27" xfId="0" applyFont="1" applyFill="1" applyBorder="1" applyAlignment="1" applyProtection="1">
      <alignment horizontal="justify" vertical="center" wrapText="1"/>
      <protection locked="0"/>
    </xf>
    <xf numFmtId="170" fontId="126" fillId="5" borderId="28" xfId="0" applyFont="1" applyFill="1" applyBorder="1" applyAlignment="1" applyProtection="1">
      <alignment horizontal="justify" vertical="center" wrapText="1"/>
      <protection locked="0"/>
    </xf>
    <xf numFmtId="170" fontId="126" fillId="5" borderId="29" xfId="0" applyFont="1" applyFill="1" applyBorder="1" applyAlignment="1" applyProtection="1">
      <alignment horizontal="justify" vertical="center" wrapText="1"/>
      <protection locked="0"/>
    </xf>
    <xf numFmtId="164" fontId="81" fillId="0" borderId="116" xfId="0" applyNumberFormat="1" applyFont="1" applyBorder="1" applyAlignment="1" applyProtection="1">
      <alignment horizontal="center" vertical="center" wrapText="1"/>
    </xf>
    <xf numFmtId="164" fontId="81" fillId="0" borderId="117" xfId="0" applyNumberFormat="1" applyFont="1" applyBorder="1" applyAlignment="1" applyProtection="1">
      <alignment horizontal="center" vertical="center" wrapText="1"/>
    </xf>
    <xf numFmtId="164" fontId="81" fillId="0" borderId="118" xfId="0" applyNumberFormat="1" applyFont="1" applyBorder="1" applyAlignment="1" applyProtection="1">
      <alignment horizontal="center" vertical="center" wrapText="1"/>
    </xf>
    <xf numFmtId="170" fontId="124" fillId="0" borderId="28" xfId="0" applyFont="1" applyBorder="1" applyAlignment="1" applyProtection="1">
      <alignment horizontal="justify" vertical="center" wrapText="1"/>
      <protection locked="0"/>
    </xf>
    <xf numFmtId="170" fontId="124" fillId="0" borderId="29" xfId="0" applyFont="1" applyBorder="1" applyAlignment="1" applyProtection="1">
      <alignment horizontal="justify" vertical="center" wrapText="1"/>
      <protection locked="0"/>
    </xf>
    <xf numFmtId="170" fontId="130" fillId="5" borderId="27" xfId="0" applyFont="1" applyFill="1" applyBorder="1" applyAlignment="1" applyProtection="1">
      <alignment horizontal="justify" vertical="center" wrapText="1"/>
      <protection locked="0"/>
    </xf>
    <xf numFmtId="170" fontId="127" fillId="0" borderId="28" xfId="0" applyFont="1" applyBorder="1" applyAlignment="1" applyProtection="1">
      <alignment horizontal="justify" vertical="center" wrapText="1"/>
      <protection locked="0"/>
    </xf>
    <xf numFmtId="170" fontId="127" fillId="0" borderId="29" xfId="0" applyFont="1" applyBorder="1" applyAlignment="1" applyProtection="1">
      <alignment horizontal="justify" vertical="center" wrapText="1"/>
      <protection locked="0"/>
    </xf>
    <xf numFmtId="164" fontId="111" fillId="14" borderId="0" xfId="4" applyFont="1" applyFill="1" applyAlignment="1" applyProtection="1">
      <alignment horizontal="center" vertical="center"/>
    </xf>
    <xf numFmtId="170" fontId="83" fillId="0" borderId="28" xfId="0" applyFont="1" applyBorder="1" applyAlignment="1" applyProtection="1">
      <alignment horizontal="justify" vertical="center" wrapText="1"/>
    </xf>
    <xf numFmtId="174" fontId="83" fillId="0" borderId="28" xfId="0" applyNumberFormat="1" applyFont="1" applyBorder="1" applyAlignment="1" applyProtection="1">
      <alignment horizontal="justify" vertical="center" wrapText="1"/>
    </xf>
    <xf numFmtId="170" fontId="125" fillId="5" borderId="27" xfId="0" applyFont="1" applyFill="1" applyBorder="1" applyAlignment="1" applyProtection="1">
      <alignment horizontal="justify" vertical="top" wrapText="1"/>
      <protection locked="0"/>
    </xf>
    <xf numFmtId="170" fontId="125" fillId="5" borderId="28" xfId="0" applyFont="1" applyFill="1" applyBorder="1" applyAlignment="1" applyProtection="1">
      <alignment horizontal="justify" vertical="top" wrapText="1"/>
      <protection locked="0"/>
    </xf>
    <xf numFmtId="170" fontId="125" fillId="5" borderId="29" xfId="0" applyFont="1" applyFill="1" applyBorder="1" applyAlignment="1" applyProtection="1">
      <alignment horizontal="justify" vertical="top" wrapText="1"/>
      <protection locked="0"/>
    </xf>
    <xf numFmtId="170" fontId="129" fillId="0" borderId="28" xfId="0" applyFont="1" applyBorder="1" applyAlignment="1" applyProtection="1">
      <alignment horizontal="justify" vertical="top" wrapText="1"/>
      <protection locked="0"/>
    </xf>
    <xf numFmtId="170" fontId="129" fillId="0" borderId="29" xfId="0" applyFont="1" applyBorder="1" applyAlignment="1" applyProtection="1">
      <alignment horizontal="justify" vertical="top" wrapText="1"/>
      <protection locked="0"/>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80" fillId="0" borderId="2" xfId="0" applyFont="1" applyBorder="1" applyAlignment="1" applyProtection="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170" fontId="23" fillId="5" borderId="27" xfId="19" applyNumberFormat="1" applyFont="1" applyFill="1" applyBorder="1" applyAlignment="1" applyProtection="1">
      <alignment horizontal="justify" vertical="center" wrapText="1"/>
      <protection locked="0"/>
    </xf>
    <xf numFmtId="170" fontId="147" fillId="5" borderId="28" xfId="19" applyNumberFormat="1" applyFont="1" applyFill="1" applyBorder="1" applyAlignment="1" applyProtection="1">
      <alignment horizontal="justify" vertical="center" wrapText="1"/>
      <protection locked="0"/>
    </xf>
    <xf numFmtId="170" fontId="147" fillId="5" borderId="29" xfId="19" applyNumberFormat="1" applyFont="1" applyFill="1" applyBorder="1" applyAlignment="1" applyProtection="1">
      <alignment horizontal="justify" vertical="center" wrapText="1"/>
      <protection locked="0"/>
    </xf>
    <xf numFmtId="164" fontId="21" fillId="0" borderId="0" xfId="0" applyNumberFormat="1" applyFont="1" applyAlignment="1" applyProtection="1">
      <alignment horizontal="right" wrapText="1"/>
    </xf>
    <xf numFmtId="170" fontId="26" fillId="0" borderId="73"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0" borderId="27" xfId="0" applyFont="1" applyBorder="1" applyAlignment="1" applyProtection="1">
      <alignment horizontal="center" vertic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9" fontId="23" fillId="5" borderId="2" xfId="19" applyFont="1" applyFill="1" applyBorder="1" applyAlignment="1" applyProtection="1">
      <alignment horizontal="justify" vertical="center" wrapText="1"/>
      <protection locked="0"/>
    </xf>
    <xf numFmtId="9" fontId="147" fillId="5" borderId="2" xfId="19" applyFont="1" applyFill="1" applyBorder="1" applyAlignment="1" applyProtection="1">
      <alignment horizontal="justify" vertical="center" wrapText="1"/>
      <protection locked="0"/>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128" fillId="5" borderId="2" xfId="19" applyFont="1" applyFill="1" applyBorder="1" applyAlignment="1" applyProtection="1">
      <alignment horizontal="justify" vertical="center" wrapText="1"/>
      <protection locked="0"/>
    </xf>
    <xf numFmtId="9" fontId="23" fillId="5" borderId="28" xfId="19" applyFont="1" applyFill="1" applyBorder="1" applyAlignment="1" applyProtection="1">
      <alignment horizontal="justify" vertical="center" wrapText="1"/>
      <protection locked="0"/>
    </xf>
    <xf numFmtId="9" fontId="23" fillId="5" borderId="29" xfId="19" applyFont="1" applyFill="1" applyBorder="1" applyAlignment="1" applyProtection="1">
      <alignment horizontal="justify" vertical="center" wrapText="1"/>
      <protection locked="0"/>
    </xf>
    <xf numFmtId="170" fontId="23" fillId="5" borderId="28" xfId="19" applyNumberFormat="1" applyFont="1" applyFill="1" applyBorder="1" applyAlignment="1" applyProtection="1">
      <alignment horizontal="justify" vertical="center" wrapText="1"/>
      <protection locked="0"/>
    </xf>
    <xf numFmtId="170" fontId="23" fillId="5" borderId="29" xfId="19" applyNumberFormat="1" applyFont="1" applyFill="1" applyBorder="1" applyAlignment="1" applyProtection="1">
      <alignment horizontal="justify" vertical="center" wrapText="1"/>
      <protection locked="0"/>
    </xf>
    <xf numFmtId="9" fontId="2" fillId="0" borderId="176" xfId="19" applyNumberFormat="1"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6" fillId="0" borderId="80" xfId="0" applyFont="1" applyBorder="1" applyAlignment="1">
      <alignment horizontal="justify" vertical="top" wrapText="1"/>
    </xf>
    <xf numFmtId="170" fontId="106"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6" fillId="0" borderId="217" xfId="0" applyFont="1" applyBorder="1" applyAlignment="1">
      <alignment horizontal="justify" vertical="top" wrapText="1"/>
    </xf>
    <xf numFmtId="170" fontId="106" fillId="0" borderId="218" xfId="0" applyFont="1" applyBorder="1" applyAlignment="1">
      <alignment horizontal="justify" vertical="top" wrapText="1"/>
    </xf>
    <xf numFmtId="170" fontId="2" fillId="0" borderId="181" xfId="0" applyNumberFormat="1" applyFont="1" applyFill="1" applyBorder="1" applyAlignment="1" applyProtection="1">
      <alignment horizontal="justify" vertical="center" wrapText="1"/>
    </xf>
    <xf numFmtId="170" fontId="2" fillId="0" borderId="182"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28" xfId="0" applyNumberFormat="1" applyFont="1" applyFill="1" applyBorder="1" applyAlignment="1" applyProtection="1">
      <alignment horizontal="justify" vertical="center" wrapText="1"/>
    </xf>
    <xf numFmtId="170" fontId="2" fillId="0" borderId="166" xfId="0" applyNumberFormat="1" applyFont="1" applyFill="1" applyBorder="1" applyAlignment="1" applyProtection="1">
      <alignment horizontal="justify" vertical="center" wrapText="1"/>
    </xf>
    <xf numFmtId="170" fontId="2" fillId="0" borderId="174" xfId="0" applyNumberFormat="1" applyFont="1" applyFill="1" applyBorder="1" applyAlignment="1" applyProtection="1">
      <alignment horizontal="justify" vertical="center" wrapText="1"/>
    </xf>
    <xf numFmtId="170" fontId="2" fillId="0" borderId="175" xfId="0" applyNumberFormat="1" applyFont="1" applyFill="1" applyBorder="1" applyAlignment="1" applyProtection="1">
      <alignment horizontal="justify" vertical="center" wrapText="1"/>
    </xf>
    <xf numFmtId="170" fontId="41" fillId="5" borderId="178" xfId="0" applyFont="1" applyFill="1" applyBorder="1" applyAlignment="1" applyProtection="1">
      <alignment horizontal="center" vertical="center"/>
    </xf>
    <xf numFmtId="170" fontId="41" fillId="5" borderId="179" xfId="0" applyFont="1" applyFill="1" applyBorder="1" applyAlignment="1" applyProtection="1">
      <alignment horizontal="center" vertical="center"/>
    </xf>
    <xf numFmtId="170" fontId="41" fillId="5" borderId="180" xfId="0" applyFont="1" applyFill="1" applyBorder="1" applyAlignment="1" applyProtection="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117" fillId="0" borderId="0" xfId="0" applyFont="1" applyFill="1" applyBorder="1" applyAlignment="1" applyProtection="1">
      <alignment horizontal="center"/>
    </xf>
    <xf numFmtId="170" fontId="117" fillId="0" borderId="160" xfId="0" applyFont="1" applyFill="1" applyBorder="1" applyAlignment="1" applyProtection="1">
      <alignment horizontal="center"/>
    </xf>
    <xf numFmtId="170" fontId="2" fillId="0" borderId="145" xfId="0" applyNumberFormat="1" applyFont="1" applyFill="1" applyBorder="1" applyAlignment="1" applyProtection="1">
      <alignment horizontal="justify" vertical="center" wrapText="1"/>
    </xf>
    <xf numFmtId="170" fontId="2" fillId="0" borderId="146"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41" fillId="9" borderId="147" xfId="0" applyFont="1" applyFill="1" applyBorder="1" applyAlignment="1" applyProtection="1">
      <alignment horizontal="center" vertical="center"/>
    </xf>
    <xf numFmtId="170" fontId="41" fillId="9" borderId="148" xfId="0" applyFont="1" applyFill="1" applyBorder="1" applyAlignment="1" applyProtection="1">
      <alignment horizontal="center" vertical="center"/>
    </xf>
    <xf numFmtId="170" fontId="41" fillId="9" borderId="149" xfId="0" applyFont="1" applyFill="1" applyBorder="1" applyAlignment="1" applyProtection="1">
      <alignment horizontal="center" vertical="center"/>
    </xf>
    <xf numFmtId="170" fontId="117" fillId="0" borderId="159"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59" xfId="0" applyFont="1" applyFill="1" applyBorder="1" applyAlignment="1" applyProtection="1">
      <alignment horizont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162" xfId="0" applyNumberFormat="1" applyFont="1" applyFill="1" applyBorder="1" applyAlignment="1" applyProtection="1">
      <alignment horizontal="justify" vertical="center" wrapText="1"/>
    </xf>
    <xf numFmtId="170" fontId="94" fillId="6" borderId="167" xfId="0" applyFont="1" applyFill="1" applyBorder="1" applyAlignment="1" applyProtection="1">
      <alignment horizontal="center" vertical="center"/>
    </xf>
    <xf numFmtId="170" fontId="94" fillId="6" borderId="168" xfId="0" applyFont="1" applyFill="1" applyBorder="1" applyAlignment="1" applyProtection="1">
      <alignment horizontal="center" vertical="center"/>
    </xf>
    <xf numFmtId="170" fontId="106" fillId="0" borderId="168" xfId="0" applyFont="1" applyBorder="1" applyAlignment="1">
      <alignment horizontal="center" vertical="center"/>
    </xf>
    <xf numFmtId="170" fontId="2" fillId="0" borderId="141" xfId="0" applyNumberFormat="1" applyFont="1" applyFill="1" applyBorder="1" applyAlignment="1" applyProtection="1">
      <alignment horizontal="justify" vertical="center" wrapText="1"/>
    </xf>
    <xf numFmtId="170" fontId="2" fillId="0" borderId="142"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3" xfId="0" applyNumberFormat="1" applyFont="1" applyFill="1" applyBorder="1" applyAlignment="1" applyProtection="1">
      <alignment horizontal="justify" vertical="center" wrapText="1"/>
    </xf>
    <xf numFmtId="170" fontId="94" fillId="6" borderId="169" xfId="0" applyFont="1" applyFill="1" applyBorder="1" applyAlignment="1" applyProtection="1">
      <alignment horizontal="center" vertical="center"/>
    </xf>
    <xf numFmtId="170" fontId="94" fillId="6" borderId="170" xfId="0" applyFont="1" applyFill="1" applyBorder="1" applyAlignment="1" applyProtection="1">
      <alignment horizontal="center" vertical="center"/>
    </xf>
    <xf numFmtId="170" fontId="94" fillId="6" borderId="171" xfId="0" applyFont="1" applyFill="1" applyBorder="1" applyAlignment="1" applyProtection="1">
      <alignment horizontal="center" vertical="center"/>
    </xf>
    <xf numFmtId="170" fontId="106" fillId="5" borderId="109" xfId="0" applyFont="1" applyFill="1" applyBorder="1" applyAlignment="1" applyProtection="1">
      <alignment horizontal="justify" vertical="top" wrapText="1"/>
      <protection locked="0"/>
    </xf>
    <xf numFmtId="170" fontId="106" fillId="5" borderId="108" xfId="0" applyFont="1" applyFill="1" applyBorder="1" applyAlignment="1" applyProtection="1">
      <alignment horizontal="justify" vertical="top" wrapText="1"/>
      <protection locked="0"/>
    </xf>
    <xf numFmtId="170" fontId="106" fillId="5" borderId="110" xfId="0" applyFont="1" applyFill="1" applyBorder="1" applyAlignment="1" applyProtection="1">
      <alignment horizontal="justify" vertical="top" wrapText="1"/>
      <protection locked="0"/>
    </xf>
    <xf numFmtId="170" fontId="106" fillId="5" borderId="111" xfId="0" applyFont="1" applyFill="1" applyBorder="1" applyAlignment="1" applyProtection="1">
      <alignment horizontal="justify" vertical="top" wrapText="1"/>
      <protection locked="0"/>
    </xf>
    <xf numFmtId="170" fontId="106" fillId="5" borderId="73" xfId="0" applyFont="1" applyFill="1" applyBorder="1" applyAlignment="1" applyProtection="1">
      <alignment horizontal="justify" vertical="top" wrapText="1"/>
      <protection locked="0"/>
    </xf>
    <xf numFmtId="170" fontId="106" fillId="5" borderId="75" xfId="0" applyFont="1" applyFill="1" applyBorder="1" applyAlignment="1" applyProtection="1">
      <alignment horizontal="justify" vertical="top" wrapText="1"/>
      <protection locked="0"/>
    </xf>
    <xf numFmtId="170" fontId="51" fillId="4" borderId="5" xfId="18" applyNumberFormat="1" applyFont="1" applyFill="1" applyBorder="1" applyAlignment="1">
      <alignment horizontal="center" vertical="center" wrapText="1"/>
    </xf>
    <xf numFmtId="170" fontId="51" fillId="4" borderId="213" xfId="18" applyNumberFormat="1" applyFont="1" applyFill="1" applyBorder="1" applyAlignment="1">
      <alignment horizontal="center" vertical="center" wrapText="1"/>
    </xf>
    <xf numFmtId="170" fontId="51" fillId="4" borderId="203" xfId="18" applyNumberFormat="1" applyFont="1" applyFill="1" applyBorder="1" applyAlignment="1">
      <alignment horizontal="center" vertical="center" wrapText="1"/>
    </xf>
    <xf numFmtId="170" fontId="14" fillId="0" borderId="190" xfId="0" applyFont="1" applyFill="1" applyBorder="1" applyAlignment="1" applyProtection="1">
      <alignment horizontal="left"/>
      <protection locked="0"/>
    </xf>
    <xf numFmtId="170" fontId="14" fillId="0" borderId="184" xfId="0" applyFont="1" applyFill="1" applyBorder="1" applyAlignment="1" applyProtection="1">
      <alignment horizontal="left"/>
      <protection locked="0"/>
    </xf>
    <xf numFmtId="170" fontId="14" fillId="0" borderId="191" xfId="0" applyFont="1" applyFill="1" applyBorder="1" applyAlignment="1" applyProtection="1">
      <alignment horizontal="left"/>
      <protection locked="0"/>
    </xf>
    <xf numFmtId="170" fontId="14" fillId="0" borderId="192" xfId="0" applyFont="1" applyFill="1" applyBorder="1" applyAlignment="1" applyProtection="1">
      <alignment horizontal="left"/>
      <protection locked="0"/>
    </xf>
    <xf numFmtId="170" fontId="26" fillId="0" borderId="0" xfId="0" applyFont="1" applyAlignment="1">
      <alignment horizontal="center"/>
    </xf>
    <xf numFmtId="170" fontId="51" fillId="4" borderId="187" xfId="18" applyNumberFormat="1" applyFont="1" applyFill="1" applyBorder="1" applyAlignment="1">
      <alignment horizontal="center" vertical="center" wrapText="1"/>
    </xf>
    <xf numFmtId="170" fontId="51" fillId="4" borderId="188" xfId="18" applyNumberFormat="1" applyFont="1" applyFill="1" applyBorder="1" applyAlignment="1">
      <alignment horizontal="center" vertical="center" wrapText="1"/>
    </xf>
    <xf numFmtId="170" fontId="51" fillId="4" borderId="189" xfId="18" applyNumberFormat="1" applyFont="1" applyFill="1" applyBorder="1" applyAlignment="1">
      <alignment horizontal="center" vertical="center" wrapText="1"/>
    </xf>
    <xf numFmtId="170" fontId="14" fillId="0" borderId="184" xfId="0" applyFont="1" applyBorder="1" applyAlignment="1" applyProtection="1">
      <alignment horizontal="left"/>
      <protection locked="0"/>
    </xf>
    <xf numFmtId="164" fontId="42" fillId="14" borderId="0" xfId="13" applyFont="1" applyFill="1" applyAlignment="1">
      <alignment horizontal="center" vertical="center"/>
    </xf>
    <xf numFmtId="164" fontId="8" fillId="13" borderId="0" xfId="22" applyFont="1" applyFill="1" applyBorder="1" applyAlignment="1" applyProtection="1">
      <alignment horizontal="center"/>
      <protection locked="0"/>
    </xf>
    <xf numFmtId="170" fontId="14" fillId="0" borderId="22" xfId="0" applyFont="1" applyFill="1" applyBorder="1" applyAlignment="1" applyProtection="1">
      <alignment horizontal="left"/>
      <protection locked="0"/>
    </xf>
    <xf numFmtId="170" fontId="14" fillId="0" borderId="186" xfId="0" applyFont="1" applyFill="1" applyBorder="1" applyAlignment="1" applyProtection="1">
      <alignment horizontal="left"/>
      <protection locked="0"/>
    </xf>
    <xf numFmtId="170" fontId="14" fillId="0" borderId="185" xfId="0" applyFont="1" applyFill="1" applyBorder="1" applyAlignment="1" applyProtection="1">
      <alignment horizontal="left"/>
      <protection locked="0"/>
    </xf>
    <xf numFmtId="164" fontId="7" fillId="0" borderId="0" xfId="0" applyNumberFormat="1" applyFont="1" applyAlignment="1">
      <alignment horizontal="center"/>
    </xf>
    <xf numFmtId="164" fontId="21" fillId="0" borderId="0" xfId="0" applyNumberFormat="1" applyFont="1" applyAlignment="1">
      <alignment horizontal="right"/>
    </xf>
    <xf numFmtId="15" fontId="21" fillId="0" borderId="0" xfId="0" applyNumberFormat="1" applyFont="1" applyAlignment="1">
      <alignment horizontal="right"/>
    </xf>
    <xf numFmtId="170" fontId="82" fillId="0" borderId="0" xfId="0" applyFont="1" applyAlignment="1">
      <alignment horizontal="center"/>
    </xf>
    <xf numFmtId="164" fontId="21" fillId="0" borderId="0" xfId="0" applyNumberFormat="1" applyFont="1" applyAlignment="1">
      <alignment horizontal="left"/>
    </xf>
    <xf numFmtId="170" fontId="14" fillId="0" borderId="201" xfId="0" applyFont="1" applyBorder="1" applyAlignment="1" applyProtection="1">
      <alignment horizontal="left"/>
      <protection locked="0"/>
    </xf>
    <xf numFmtId="170" fontId="14" fillId="0" borderId="22" xfId="0" applyFont="1" applyBorder="1" applyAlignment="1" applyProtection="1">
      <alignment horizontal="left"/>
      <protection locked="0"/>
    </xf>
    <xf numFmtId="170" fontId="14" fillId="0" borderId="190" xfId="0" applyFont="1" applyBorder="1" applyAlignment="1" applyProtection="1">
      <alignment horizontal="left"/>
      <protection locked="0"/>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10" xfId="0" applyFont="1" applyFill="1" applyBorder="1" applyAlignment="1" applyProtection="1">
      <alignment horizontal="justify" vertical="center" wrapText="1"/>
      <protection locked="0"/>
    </xf>
    <xf numFmtId="170" fontId="14" fillId="0" borderId="207" xfId="0" applyFont="1" applyFill="1" applyBorder="1" applyAlignment="1" applyProtection="1">
      <alignment horizontal="justify" vertical="center" wrapText="1"/>
      <protection locked="0"/>
    </xf>
    <xf numFmtId="170" fontId="14" fillId="0" borderId="211"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164" xfId="0" applyFont="1" applyFill="1" applyBorder="1" applyAlignment="1" applyProtection="1">
      <alignment horizontal="justify" vertical="center" wrapText="1"/>
      <protection locked="0"/>
    </xf>
    <xf numFmtId="170" fontId="14" fillId="0" borderId="200" xfId="0" applyFont="1" applyFill="1" applyBorder="1" applyAlignment="1" applyProtection="1">
      <alignment horizontal="justify" vertical="center" wrapText="1"/>
      <protection locked="0"/>
    </xf>
    <xf numFmtId="170" fontId="14" fillId="0" borderId="161" xfId="0" applyFont="1" applyFill="1" applyBorder="1" applyAlignment="1" applyProtection="1">
      <alignment horizontal="left" vertical="center" wrapText="1"/>
      <protection locked="0"/>
    </xf>
    <xf numFmtId="170" fontId="14" fillId="0" borderId="193" xfId="0" applyFont="1" applyFill="1" applyBorder="1" applyAlignment="1" applyProtection="1">
      <alignment horizontal="left" vertical="center" wrapText="1"/>
      <protection locked="0"/>
    </xf>
    <xf numFmtId="170" fontId="14" fillId="0" borderId="194"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vertical="center" wrapText="1"/>
      <protection locked="0"/>
    </xf>
    <xf numFmtId="170" fontId="14" fillId="0" borderId="201" xfId="0" applyFont="1" applyFill="1" applyBorder="1" applyAlignment="1" applyProtection="1">
      <alignment horizontal="left"/>
      <protection locked="0"/>
    </xf>
    <xf numFmtId="170" fontId="14" fillId="0" borderId="214" xfId="0" applyFont="1" applyFill="1" applyBorder="1" applyAlignment="1" applyProtection="1">
      <alignment horizontal="justify" vertical="center" wrapText="1"/>
      <protection locked="0"/>
    </xf>
    <xf numFmtId="170" fontId="14" fillId="0" borderId="197" xfId="0" applyFont="1" applyFill="1" applyBorder="1" applyAlignment="1" applyProtection="1">
      <alignment horizontal="justify" vertical="center" wrapText="1"/>
      <protection locked="0"/>
    </xf>
    <xf numFmtId="170" fontId="14" fillId="0" borderId="198" xfId="0" applyFont="1" applyFill="1" applyBorder="1" applyAlignment="1" applyProtection="1">
      <alignment horizontal="justify" vertical="center" wrapText="1"/>
      <protection locked="0"/>
    </xf>
    <xf numFmtId="170" fontId="14" fillId="0" borderId="192" xfId="0" applyFont="1" applyBorder="1" applyAlignment="1" applyProtection="1">
      <alignment horizontal="left"/>
      <protection locked="0"/>
    </xf>
    <xf numFmtId="170" fontId="14" fillId="0" borderId="206"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199" xfId="0" applyFont="1" applyFill="1" applyBorder="1" applyAlignment="1" applyProtection="1">
      <alignment horizontal="left" vertical="top" wrapText="1"/>
      <protection locked="0"/>
    </xf>
    <xf numFmtId="170" fontId="14" fillId="0" borderId="164"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vertical="top" wrapText="1"/>
      <protection locked="0"/>
    </xf>
    <xf numFmtId="170" fontId="14" fillId="0" borderId="202" xfId="0" applyFont="1" applyFill="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186" xfId="0" applyFont="1" applyBorder="1" applyAlignment="1" applyProtection="1">
      <alignment horizontal="left"/>
      <protection locked="0"/>
    </xf>
    <xf numFmtId="170" fontId="14" fillId="0" borderId="204" xfId="0" applyFont="1" applyFill="1" applyBorder="1" applyAlignment="1" applyProtection="1">
      <alignment horizontal="left"/>
      <protection locked="0"/>
    </xf>
    <xf numFmtId="170" fontId="14" fillId="0" borderId="161" xfId="0" applyFont="1" applyFill="1" applyBorder="1" applyAlignment="1" applyProtection="1">
      <alignment horizontal="left"/>
      <protection locked="0"/>
    </xf>
    <xf numFmtId="170" fontId="14" fillId="0" borderId="193" xfId="0" applyFont="1" applyFill="1" applyBorder="1" applyAlignment="1" applyProtection="1">
      <alignment horizontal="left"/>
      <protection locked="0"/>
    </xf>
    <xf numFmtId="170" fontId="14" fillId="0" borderId="20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6"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vertical="top" wrapText="1"/>
      <protection locked="0"/>
    </xf>
    <xf numFmtId="170" fontId="14" fillId="0" borderId="198" xfId="0" applyFont="1" applyFill="1" applyBorder="1" applyAlignment="1" applyProtection="1">
      <alignment horizontal="left" vertical="top" wrapText="1"/>
      <protection locked="0"/>
    </xf>
    <xf numFmtId="170" fontId="14" fillId="0" borderId="200" xfId="0" applyFont="1" applyFill="1" applyBorder="1" applyAlignment="1" applyProtection="1">
      <alignment horizontal="left" vertical="top" wrapText="1"/>
      <protection locked="0"/>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8">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datelor'!$D$81</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datelor'!$D$81:$D$82</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datelor'!$C$86</c:f>
              <c:numCache>
                <c:formatCode>#,##0</c:formatCode>
                <c:ptCount val="1"/>
                <c:pt idx="0">
                  <c:v>2</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datelor'!$D$73</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datelor'!$D$74:$D$75</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datelor'!$E$73</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datelor'!$E$74:$E$75</c:f>
              <c:numCache>
                <c:formatCode>0</c:formatCode>
                <c:ptCount val="2"/>
                <c:pt idx="0">
                  <c:v>2</c:v>
                </c:pt>
              </c:numCache>
            </c:numRef>
          </c:val>
          <c:extLst>
            <c:ext xmlns:c16="http://schemas.microsoft.com/office/drawing/2014/chart" uri="{C3380CC4-5D6E-409C-BE32-E72D297353CC}">
              <c16:uniqueId val="{00000001-D08E-42FA-87E5-9BAD02454A53}"/>
            </c:ext>
          </c:extLst>
        </c:ser>
        <c:ser>
          <c:idx val="2"/>
          <c:order val="2"/>
          <c:tx>
            <c:strRef>
              <c:f>'Introducerea datelor'!$F$73</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datelor'!$F$74:$F$75</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datelor'!$D$90</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datelor'!$D$91:$D$92</c:f>
              <c:numCache>
                <c:formatCode>0</c:formatCode>
                <c:ptCount val="2"/>
                <c:pt idx="0">
                  <c:v>8</c:v>
                </c:pt>
                <c:pt idx="1">
                  <c:v>4</c:v>
                </c:pt>
              </c:numCache>
            </c:numRef>
          </c:val>
          <c:extLst>
            <c:ext xmlns:c16="http://schemas.microsoft.com/office/drawing/2014/chart" uri="{C3380CC4-5D6E-409C-BE32-E72D297353CC}">
              <c16:uniqueId val="{00000000-0579-471F-8EB0-B16F21AC51C8}"/>
            </c:ext>
          </c:extLst>
        </c:ser>
        <c:ser>
          <c:idx val="2"/>
          <c:order val="1"/>
          <c:tx>
            <c:strRef>
              <c:f>'Introducerea datelor'!$E$90</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datelor'!$E$91:$E$92</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datelor'!$B$100</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datelor'!$C$100:$N$100</c:f>
              <c:numCache>
                <c:formatCode>#,##0</c:formatCode>
                <c:ptCount val="12"/>
                <c:pt idx="0">
                  <c:v>1160869.74</c:v>
                </c:pt>
              </c:numCache>
            </c:numRef>
          </c:val>
          <c:extLst>
            <c:ext xmlns:c16="http://schemas.microsoft.com/office/drawing/2014/chart" uri="{C3380CC4-5D6E-409C-BE32-E72D297353CC}">
              <c16:uniqueId val="{00000000-C2BB-4102-AC1C-6C02FD33FD2D}"/>
            </c:ext>
          </c:extLst>
        </c:ser>
        <c:ser>
          <c:idx val="1"/>
          <c:order val="1"/>
          <c:tx>
            <c:strRef>
              <c:f>'Introducerea datelor'!$B$101</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datelor'!$C$101:$N$101</c:f>
              <c:numCache>
                <c:formatCode>#,##0</c:formatCode>
                <c:ptCount val="12"/>
                <c:pt idx="0">
                  <c:v>1079919</c:v>
                </c:pt>
              </c:numCache>
            </c:numRef>
          </c:val>
          <c:extLst>
            <c:ext xmlns:c16="http://schemas.microsoft.com/office/drawing/2014/chart" uri="{C3380CC4-5D6E-409C-BE32-E72D297353CC}">
              <c16:uniqueId val="{00000001-C2BB-4102-AC1C-6C02FD33FD2D}"/>
            </c:ext>
          </c:extLst>
        </c:ser>
        <c:ser>
          <c:idx val="2"/>
          <c:order val="2"/>
          <c:tx>
            <c:strRef>
              <c:f>'Introducerea datelor'!$B$102</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datelor'!$C$102:$N$102</c:f>
              <c:numCache>
                <c:formatCode>#,##0</c:formatCode>
                <c:ptCount val="12"/>
                <c:pt idx="0">
                  <c:v>693006.73</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2030552.71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2829411.8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datelor'!$C$53</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datelor'!$C$53:$C$57</c15:sqref>
                  </c15:fullRef>
                </c:ext>
              </c:extLst>
              <c:f>'Introducerea datelor'!$C$54:$C$57</c:f>
              <c:numCache>
                <c:formatCode>#,##0</c:formatCode>
                <c:ptCount val="4"/>
              </c:numCache>
            </c:numRef>
          </c:val>
          <c:extLst>
            <c:ext xmlns:c16="http://schemas.microsoft.com/office/drawing/2014/chart" uri="{C3380CC4-5D6E-409C-BE32-E72D297353CC}">
              <c16:uniqueId val="{00000000-C369-4708-87A9-A84FC531C4BE}"/>
            </c:ext>
          </c:extLst>
        </c:ser>
        <c:ser>
          <c:idx val="1"/>
          <c:order val="1"/>
          <c:tx>
            <c:strRef>
              <c:f>'Introducerea datelor'!$D$53</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datelor'!$D$53:$D$57</c15:sqref>
                  </c15:fullRef>
                </c:ext>
              </c:extLst>
              <c:f>'Introducerea datelor'!$D$54:$D$57</c:f>
              <c:numCache>
                <c:formatCode>#,##0</c:formatCode>
                <c:ptCount val="4"/>
                <c:pt idx="0">
                  <c:v>2829411.8</c:v>
                </c:pt>
                <c:pt idx="1" formatCode="#,##0.00">
                  <c:v>1566294.48</c:v>
                </c:pt>
                <c:pt idx="2">
                  <c:v>237737.87</c:v>
                </c:pt>
                <c:pt idx="3">
                  <c:v>227452.2</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datelor'!$C$38:$C$45</c15:sqref>
                  </c15:fullRef>
                </c:ext>
              </c:extLst>
              <c:f>'Introducerea datelor'!$C$39:$C$45</c:f>
              <c:numCache>
                <c:formatCode>#,##0.00</c:formatCode>
                <c:ptCount val="7"/>
                <c:pt idx="0">
                  <c:v>81306.37</c:v>
                </c:pt>
                <c:pt idx="1">
                  <c:v>603188.44999999995</c:v>
                </c:pt>
                <c:pt idx="2">
                  <c:v>26193.29</c:v>
                </c:pt>
                <c:pt idx="3">
                  <c:v>803124.29</c:v>
                </c:pt>
                <c:pt idx="4">
                  <c:v>296554.33</c:v>
                </c:pt>
                <c:pt idx="5">
                  <c:v>35499</c:v>
                </c:pt>
                <c:pt idx="6">
                  <c:v>184686.98</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datelor'!$D$38:$D$45</c15:sqref>
                  </c15:fullRef>
                </c:ext>
              </c:extLst>
              <c:f>'Introducerea datelor'!$D$39:$D$45</c:f>
              <c:numCache>
                <c:formatCode>#,##0.00</c:formatCode>
                <c:ptCount val="7"/>
                <c:pt idx="0">
                  <c:v>44967.38</c:v>
                </c:pt>
                <c:pt idx="1">
                  <c:v>212685.9</c:v>
                </c:pt>
                <c:pt idx="2">
                  <c:v>21408.23</c:v>
                </c:pt>
                <c:pt idx="3">
                  <c:v>577492.89</c:v>
                </c:pt>
                <c:pt idx="4">
                  <c:v>479609.59999999998</c:v>
                </c:pt>
                <c:pt idx="5">
                  <c:v>31779.45</c:v>
                </c:pt>
                <c:pt idx="6">
                  <c:v>190541.05</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formatCode="0.0%">
                  <c:v>0.20499999999999999</c:v>
                </c:pt>
              </c:numCache>
            </c:numRef>
          </c:val>
          <c:extLst>
            <c:ext xmlns:c16="http://schemas.microsoft.com/office/drawing/2014/chart" uri="{C3380CC4-5D6E-409C-BE32-E72D297353CC}">
              <c16:uniqueId val="{00000002-DCD8-4C81-A46D-B0AFC1EAE687}"/>
            </c:ext>
          </c:extLst>
        </c:ser>
        <c:ser>
          <c:idx val="2"/>
          <c:order val="1"/>
          <c:tx>
            <c:strRef>
              <c:f>'Introducerea datelor'!$G$122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datelor'!$H$122:$S$122</c:f>
              <c:numCache>
                <c:formatCode>0.0</c:formatCode>
                <c:ptCount val="12"/>
                <c:pt idx="0" formatCode="0.0%">
                  <c:v>0.26600000000000001</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datelor'!$H$123:$S$123</c:f>
              <c:numCache>
                <c:formatCode>0.00%</c:formatCode>
                <c:ptCount val="12"/>
                <c:pt idx="0">
                  <c:v>3.0599999999999999E-2</c:v>
                </c:pt>
              </c:numCache>
            </c:numRef>
          </c:val>
          <c:extLst>
            <c:ext xmlns:c16="http://schemas.microsoft.com/office/drawing/2014/chart" uri="{C3380CC4-5D6E-409C-BE32-E72D297353CC}">
              <c16:uniqueId val="{00000002-52EC-4BDC-81F0-2E469D21FB78}"/>
            </c:ext>
          </c:extLst>
        </c:ser>
        <c:ser>
          <c:idx val="2"/>
          <c:order val="1"/>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datelor'!$H$124:$S$124</c:f>
              <c:numCache>
                <c:formatCode>0.00%</c:formatCode>
                <c:ptCount val="12"/>
                <c:pt idx="0">
                  <c:v>3.5999999999999997E-2</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datelor'!$G$118</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datelor'!$H$118:$S$118</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datelor'!$G$119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datelor'!$H$119:$S$119</c:f>
              <c:numCache>
                <c:formatCode>0.0</c:formatCode>
                <c:ptCount val="12"/>
                <c:pt idx="0">
                  <c:v>8.6999999999999993</c:v>
                </c:pt>
              </c:numCache>
            </c:numRef>
          </c:val>
          <c:extLst>
            <c:ext xmlns:c16="http://schemas.microsoft.com/office/drawing/2014/chart" uri="{C3380CC4-5D6E-409C-BE32-E72D297353CC}">
              <c16:uniqueId val="{0000000B-ED6C-4DE1-9468-E65DE69FFA0B}"/>
            </c:ext>
          </c:extLst>
        </c:ser>
        <c:ser>
          <c:idx val="2"/>
          <c:order val="2"/>
          <c:tx>
            <c:strRef>
              <c:f>'Introducerea datelor'!$G$120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datelor'!$H$120:$S$120</c:f>
              <c:numCache>
                <c:formatCode>0.0</c:formatCode>
                <c:ptCount val="12"/>
                <c:pt idx="0" formatCode="0.00">
                  <c:v>7.94</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c:formatCode>
                <c:ptCount val="12"/>
                <c:pt idx="0">
                  <c:v>0</c:v>
                </c:pt>
              </c:numCache>
            </c:numRef>
          </c:val>
          <c:extLst>
            <c:ext xmlns:c16="http://schemas.microsoft.com/office/drawing/2014/chart" uri="{C3380CC4-5D6E-409C-BE32-E72D297353CC}">
              <c16:uniqueId val="{00000002-AB67-4507-9DCD-77920C14C072}"/>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c:formatCode>
                <c:ptCount val="12"/>
                <c:pt idx="0">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c:formatCode>
                <c:ptCount val="12"/>
                <c:pt idx="0">
                  <c:v>0</c:v>
                </c:pt>
              </c:numCache>
            </c:numRef>
          </c:val>
          <c:extLst>
            <c:ext xmlns:c16="http://schemas.microsoft.com/office/drawing/2014/chart" uri="{C3380CC4-5D6E-409C-BE32-E72D297353CC}">
              <c16:uniqueId val="{00000002-4350-409D-B5E1-D06548E981D0}"/>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c:formatCode>
                <c:ptCount val="12"/>
                <c:pt idx="0">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c:v>0</c:v>
                </c:pt>
              </c:numCache>
            </c:numRef>
          </c:val>
          <c:extLst>
            <c:ext xmlns:c16="http://schemas.microsoft.com/office/drawing/2014/chart" uri="{C3380CC4-5D6E-409C-BE32-E72D297353CC}">
              <c16:uniqueId val="{00000005-45E1-4BA1-8735-4FFEBDCD01F4}"/>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c:formatCode>
                <c:ptCount val="12"/>
                <c:pt idx="0">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2030552.71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2829411.8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1714500</xdr:colOff>
      <xdr:row>18</xdr:row>
      <xdr:rowOff>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5" totalsRowShown="0" headerRowDxfId="10" headerRowBorderDxfId="9" tableBorderDxfId="8" totalsRowBorderDxfId="7">
  <autoFilter ref="A1:G25"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din M&amp;E Plan)" dataDxfId="2"/>
    <tableColumn id="5" xr3:uid="{00000000-0010-0000-3A01-000005000000}" name="metode de măsurare"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8" xr6:uid="{00000000-000C-0000-FFFF-FFFF2F000000}" r="C45" connectionId="0">
    <xmlCellPr id="1" xr6:uid="{00000000-0010-0000-2F00-000001000000}" uniqueName="1">
      <xmlPr mapId="43" xpath="/ns1:Root/ns1:F2/ns1:Environ__Community_TB_care__Cumulative_Budget__in___" xmlDataType="double"/>
    </xmlCellPr>
  </singleXmlCell>
  <singleXmlCell id="469" xr6:uid="{00000000-000C-0000-FFFF-FFFF30000000}" r="D45" connectionId="0">
    <xmlCellPr id="1" xr6:uid="{00000000-0010-0000-3000-000001000000}" uniqueName="1">
      <xmlPr mapId="43" xpath="/ns1:Root/ns1:F2/ns1:Environ__Community_TB_care__Cumulative_Expenditures__in___" xmlDataType="double"/>
    </xmlCellPr>
  </singleXmlCell>
  <singleXmlCell id="470" xr6:uid="{00000000-000C-0000-FFFF-FFFF31000000}" r="C46" connectionId="0">
    <xmlCellPr id="1" xr6:uid="{00000000-0010-0000-3100-000001000000}" uniqueName="1">
      <xmlPr mapId="43" xpath="/ns1:Root/ns1:F2/ns1:_Cumulative_Budget__in____1" xmlDataType="string"/>
    </xmlCellPr>
  </singleXmlCell>
  <singleXmlCell id="471" xr6:uid="{00000000-000C-0000-FFFF-FFFF32000000}" r="D46" connectionId="0">
    <xmlCellPr id="1" xr6:uid="{00000000-0010-0000-3200-000001000000}" uniqueName="1">
      <xmlPr mapId="43" xpath="/ns1:Root/ns1:F2/ns1:_Cumulative_Expenditures__in____1" xmlDataType="string"/>
    </xmlCellPr>
  </singleXmlCell>
  <singleXmlCell id="472" xr6:uid="{00000000-000C-0000-FFFF-FFFF33000000}" r="C47" connectionId="0">
    <xmlCellPr id="1" xr6:uid="{00000000-0010-0000-3300-000001000000}" uniqueName="1">
      <xmlPr mapId="43" xpath="/ns1:Root/ns1:F2/ns1:_Cumulative_Budget__in____2" xmlDataType="string"/>
    </xmlCellPr>
  </singleXmlCell>
  <singleXmlCell id="473" xr6:uid="{00000000-000C-0000-FFFF-FFFF34000000}" r="D47" connectionId="0">
    <xmlCellPr id="1" xr6:uid="{00000000-0010-0000-3400-000001000000}" uniqueName="1">
      <xmlPr mapId="43" xpath="/ns1:Root/ns1:F2/ns1:_Cumulative_Expenditures__in____2" xmlDataType="string"/>
    </xmlCellPr>
  </singleXmlCell>
  <singleXmlCell id="474" xr6:uid="{00000000-000C-0000-FFFF-FFFF35000000}" r="C48" connectionId="0">
    <xmlCellPr id="1" xr6:uid="{00000000-0010-0000-3500-000001000000}" uniqueName="1">
      <xmlPr mapId="43" xpath="/ns1:Root/ns1:F2/ns1:_Cumulative_Budget__in___" xmlDataType="string"/>
    </xmlCellPr>
  </singleXmlCell>
  <singleXmlCell id="475" xr6:uid="{00000000-000C-0000-FFFF-FFFF36000000}" r="D48" connectionId="0">
    <xmlCellPr id="1" xr6:uid="{00000000-0010-0000-3600-000001000000}" uniqueName="1">
      <xmlPr mapId="43" xpath="/ns1:Root/ns1:F2/ns1:_Cumulative_Expenditures__in___" xmlDataType="string"/>
    </xmlCellPr>
  </singleXmlCell>
  <singleXmlCell id="476" xr6:uid="{00000000-000C-0000-FFFF-FFFF37000000}" r="C54" connectionId="0">
    <xmlCellPr id="1" xr6:uid="{00000000-0010-0000-3700-000001000000}" uniqueName="1">
      <xmlPr mapId="43" xpath="/ns1:Root/ns1:F3/ns1:Disbursed_by_Global_Fund_Prior_to_reporting_period__in___" xmlDataType="double"/>
    </xmlCellPr>
  </singleXmlCell>
  <singleXmlCell id="477" xr6:uid="{00000000-000C-0000-FFFF-FFFF38000000}" r="D54" connectionId="0">
    <xmlCellPr id="1" xr6:uid="{00000000-0010-0000-3800-000001000000}" uniqueName="1">
      <xmlPr mapId="43" xpath="/ns1:Root/ns1:F3/ns1:Disbursed_by_Global_Fund_Reporting_period__in___" xmlDataType="double"/>
    </xmlCellPr>
  </singleXmlCell>
  <singleXmlCell id="478" xr6:uid="{00000000-000C-0000-FFFF-FFFF39000000}" r="C55"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5" connectionId="0">
    <xmlCellPr id="1" xr6:uid="{00000000-0010-0000-3A00-000001000000}" uniqueName="1">
      <xmlPr mapId="43" xpath="/ns1:Root/ns1:F3/ns1:PR_expenditure_and_disbursement_Reporting_period__in___" xmlDataType="double"/>
    </xmlCellPr>
  </singleXmlCell>
  <singleXmlCell id="480" xr6:uid="{00000000-000C-0000-FFFF-FFFF3B000000}" r="C56" connectionId="0">
    <xmlCellPr id="1" xr6:uid="{00000000-0010-0000-3B00-000001000000}" uniqueName="1">
      <xmlPr mapId="43" xpath="/ns1:Root/ns1:F3/ns1:Disbursed_to_SRs_Prior_to_reporting_period__in___" xmlDataType="double"/>
    </xmlCellPr>
  </singleXmlCell>
  <singleXmlCell id="481" xr6:uid="{00000000-000C-0000-FFFF-FFFF3C000000}" r="D56" connectionId="0">
    <xmlCellPr id="1" xr6:uid="{00000000-0010-0000-3C00-000001000000}" uniqueName="1">
      <xmlPr mapId="43" xpath="/ns1:Root/ns1:F3/ns1:Disbursed_to_SRs_Reporting_period__in___" xmlDataType="double"/>
    </xmlCellPr>
  </singleXmlCell>
  <singleXmlCell id="482" xr6:uid="{00000000-000C-0000-FFFF-FFFF3D000000}" r="C57" connectionId="0">
    <xmlCellPr id="1" xr6:uid="{00000000-0010-0000-3D00-000001000000}" uniqueName="1">
      <xmlPr mapId="43" xpath="/ns1:Root/ns1:F3/ns1:SR_expenditures_Prior_to_reporting_period__in___" xmlDataType="double"/>
    </xmlCellPr>
  </singleXmlCell>
  <singleXmlCell id="483" xr6:uid="{00000000-000C-0000-FFFF-FFFF3E000000}" r="D57" connectionId="0">
    <xmlCellPr id="1" xr6:uid="{00000000-0010-0000-3E00-000001000000}" uniqueName="1">
      <xmlPr mapId="43" xpath="/ns1:Root/ns1:F3/ns1:SR_expenditures_Reporting_period__in___" xmlDataType="double"/>
    </xmlCellPr>
  </singleXmlCell>
  <singleXmlCell id="484" xr6:uid="{00000000-000C-0000-FFFF-FFFF3F000000}" r="C64" connectionId="0">
    <xmlCellPr id="1" xr6:uid="{00000000-0010-0000-3F00-000001000000}" uniqueName="1">
      <xmlPr mapId="43" xpath="/ns1:Root/ns1:F4/ns1:Days_taken_to_submit_acceptable_PU_DR_to_LFA_Expected__days_" xmlDataType="double"/>
    </xmlCellPr>
  </singleXmlCell>
  <singleXmlCell id="485" xr6:uid="{00000000-000C-0000-FFFF-FFFF40000000}" r="D64" connectionId="0">
    <xmlCellPr id="1" xr6:uid="{00000000-0010-0000-4000-000001000000}" uniqueName="1">
      <xmlPr mapId="43" xpath="/ns1:Root/ns1:F4/ns1:Days_taken_to_submit_acceptable_PU_DR_to_LFA_Actual__days_" xmlDataType="double"/>
    </xmlCellPr>
  </singleXmlCell>
  <singleXmlCell id="486" xr6:uid="{00000000-000C-0000-FFFF-FFFF41000000}" r="C65" connectionId="0">
    <xmlCellPr id="1" xr6:uid="{00000000-0010-0000-4100-000001000000}" uniqueName="1">
      <xmlPr mapId="43" xpath="/ns1:Root/ns1:F4/ns1:Days_taken_for_disbursement_to_reach_PR_Expected__days_" xmlDataType="double"/>
    </xmlCellPr>
  </singleXmlCell>
  <singleXmlCell id="487" xr6:uid="{00000000-000C-0000-FFFF-FFFF42000000}" r="D65" connectionId="0">
    <xmlCellPr id="1" xr6:uid="{00000000-0010-0000-4200-000001000000}" uniqueName="1">
      <xmlPr mapId="43" xpath="/ns1:Root/ns1:F4/ns1:Days_taken_for_disbursement_to_reach_PR_Actual__days_" xmlDataType="double"/>
    </xmlCellPr>
  </singleXmlCell>
  <singleXmlCell id="488" xr6:uid="{00000000-000C-0000-FFFF-FFFF43000000}" r="C66" connectionId="0">
    <xmlCellPr id="1" xr6:uid="{00000000-0010-0000-4300-000001000000}" uniqueName="1">
      <xmlPr mapId="43" xpath="/ns1:Root/ns1:F4/ns1:Days_taken_for_disbursement_to_reach_SRs__Expected__days_" xmlDataType="double"/>
    </xmlCellPr>
  </singleXmlCell>
  <singleXmlCell id="489" xr6:uid="{00000000-000C-0000-FFFF-FFFF44000000}" r="D66" connectionId="0">
    <xmlCellPr id="1" xr6:uid="{00000000-0010-0000-4400-000001000000}" uniqueName="1">
      <xmlPr mapId="43" xpath="/ns1:Root/ns1:F4/ns1:Days_taken_for_disbursement_to_reach_SRs__Actual__days_" xmlDataType="double"/>
    </xmlCellPr>
  </singleXmlCell>
  <singleXmlCell id="490" xr6:uid="{00000000-000C-0000-FFFF-FFFF45000000}" r="B74" connectionId="0">
    <xmlCellPr id="1" xr6:uid="{00000000-0010-0000-4500-000001000000}" uniqueName="1">
      <xmlPr mapId="43" xpath="/ns1:Root/ns1:M1/ns1:Conditions_precedents__CPs__" xmlDataType="string"/>
    </xmlCellPr>
  </singleXmlCell>
  <singleXmlCell id="491" xr6:uid="{00000000-000C-0000-FFFF-FFFF46000000}" r="D74" connectionId="0">
    <xmlCellPr id="1" xr6:uid="{00000000-0010-0000-4600-000001000000}" uniqueName="1">
      <xmlPr mapId="43" xpath="/ns1:Root/ns1:M1/ns1:Conditions_precedents__CPs__Fulfilled" xmlDataType="double"/>
    </xmlCellPr>
  </singleXmlCell>
  <singleXmlCell id="492" xr6:uid="{00000000-000C-0000-FFFF-FFFF47000000}" r="E74"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4"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5" connectionId="0">
    <xmlCellPr id="1" xr6:uid="{00000000-0010-0000-4900-000001000000}" uniqueName="1">
      <xmlPr mapId="43" xpath="/ns1:Root/ns1:M1/ns1:Time_Bound_Actions__TBAs__" xmlDataType="string"/>
    </xmlCellPr>
  </singleXmlCell>
  <singleXmlCell id="495" xr6:uid="{00000000-000C-0000-FFFF-FFFF4A000000}" r="D75" connectionId="0">
    <xmlCellPr id="1" xr6:uid="{00000000-0010-0000-4A00-000001000000}" uniqueName="1">
      <xmlPr mapId="43" xpath="/ns1:Root/ns1:M1/ns1:Time_Bound_Actions__TBAs__Fulfilled" xmlDataType="double"/>
    </xmlCellPr>
  </singleXmlCell>
  <singleXmlCell id="496" xr6:uid="{00000000-000C-0000-FFFF-FFFF4B000000}" r="E75" connectionId="0">
    <xmlCellPr id="1" xr6:uid="{00000000-0010-0000-4B00-000001000000}" uniqueName="1">
      <xmlPr mapId="43" xpath="/ns1:Root/ns1:M1/ns1:Time_Bound_Actions__TBAs__Not_fulfilled__but_within_deadline" xmlDataType="string"/>
    </xmlCellPr>
  </singleXmlCell>
  <singleXmlCell id="497" xr6:uid="{00000000-000C-0000-FFFF-FFFF4C000000}" r="F75"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1" connectionId="0">
    <xmlCellPr id="1" xr6:uid="{00000000-0010-0000-4D00-000001000000}" uniqueName="1">
      <xmlPr mapId="43" xpath="/ns1:Root/ns1:M2/ns1:PMU_Planned" xmlDataType="double"/>
    </xmlCellPr>
  </singleXmlCell>
  <singleXmlCell id="499" xr6:uid="{00000000-000C-0000-FFFF-FFFF4E000000}" r="D81" connectionId="0">
    <xmlCellPr id="1" xr6:uid="{00000000-0010-0000-4E00-000001000000}" uniqueName="1">
      <xmlPr mapId="43" xpath="/ns1:Root/ns1:M2/ns1:PMU_Filled" xmlDataType="double"/>
    </xmlCellPr>
  </singleXmlCell>
  <singleXmlCell id="500" xr6:uid="{00000000-000C-0000-FFFF-FFFF4F000000}" r="C86" connectionId="0">
    <xmlCellPr id="1" xr6:uid="{00000000-0010-0000-4F00-000001000000}" uniqueName="1">
      <xmlPr mapId="43" xpath="/ns1:Root/ns1:M3/ns1:SRs_Identified" xmlDataType="double"/>
    </xmlCellPr>
  </singleXmlCell>
  <singleXmlCell id="501" xr6:uid="{00000000-000C-0000-FFFF-FFFF50000000}" r="D86" connectionId="0">
    <xmlCellPr id="1" xr6:uid="{00000000-0010-0000-5000-000001000000}" uniqueName="1">
      <xmlPr mapId="43" xpath="/ns1:Root/ns1:M3/ns1:SRs_Assessed" xmlDataType="double"/>
    </xmlCellPr>
  </singleXmlCell>
  <singleXmlCell id="502" xr6:uid="{00000000-000C-0000-FFFF-FFFF51000000}" r="E86" connectionId="0">
    <xmlCellPr id="1" xr6:uid="{00000000-0010-0000-5100-000001000000}" uniqueName="1">
      <xmlPr mapId="43" xpath="/ns1:Root/ns1:M3/ns1:SRs_Approved" xmlDataType="double"/>
    </xmlCellPr>
  </singleXmlCell>
  <singleXmlCell id="503" xr6:uid="{00000000-000C-0000-FFFF-FFFF52000000}" r="F86" connectionId="0">
    <xmlCellPr id="1" xr6:uid="{00000000-0010-0000-5200-000001000000}" uniqueName="1">
      <xmlPr mapId="43" xpath="/ns1:Root/ns1:M3/ns1:SRs_Signed" xmlDataType="double"/>
    </xmlCellPr>
  </singleXmlCell>
  <singleXmlCell id="504" xr6:uid="{00000000-000C-0000-FFFF-FFFF53000000}" r="G86" connectionId="0">
    <xmlCellPr id="1" xr6:uid="{00000000-0010-0000-5300-000001000000}" uniqueName="1">
      <xmlPr mapId="43" xpath="/ns1:Root/ns1:M3/ns1:SRs_Receiving_Funding" xmlDataType="double"/>
    </xmlCellPr>
  </singleXmlCell>
  <singleXmlCell id="506" xr6:uid="{00000000-000C-0000-FFFF-FFFF54000000}" r="C91" connectionId="0">
    <xmlCellPr id="1" xr6:uid="{00000000-0010-0000-5400-000001000000}" uniqueName="1">
      <xmlPr mapId="43" xpath="/ns1:Root/ns1:M4/ns1:SSR_to_SR__IR_____Expected" xmlDataType="string"/>
    </xmlCellPr>
  </singleXmlCell>
  <singleXmlCell id="507" xr6:uid="{00000000-000C-0000-FFFF-FFFF55000000}" r="D91" connectionId="0">
    <xmlCellPr id="1" xr6:uid="{00000000-0010-0000-5500-000001000000}" uniqueName="1">
      <xmlPr mapId="43" xpath="/ns1:Root/ns1:M4/ns1:SSR_to_SR__IR____Received" xmlDataType="string"/>
    </xmlCellPr>
  </singleXmlCell>
  <singleXmlCell id="509" xr6:uid="{00000000-000C-0000-FFFF-FFFF56000000}" r="C92" connectionId="0">
    <xmlCellPr id="1" xr6:uid="{00000000-0010-0000-5600-000001000000}" uniqueName="1">
      <xmlPr mapId="43" xpath="/ns1:Root/ns1:M4/ns1:SRs__IRs__to_PR____Expected" xmlDataType="double"/>
    </xmlCellPr>
  </singleXmlCell>
  <singleXmlCell id="510" xr6:uid="{00000000-000C-0000-FFFF-FFFF57000000}" r="D92" connectionId="0">
    <xmlCellPr id="1" xr6:uid="{00000000-0010-0000-5700-000001000000}" uniqueName="1">
      <xmlPr mapId="43" xpath="/ns1:Root/ns1:M4/ns1:SRs__IRs__to_PR___Received" xmlDataType="double"/>
    </xmlCellPr>
  </singleXmlCell>
  <singleXmlCell id="511" xr6:uid="{00000000-000C-0000-FFFF-FFFF58000000}" r="C97" connectionId="0">
    <xmlCellPr id="1" xr6:uid="{00000000-0010-0000-5800-000001000000}" uniqueName="1">
      <xmlPr mapId="43" xpath="/ns1:Root/ns1:M5/ns1:Budget_Approved__P1" xmlDataType="double"/>
    </xmlCellPr>
  </singleXmlCell>
  <singleXmlCell id="512" xr6:uid="{00000000-000C-0000-FFFF-FFFF59000000}" r="D97" connectionId="0">
    <xmlCellPr id="1" xr6:uid="{00000000-0010-0000-5900-000001000000}" uniqueName="1">
      <xmlPr mapId="43" xpath="/ns1:Root/ns1:M5/ns1:Budget_Approved__P2" xmlDataType="double"/>
    </xmlCellPr>
  </singleXmlCell>
  <singleXmlCell id="513" xr6:uid="{00000000-000C-0000-FFFF-FFFF5A000000}" r="E97" connectionId="0">
    <xmlCellPr id="1" xr6:uid="{00000000-0010-0000-5A00-000001000000}" uniqueName="1">
      <xmlPr mapId="43" xpath="/ns1:Root/ns1:M5/ns1:Budget_Approved__P3" xmlDataType="double"/>
    </xmlCellPr>
  </singleXmlCell>
  <singleXmlCell id="514" xr6:uid="{00000000-000C-0000-FFFF-FFFF5B000000}" r="F97" connectionId="0">
    <xmlCellPr id="1" xr6:uid="{00000000-0010-0000-5B00-000001000000}" uniqueName="1">
      <xmlPr mapId="43" xpath="/ns1:Root/ns1:M5/ns1:Budget_Approved__P4" xmlDataType="double"/>
    </xmlCellPr>
  </singleXmlCell>
  <singleXmlCell id="515" xr6:uid="{00000000-000C-0000-FFFF-FFFF5C000000}" r="G97" connectionId="0">
    <xmlCellPr id="1" xr6:uid="{00000000-0010-0000-5C00-000001000000}" uniqueName="1">
      <xmlPr mapId="43" xpath="/ns1:Root/ns1:M5/ns1:Budget_Approved__P5" xmlDataType="double"/>
    </xmlCellPr>
  </singleXmlCell>
  <singleXmlCell id="516" xr6:uid="{00000000-000C-0000-FFFF-FFFF5D000000}" r="H97" connectionId="0">
    <xmlCellPr id="1" xr6:uid="{00000000-0010-0000-5D00-000001000000}" uniqueName="1">
      <xmlPr mapId="43" xpath="/ns1:Root/ns1:M5/ns1:Budget_Approved__P6" xmlDataType="double"/>
    </xmlCellPr>
  </singleXmlCell>
  <singleXmlCell id="517" xr6:uid="{00000000-000C-0000-FFFF-FFFF5E000000}" r="I97" connectionId="0">
    <xmlCellPr id="1" xr6:uid="{00000000-0010-0000-5E00-000001000000}" uniqueName="1">
      <xmlPr mapId="43" xpath="/ns1:Root/ns1:M5/ns1:Budget_Approved__P7" xmlDataType="double"/>
    </xmlCellPr>
  </singleXmlCell>
  <singleXmlCell id="518" xr6:uid="{00000000-000C-0000-FFFF-FFFF5F000000}" r="J97" connectionId="0">
    <xmlCellPr id="1" xr6:uid="{00000000-0010-0000-5F00-000001000000}" uniqueName="1">
      <xmlPr mapId="43" xpath="/ns1:Root/ns1:M5/ns1:Budget_Approved__P8" xmlDataType="double"/>
    </xmlCellPr>
  </singleXmlCell>
  <singleXmlCell id="519" xr6:uid="{00000000-000C-0000-FFFF-FFFF60000000}" r="K97" connectionId="0">
    <xmlCellPr id="1" xr6:uid="{00000000-0010-0000-6000-000001000000}" uniqueName="1">
      <xmlPr mapId="43" xpath="/ns1:Root/ns1:M5/ns1:Budget_Approved__P9" xmlDataType="double"/>
    </xmlCellPr>
  </singleXmlCell>
  <singleXmlCell id="520" xr6:uid="{00000000-000C-0000-FFFF-FFFF61000000}" r="L97" connectionId="0">
    <xmlCellPr id="1" xr6:uid="{00000000-0010-0000-6100-000001000000}" uniqueName="1">
      <xmlPr mapId="43" xpath="/ns1:Root/ns1:M5/ns1:Budget_Approved__P10" xmlDataType="double"/>
    </xmlCellPr>
  </singleXmlCell>
  <singleXmlCell id="521" xr6:uid="{00000000-000C-0000-FFFF-FFFF62000000}" r="M97" connectionId="0">
    <xmlCellPr id="1" xr6:uid="{00000000-0010-0000-6200-000001000000}" uniqueName="1">
      <xmlPr mapId="43" xpath="/ns1:Root/ns1:M5/ns1:Budget_Approved__P11" xmlDataType="double"/>
    </xmlCellPr>
  </singleXmlCell>
  <singleXmlCell id="522" xr6:uid="{00000000-000C-0000-FFFF-FFFF63000000}" r="N97" connectionId="0">
    <xmlCellPr id="1" xr6:uid="{00000000-0010-0000-6300-000001000000}" uniqueName="1">
      <xmlPr mapId="43" xpath="/ns1:Root/ns1:M5/ns1:Budget_Approved__P12" xmlDataType="double"/>
    </xmlCellPr>
  </singleXmlCell>
  <singleXmlCell id="523" xr6:uid="{00000000-000C-0000-FFFF-FFFF64000000}" r="C98" connectionId="0">
    <xmlCellPr id="1" xr6:uid="{00000000-0010-0000-6400-000001000000}" uniqueName="1">
      <xmlPr mapId="43" xpath="/ns1:Root/ns1:M5/ns1:Obligations_P1" xmlDataType="double"/>
    </xmlCellPr>
  </singleXmlCell>
  <singleXmlCell id="524" xr6:uid="{00000000-000C-0000-FFFF-FFFF65000000}" r="D98" connectionId="0">
    <xmlCellPr id="1" xr6:uid="{00000000-0010-0000-6500-000001000000}" uniqueName="1">
      <xmlPr mapId="43" xpath="/ns1:Root/ns1:M5/ns1:Obligations_P2" xmlDataType="double"/>
    </xmlCellPr>
  </singleXmlCell>
  <singleXmlCell id="525" xr6:uid="{00000000-000C-0000-FFFF-FFFF66000000}" r="E98" connectionId="0">
    <xmlCellPr id="1" xr6:uid="{00000000-0010-0000-6600-000001000000}" uniqueName="1">
      <xmlPr mapId="43" xpath="/ns1:Root/ns1:M5/ns1:Obligations_P3" xmlDataType="double"/>
    </xmlCellPr>
  </singleXmlCell>
  <singleXmlCell id="526" xr6:uid="{00000000-000C-0000-FFFF-FFFF67000000}" r="F98" connectionId="0">
    <xmlCellPr id="1" xr6:uid="{00000000-0010-0000-6700-000001000000}" uniqueName="1">
      <xmlPr mapId="43" xpath="/ns1:Root/ns1:M5/ns1:Obligations_P4" xmlDataType="double"/>
    </xmlCellPr>
  </singleXmlCell>
  <singleXmlCell id="527" xr6:uid="{00000000-000C-0000-FFFF-FFFF68000000}" r="G98" connectionId="0">
    <xmlCellPr id="1" xr6:uid="{00000000-0010-0000-6800-000001000000}" uniqueName="1">
      <xmlPr mapId="43" xpath="/ns1:Root/ns1:M5/ns1:Obligations_P5" xmlDataType="double"/>
    </xmlCellPr>
  </singleXmlCell>
  <singleXmlCell id="528" xr6:uid="{00000000-000C-0000-FFFF-FFFF69000000}" r="H98" connectionId="0">
    <xmlCellPr id="1" xr6:uid="{00000000-0010-0000-6900-000001000000}" uniqueName="1">
      <xmlPr mapId="43" xpath="/ns1:Root/ns1:M5/ns1:Obligations_P6" xmlDataType="double"/>
    </xmlCellPr>
  </singleXmlCell>
  <singleXmlCell id="529" xr6:uid="{00000000-000C-0000-FFFF-FFFF6A000000}" r="I98" connectionId="0">
    <xmlCellPr id="1" xr6:uid="{00000000-0010-0000-6A00-000001000000}" uniqueName="1">
      <xmlPr mapId="43" xpath="/ns1:Root/ns1:M5/ns1:Obligations_P7" xmlDataType="double"/>
    </xmlCellPr>
  </singleXmlCell>
  <singleXmlCell id="530" xr6:uid="{00000000-000C-0000-FFFF-FFFF6B000000}" r="J98" connectionId="0">
    <xmlCellPr id="1" xr6:uid="{00000000-0010-0000-6B00-000001000000}" uniqueName="1">
      <xmlPr mapId="43" xpath="/ns1:Root/ns1:M5/ns1:Obligations_P8" xmlDataType="double"/>
    </xmlCellPr>
  </singleXmlCell>
  <singleXmlCell id="531" xr6:uid="{00000000-000C-0000-FFFF-FFFF6C000000}" r="K98" connectionId="0">
    <xmlCellPr id="1" xr6:uid="{00000000-0010-0000-6C00-000001000000}" uniqueName="1">
      <xmlPr mapId="43" xpath="/ns1:Root/ns1:M5/ns1:Obligations_P9" xmlDataType="double"/>
    </xmlCellPr>
  </singleXmlCell>
  <singleXmlCell id="532" xr6:uid="{00000000-000C-0000-FFFF-FFFF6D000000}" r="L98" connectionId="0">
    <xmlCellPr id="1" xr6:uid="{00000000-0010-0000-6D00-000001000000}" uniqueName="1">
      <xmlPr mapId="43" xpath="/ns1:Root/ns1:M5/ns1:Obligations_P10" xmlDataType="double"/>
    </xmlCellPr>
  </singleXmlCell>
  <singleXmlCell id="533" xr6:uid="{00000000-000C-0000-FFFF-FFFF6E000000}" r="M98" connectionId="0">
    <xmlCellPr id="1" xr6:uid="{00000000-0010-0000-6E00-000001000000}" uniqueName="1">
      <xmlPr mapId="43" xpath="/ns1:Root/ns1:M5/ns1:Obligations_P11" xmlDataType="double"/>
    </xmlCellPr>
  </singleXmlCell>
  <singleXmlCell id="534" xr6:uid="{00000000-000C-0000-FFFF-FFFF6F000000}" r="N98" connectionId="0">
    <xmlCellPr id="1" xr6:uid="{00000000-0010-0000-6F00-000001000000}" uniqueName="1">
      <xmlPr mapId="43" xpath="/ns1:Root/ns1:M5/ns1:Obligations_P12" xmlDataType="double"/>
    </xmlCellPr>
  </singleXmlCell>
  <singleXmlCell id="535" xr6:uid="{00000000-000C-0000-FFFF-FFFF70000000}" r="C99" connectionId="0">
    <xmlCellPr id="1" xr6:uid="{00000000-0010-0000-7000-000001000000}" uniqueName="1">
      <xmlPr mapId="43" xpath="/ns1:Root/ns1:M5/ns1:Expenditures_P1" xmlDataType="double"/>
    </xmlCellPr>
  </singleXmlCell>
  <singleXmlCell id="536" xr6:uid="{00000000-000C-0000-FFFF-FFFF71000000}" r="D99" connectionId="0">
    <xmlCellPr id="1" xr6:uid="{00000000-0010-0000-7100-000001000000}" uniqueName="1">
      <xmlPr mapId="43" xpath="/ns1:Root/ns1:M5/ns1:Expenditures_P2" xmlDataType="double"/>
    </xmlCellPr>
  </singleXmlCell>
  <singleXmlCell id="537" xr6:uid="{00000000-000C-0000-FFFF-FFFF72000000}" r="E99" connectionId="0">
    <xmlCellPr id="1" xr6:uid="{00000000-0010-0000-7200-000001000000}" uniqueName="1">
      <xmlPr mapId="43" xpath="/ns1:Root/ns1:M5/ns1:Expenditures_P3" xmlDataType="double"/>
    </xmlCellPr>
  </singleXmlCell>
  <singleXmlCell id="538" xr6:uid="{00000000-000C-0000-FFFF-FFFF73000000}" r="F99" connectionId="0">
    <xmlCellPr id="1" xr6:uid="{00000000-0010-0000-7300-000001000000}" uniqueName="1">
      <xmlPr mapId="43" xpath="/ns1:Root/ns1:M5/ns1:Expenditures_P4" xmlDataType="double"/>
    </xmlCellPr>
  </singleXmlCell>
  <singleXmlCell id="539" xr6:uid="{00000000-000C-0000-FFFF-FFFF74000000}" r="G99" connectionId="0">
    <xmlCellPr id="1" xr6:uid="{00000000-0010-0000-7400-000001000000}" uniqueName="1">
      <xmlPr mapId="43" xpath="/ns1:Root/ns1:M5/ns1:Expenditures_P5" xmlDataType="double"/>
    </xmlCellPr>
  </singleXmlCell>
  <singleXmlCell id="540" xr6:uid="{00000000-000C-0000-FFFF-FFFF75000000}" r="H99" connectionId="0">
    <xmlCellPr id="1" xr6:uid="{00000000-0010-0000-7500-000001000000}" uniqueName="1">
      <xmlPr mapId="43" xpath="/ns1:Root/ns1:M5/ns1:Expenditures_P6" xmlDataType="double"/>
    </xmlCellPr>
  </singleXmlCell>
  <singleXmlCell id="541" xr6:uid="{00000000-000C-0000-FFFF-FFFF76000000}" r="I99" connectionId="0">
    <xmlCellPr id="1" xr6:uid="{00000000-0010-0000-7600-000001000000}" uniqueName="1">
      <xmlPr mapId="43" xpath="/ns1:Root/ns1:M5/ns1:Expenditures_P7" xmlDataType="double"/>
    </xmlCellPr>
  </singleXmlCell>
  <singleXmlCell id="542" xr6:uid="{00000000-000C-0000-FFFF-FFFF77000000}" r="J99" connectionId="0">
    <xmlCellPr id="1" xr6:uid="{00000000-0010-0000-7700-000001000000}" uniqueName="1">
      <xmlPr mapId="43" xpath="/ns1:Root/ns1:M5/ns1:Expenditures_P8" xmlDataType="double"/>
    </xmlCellPr>
  </singleXmlCell>
  <singleXmlCell id="543" xr6:uid="{00000000-000C-0000-FFFF-FFFF78000000}" r="K99" connectionId="0">
    <xmlCellPr id="1" xr6:uid="{00000000-0010-0000-7800-000001000000}" uniqueName="1">
      <xmlPr mapId="43" xpath="/ns1:Root/ns1:M5/ns1:Expenditures_P9" xmlDataType="double"/>
    </xmlCellPr>
  </singleXmlCell>
  <singleXmlCell id="544" xr6:uid="{00000000-000C-0000-FFFF-FFFF79000000}" r="L99" connectionId="0">
    <xmlCellPr id="1" xr6:uid="{00000000-0010-0000-7900-000001000000}" uniqueName="1">
      <xmlPr mapId="43" xpath="/ns1:Root/ns1:M5/ns1:Expenditures_P10" xmlDataType="double"/>
    </xmlCellPr>
  </singleXmlCell>
  <singleXmlCell id="545" xr6:uid="{00000000-000C-0000-FFFF-FFFF7A000000}" r="M99" connectionId="0">
    <xmlCellPr id="1" xr6:uid="{00000000-0010-0000-7A00-000001000000}" uniqueName="1">
      <xmlPr mapId="43" xpath="/ns1:Root/ns1:M5/ns1:Expenditures_P11" xmlDataType="double"/>
    </xmlCellPr>
  </singleXmlCell>
  <singleXmlCell id="546" xr6:uid="{00000000-000C-0000-FFFF-FFFF7B000000}" r="N99" connectionId="0">
    <xmlCellPr id="1" xr6:uid="{00000000-0010-0000-7B00-000001000000}" uniqueName="1">
      <xmlPr mapId="43" xpath="/ns1:Root/ns1:M5/ns1:Expenditures_P12" xmlDataType="double"/>
    </xmlCellPr>
  </singleXmlCell>
  <singleXmlCell id="547" xr6:uid="{00000000-000C-0000-FFFF-FFFF7C000000}" r="C110" connectionId="0">
    <xmlCellPr id="1" xr6:uid="{00000000-0010-0000-7C00-000001000000}" uniqueName="1">
      <xmlPr mapId="43" xpath="/ns1:Root/ns1:M6/ns1:HIV___AIDS_Products" xmlDataType="string"/>
    </xmlCellPr>
  </singleXmlCell>
  <singleXmlCell id="548" xr6:uid="{00000000-000C-0000-FFFF-FFFF7D000000}" r="D110"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0" connectionId="0">
    <xmlCellPr id="1" xr6:uid="{00000000-0010-0000-7E00-000001000000}" uniqueName="1">
      <xmlPr mapId="43" xpath="/ns1:Root/ns1:M6/ns1:HIV___AIDS__3__Total_patients_in_treatment" xmlDataType="double"/>
    </xmlCellPr>
  </singleXmlCell>
  <singleXmlCell id="550" xr6:uid="{00000000-000C-0000-FFFF-FFFF7F000000}" r="H110"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0"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1" connectionId="0">
    <xmlCellPr id="1" xr6:uid="{00000000-0010-0000-8100-000001000000}" uniqueName="1">
      <xmlPr mapId="43" xpath="/ns1:Root/ns1:M6/ns1:_Products_1" xmlDataType="string"/>
    </xmlCellPr>
  </singleXmlCell>
  <singleXmlCell id="553" xr6:uid="{00000000-000C-0000-FFFF-FFFF82000000}" r="D111"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1" connectionId="0">
    <xmlCellPr id="1" xr6:uid="{00000000-0010-0000-8300-000001000000}" uniqueName="1">
      <xmlPr mapId="43" xpath="/ns1:Root/ns1:M6/ns1:__3__Total_patients_in_treatment_1" xmlDataType="double"/>
    </xmlCellPr>
  </singleXmlCell>
  <singleXmlCell id="555" xr6:uid="{00000000-000C-0000-FFFF-FFFF84000000}" r="H111"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1"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2" connectionId="0">
    <xmlCellPr id="1" xr6:uid="{00000000-0010-0000-8600-000001000000}" uniqueName="1">
      <xmlPr mapId="43" xpath="/ns1:Root/ns1:M6/ns1:_Products_2" xmlDataType="string"/>
    </xmlCellPr>
  </singleXmlCell>
  <singleXmlCell id="558" xr6:uid="{00000000-000C-0000-FFFF-FFFF87000000}" r="D112"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2" connectionId="0">
    <xmlCellPr id="1" xr6:uid="{00000000-0010-0000-8800-000001000000}" uniqueName="1">
      <xmlPr mapId="43" xpath="/ns1:Root/ns1:M6/ns1:__3__Total_patients_in_treatment_2" xmlDataType="double"/>
    </xmlCellPr>
  </singleXmlCell>
  <singleXmlCell id="560" xr6:uid="{00000000-000C-0000-FFFF-FFFF89000000}" r="H112"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2"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3" connectionId="0">
    <xmlCellPr id="1" xr6:uid="{00000000-0010-0000-8B00-000001000000}" uniqueName="1">
      <xmlPr mapId="43" xpath="/ns1:Root/ns1:M6/ns1:_Products" xmlDataType="string"/>
    </xmlCellPr>
  </singleXmlCell>
  <singleXmlCell id="563" xr6:uid="{00000000-000C-0000-FFFF-FFFF8C000000}" r="D113"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3" connectionId="0">
    <xmlCellPr id="1" xr6:uid="{00000000-0010-0000-8D00-000001000000}" uniqueName="1">
      <xmlPr mapId="43" xpath="/ns1:Root/ns1:M6/ns1:__3__Total_patients_in_treatment" xmlDataType="double"/>
    </xmlCellPr>
  </singleXmlCell>
  <singleXmlCell id="565" xr6:uid="{00000000-000C-0000-FFFF-FFFF8E000000}" r="H113"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3"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9" connectionId="0">
    <xmlCellPr id="1" xr6:uid="{00000000-0010-0000-9000-000001000000}" uniqueName="1">
      <xmlPr mapId="43" xpath="/ns1:Root/ns1:Prog/ns1:Target_P1_1" xmlDataType="double"/>
    </xmlCellPr>
  </singleXmlCell>
  <singleXmlCell id="568" xr6:uid="{00000000-000C-0000-FFFF-FFFF91000000}" r="I119" connectionId="0">
    <xmlCellPr id="1" xr6:uid="{00000000-0010-0000-9100-000001000000}" uniqueName="1">
      <xmlPr mapId="43" xpath="/ns1:Root/ns1:Prog/ns1:Target_P2_1" xmlDataType="double"/>
    </xmlCellPr>
  </singleXmlCell>
  <singleXmlCell id="569" xr6:uid="{00000000-000C-0000-FFFF-FFFF92000000}" r="J119" connectionId="0">
    <xmlCellPr id="1" xr6:uid="{00000000-0010-0000-9200-000001000000}" uniqueName="1">
      <xmlPr mapId="43" xpath="/ns1:Root/ns1:Prog/ns1:Target_P3_1" xmlDataType="double"/>
    </xmlCellPr>
  </singleXmlCell>
  <singleXmlCell id="570" xr6:uid="{00000000-000C-0000-FFFF-FFFF93000000}" r="K119" connectionId="0">
    <xmlCellPr id="1" xr6:uid="{00000000-0010-0000-9300-000001000000}" uniqueName="1">
      <xmlPr mapId="43" xpath="/ns1:Root/ns1:Prog/ns1:Target_P4_1" xmlDataType="double"/>
    </xmlCellPr>
  </singleXmlCell>
  <singleXmlCell id="571" xr6:uid="{00000000-000C-0000-FFFF-FFFF94000000}" r="L119" connectionId="0">
    <xmlCellPr id="1" xr6:uid="{00000000-0010-0000-9400-000001000000}" uniqueName="1">
      <xmlPr mapId="43" xpath="/ns1:Root/ns1:Prog/ns1:Target_P5_1" xmlDataType="double"/>
    </xmlCellPr>
  </singleXmlCell>
  <singleXmlCell id="572" xr6:uid="{00000000-000C-0000-FFFF-FFFF95000000}" r="M119" connectionId="0">
    <xmlCellPr id="1" xr6:uid="{00000000-0010-0000-9500-000001000000}" uniqueName="1">
      <xmlPr mapId="43" xpath="/ns1:Root/ns1:Prog/ns1:Target_P6_1" xmlDataType="double"/>
    </xmlCellPr>
  </singleXmlCell>
  <singleXmlCell id="573" xr6:uid="{00000000-000C-0000-FFFF-FFFF96000000}" r="N119" connectionId="0">
    <xmlCellPr id="1" xr6:uid="{00000000-0010-0000-9600-000001000000}" uniqueName="1">
      <xmlPr mapId="43" xpath="/ns1:Root/ns1:Prog/ns1:Target_P7_1" xmlDataType="double"/>
    </xmlCellPr>
  </singleXmlCell>
  <singleXmlCell id="574" xr6:uid="{00000000-000C-0000-FFFF-FFFF97000000}" r="O119" connectionId="0">
    <xmlCellPr id="1" xr6:uid="{00000000-0010-0000-9700-000001000000}" uniqueName="1">
      <xmlPr mapId="43" xpath="/ns1:Root/ns1:Prog/ns1:Target_P8_1" xmlDataType="double"/>
    </xmlCellPr>
  </singleXmlCell>
  <singleXmlCell id="575" xr6:uid="{00000000-000C-0000-FFFF-FFFF98000000}" r="P119" connectionId="0">
    <xmlCellPr id="1" xr6:uid="{00000000-0010-0000-9800-000001000000}" uniqueName="1">
      <xmlPr mapId="43" xpath="/ns1:Root/ns1:Prog/ns1:Target_P9_1" xmlDataType="double"/>
    </xmlCellPr>
  </singleXmlCell>
  <singleXmlCell id="576" xr6:uid="{00000000-000C-0000-FFFF-FFFF99000000}" r="Q119" connectionId="0">
    <xmlCellPr id="1" xr6:uid="{00000000-0010-0000-9900-000001000000}" uniqueName="1">
      <xmlPr mapId="43" xpath="/ns1:Root/ns1:Prog/ns1:Target_P10_1" xmlDataType="double"/>
    </xmlCellPr>
  </singleXmlCell>
  <singleXmlCell id="577" xr6:uid="{00000000-000C-0000-FFFF-FFFF9A000000}" r="R119" connectionId="0">
    <xmlCellPr id="1" xr6:uid="{00000000-0010-0000-9A00-000001000000}" uniqueName="1">
      <xmlPr mapId="43" xpath="/ns1:Root/ns1:Prog/ns1:Target_P11_1" xmlDataType="double"/>
    </xmlCellPr>
  </singleXmlCell>
  <singleXmlCell id="578" xr6:uid="{00000000-000C-0000-FFFF-FFFF9B000000}" r="S119" connectionId="0">
    <xmlCellPr id="1" xr6:uid="{00000000-0010-0000-9B00-000001000000}" uniqueName="1">
      <xmlPr mapId="43" xpath="/ns1:Root/ns1:Prog/ns1:Target_P12_1" xmlDataType="double"/>
    </xmlCellPr>
  </singleXmlCell>
  <singleXmlCell id="579" xr6:uid="{00000000-000C-0000-FFFF-FFFF9C000000}" r="H120" connectionId="0">
    <xmlCellPr id="1" xr6:uid="{00000000-0010-0000-9C00-000001000000}" uniqueName="1">
      <xmlPr mapId="43" xpath="/ns1:Root/ns1:Prog/ns1:Achieved__P1_1" xmlDataType="double"/>
    </xmlCellPr>
  </singleXmlCell>
  <singleXmlCell id="580" xr6:uid="{00000000-000C-0000-FFFF-FFFF9D000000}" r="I120" connectionId="0">
    <xmlCellPr id="1" xr6:uid="{00000000-0010-0000-9D00-000001000000}" uniqueName="1">
      <xmlPr mapId="43" xpath="/ns1:Root/ns1:Prog/ns1:Achieved__P2_1" xmlDataType="double"/>
    </xmlCellPr>
  </singleXmlCell>
  <singleXmlCell id="581" xr6:uid="{00000000-000C-0000-FFFF-FFFF9E000000}" r="J120" connectionId="0">
    <xmlCellPr id="1" xr6:uid="{00000000-0010-0000-9E00-000001000000}" uniqueName="1">
      <xmlPr mapId="43" xpath="/ns1:Root/ns1:Prog/ns1:Achieved__P3_1" xmlDataType="double"/>
    </xmlCellPr>
  </singleXmlCell>
  <singleXmlCell id="582" xr6:uid="{00000000-000C-0000-FFFF-FFFF9F000000}" r="K120" connectionId="0">
    <xmlCellPr id="1" xr6:uid="{00000000-0010-0000-9F00-000001000000}" uniqueName="1">
      <xmlPr mapId="43" xpath="/ns1:Root/ns1:Prog/ns1:Achieved__P4_1" xmlDataType="double"/>
    </xmlCellPr>
  </singleXmlCell>
  <singleXmlCell id="583" xr6:uid="{00000000-000C-0000-FFFF-FFFFA0000000}" r="L120" connectionId="0">
    <xmlCellPr id="1" xr6:uid="{00000000-0010-0000-A000-000001000000}" uniqueName="1">
      <xmlPr mapId="43" xpath="/ns1:Root/ns1:Prog/ns1:Achieved__P5_1" xmlDataType="string"/>
    </xmlCellPr>
  </singleXmlCell>
  <singleXmlCell id="584" xr6:uid="{00000000-000C-0000-FFFF-FFFFA1000000}" r="M120" connectionId="0">
    <xmlCellPr id="1" xr6:uid="{00000000-0010-0000-A100-000001000000}" uniqueName="1">
      <xmlPr mapId="43" xpath="/ns1:Root/ns1:Prog/ns1:Achieved__P6_1" xmlDataType="string"/>
    </xmlCellPr>
  </singleXmlCell>
  <singleXmlCell id="585" xr6:uid="{00000000-000C-0000-FFFF-FFFFA2000000}" r="N120" connectionId="0">
    <xmlCellPr id="1" xr6:uid="{00000000-0010-0000-A200-000001000000}" uniqueName="1">
      <xmlPr mapId="43" xpath="/ns1:Root/ns1:Prog/ns1:Achieved__P7_1" xmlDataType="string"/>
    </xmlCellPr>
  </singleXmlCell>
  <singleXmlCell id="586" xr6:uid="{00000000-000C-0000-FFFF-FFFFA3000000}" r="O120" connectionId="0">
    <xmlCellPr id="1" xr6:uid="{00000000-0010-0000-A300-000001000000}" uniqueName="1">
      <xmlPr mapId="43" xpath="/ns1:Root/ns1:Prog/ns1:Achieved__P8_1" xmlDataType="string"/>
    </xmlCellPr>
  </singleXmlCell>
  <singleXmlCell id="587" xr6:uid="{00000000-000C-0000-FFFF-FFFFA4000000}" r="P120" connectionId="0">
    <xmlCellPr id="1" xr6:uid="{00000000-0010-0000-A400-000001000000}" uniqueName="1">
      <xmlPr mapId="43" xpath="/ns1:Root/ns1:Prog/ns1:Achieved__P9_1" xmlDataType="string"/>
    </xmlCellPr>
  </singleXmlCell>
  <singleXmlCell id="588" xr6:uid="{00000000-000C-0000-FFFF-FFFFA5000000}" r="Q120" connectionId="0">
    <xmlCellPr id="1" xr6:uid="{00000000-0010-0000-A500-000001000000}" uniqueName="1">
      <xmlPr mapId="43" xpath="/ns1:Root/ns1:Prog/ns1:Achieved__P10_1" xmlDataType="string"/>
    </xmlCellPr>
  </singleXmlCell>
  <singleXmlCell id="589" xr6:uid="{00000000-000C-0000-FFFF-FFFFA6000000}" r="R120" connectionId="0">
    <xmlCellPr id="1" xr6:uid="{00000000-0010-0000-A600-000001000000}" uniqueName="1">
      <xmlPr mapId="43" xpath="/ns1:Root/ns1:Prog/ns1:Achieved__P11_1" xmlDataType="string"/>
    </xmlCellPr>
  </singleXmlCell>
  <singleXmlCell id="590" xr6:uid="{00000000-000C-0000-FFFF-FFFFA7000000}" r="S120" connectionId="0">
    <xmlCellPr id="1" xr6:uid="{00000000-0010-0000-A700-000001000000}" uniqueName="1">
      <xmlPr mapId="43" xpath="/ns1:Root/ns1:Prog/ns1:Achieved__P12_1" xmlDataType="string"/>
    </xmlCellPr>
  </singleXmlCell>
  <singleXmlCell id="599" xr6:uid="{00000000-000C-0000-FFFF-FFFFA8000000}" r="Q121" connectionId="0">
    <xmlCellPr id="1" xr6:uid="{00000000-0010-0000-A800-000001000000}" uniqueName="1">
      <xmlPr mapId="43" xpath="/ns1:Root/ns1:Prog/ns1:Target_P10_2" xmlDataType="double"/>
    </xmlCellPr>
  </singleXmlCell>
  <singleXmlCell id="600" xr6:uid="{00000000-000C-0000-FFFF-FFFFA9000000}" r="R121" connectionId="0">
    <xmlCellPr id="1" xr6:uid="{00000000-0010-0000-A900-000001000000}" uniqueName="1">
      <xmlPr mapId="43" xpath="/ns1:Root/ns1:Prog/ns1:Target_P11_2" xmlDataType="double"/>
    </xmlCellPr>
  </singleXmlCell>
  <singleXmlCell id="601" xr6:uid="{00000000-000C-0000-FFFF-FFFFAA000000}" r="S121" connectionId="0">
    <xmlCellPr id="1" xr6:uid="{00000000-0010-0000-AA00-000001000000}" uniqueName="1">
      <xmlPr mapId="43" xpath="/ns1:Root/ns1:Prog/ns1:Target_P12_2" xmlDataType="double"/>
    </xmlCellPr>
  </singleXmlCell>
  <singleXmlCell id="611" xr6:uid="{00000000-000C-0000-FFFF-FFFFAB000000}" r="Q122" connectionId="0">
    <xmlCellPr id="1" xr6:uid="{00000000-0010-0000-AB00-000001000000}" uniqueName="1">
      <xmlPr mapId="43" xpath="/ns1:Root/ns1:Prog/ns1:Achieved__P10_2" xmlDataType="string"/>
    </xmlCellPr>
  </singleXmlCell>
  <singleXmlCell id="612" xr6:uid="{00000000-000C-0000-FFFF-FFFFAC000000}" r="R122" connectionId="0">
    <xmlCellPr id="1" xr6:uid="{00000000-0010-0000-AC00-000001000000}" uniqueName="1">
      <xmlPr mapId="43" xpath="/ns1:Root/ns1:Prog/ns1:Achieved__P11_2" xmlDataType="string"/>
    </xmlCellPr>
  </singleXmlCell>
  <singleXmlCell id="613" xr6:uid="{00000000-000C-0000-FFFF-FFFFAD000000}" r="S122" connectionId="0">
    <xmlCellPr id="1" xr6:uid="{00000000-0010-0000-AD00-000001000000}" uniqueName="1">
      <xmlPr mapId="43" xpath="/ns1:Root/ns1:Prog/ns1:Achieved__P12_2" xmlDataType="string"/>
    </xmlCellPr>
  </singleXmlCell>
  <singleXmlCell id="662" xr6:uid="{00000000-000C-0000-FFFF-FFFFAE000000}" r="H125" connectionId="0">
    <xmlCellPr id="1" xr6:uid="{00000000-0010-0000-AE00-000001000000}" uniqueName="1">
      <xmlPr mapId="43" xpath="/ns1:Root/ns1:Prog/ns1:Target_P1_5" xmlDataType="double"/>
    </xmlCellPr>
  </singleXmlCell>
  <singleXmlCell id="663" xr6:uid="{00000000-000C-0000-FFFF-FFFFAF000000}" r="I125" connectionId="0">
    <xmlCellPr id="1" xr6:uid="{00000000-0010-0000-AF00-000001000000}" uniqueName="1">
      <xmlPr mapId="43" xpath="/ns1:Root/ns1:Prog/ns1:Target_P2_5" xmlDataType="double"/>
    </xmlCellPr>
  </singleXmlCell>
  <singleXmlCell id="664" xr6:uid="{00000000-000C-0000-FFFF-FFFFB0000000}" r="J125" connectionId="0">
    <xmlCellPr id="1" xr6:uid="{00000000-0010-0000-B000-000001000000}" uniqueName="1">
      <xmlPr mapId="43" xpath="/ns1:Root/ns1:Prog/ns1:Target_P3_5" xmlDataType="double"/>
    </xmlCellPr>
  </singleXmlCell>
  <singleXmlCell id="665" xr6:uid="{00000000-000C-0000-FFFF-FFFFB1000000}" r="K125" connectionId="0">
    <xmlCellPr id="1" xr6:uid="{00000000-0010-0000-B100-000001000000}" uniqueName="1">
      <xmlPr mapId="43" xpath="/ns1:Root/ns1:Prog/ns1:Target_P4_5" xmlDataType="double"/>
    </xmlCellPr>
  </singleXmlCell>
  <singleXmlCell id="666" xr6:uid="{00000000-000C-0000-FFFF-FFFFB2000000}" r="L125" connectionId="0">
    <xmlCellPr id="1" xr6:uid="{00000000-0010-0000-B200-000001000000}" uniqueName="1">
      <xmlPr mapId="43" xpath="/ns1:Root/ns1:Prog/ns1:Target_P5_5" xmlDataType="double"/>
    </xmlCellPr>
  </singleXmlCell>
  <singleXmlCell id="667" xr6:uid="{00000000-000C-0000-FFFF-FFFFB3000000}" r="M125" connectionId="0">
    <xmlCellPr id="1" xr6:uid="{00000000-0010-0000-B300-000001000000}" uniqueName="1">
      <xmlPr mapId="43" xpath="/ns1:Root/ns1:Prog/ns1:Target_P6_5" xmlDataType="double"/>
    </xmlCellPr>
  </singleXmlCell>
  <singleXmlCell id="668" xr6:uid="{00000000-000C-0000-FFFF-FFFFB4000000}" r="N125" connectionId="0">
    <xmlCellPr id="1" xr6:uid="{00000000-0010-0000-B400-000001000000}" uniqueName="1">
      <xmlPr mapId="43" xpath="/ns1:Root/ns1:Prog/ns1:Target_P7_5" xmlDataType="double"/>
    </xmlCellPr>
  </singleXmlCell>
  <singleXmlCell id="669" xr6:uid="{00000000-000C-0000-FFFF-FFFFB5000000}" r="O125" connectionId="0">
    <xmlCellPr id="1" xr6:uid="{00000000-0010-0000-B500-000001000000}" uniqueName="1">
      <xmlPr mapId="43" xpath="/ns1:Root/ns1:Prog/ns1:Target_P8_5" xmlDataType="double"/>
    </xmlCellPr>
  </singleXmlCell>
  <singleXmlCell id="670" xr6:uid="{00000000-000C-0000-FFFF-FFFFB6000000}" r="P125" connectionId="0">
    <xmlCellPr id="1" xr6:uid="{00000000-0010-0000-B600-000001000000}" uniqueName="1">
      <xmlPr mapId="43" xpath="/ns1:Root/ns1:Prog/ns1:Target_P9_5" xmlDataType="double"/>
    </xmlCellPr>
  </singleXmlCell>
  <singleXmlCell id="671" xr6:uid="{00000000-000C-0000-FFFF-FFFFB7000000}" r="Q125" connectionId="0">
    <xmlCellPr id="1" xr6:uid="{00000000-0010-0000-B700-000001000000}" uniqueName="1">
      <xmlPr mapId="43" xpath="/ns1:Root/ns1:Prog/ns1:Target_P10_5" xmlDataType="double"/>
    </xmlCellPr>
  </singleXmlCell>
  <singleXmlCell id="672" xr6:uid="{00000000-000C-0000-FFFF-FFFFB8000000}" r="R125" connectionId="0">
    <xmlCellPr id="1" xr6:uid="{00000000-0010-0000-B800-000001000000}" uniqueName="1">
      <xmlPr mapId="43" xpath="/ns1:Root/ns1:Prog/ns1:Target_P11_5" xmlDataType="double"/>
    </xmlCellPr>
  </singleXmlCell>
  <singleXmlCell id="673" xr6:uid="{00000000-000C-0000-FFFF-FFFFB9000000}" r="S125" connectionId="0">
    <xmlCellPr id="1" xr6:uid="{00000000-0010-0000-B900-000001000000}" uniqueName="1">
      <xmlPr mapId="43" xpath="/ns1:Root/ns1:Prog/ns1:Target_P12_5" xmlDataType="double"/>
    </xmlCellPr>
  </singleXmlCell>
  <singleXmlCell id="674" xr6:uid="{00000000-000C-0000-FFFF-FFFFBA000000}" r="H126" connectionId="0">
    <xmlCellPr id="1" xr6:uid="{00000000-0010-0000-BA00-000001000000}" uniqueName="1">
      <xmlPr mapId="43" xpath="/ns1:Root/ns1:Prog/ns1:Achieved__P1_5" xmlDataType="double"/>
    </xmlCellPr>
  </singleXmlCell>
  <singleXmlCell id="675" xr6:uid="{00000000-000C-0000-FFFF-FFFFBB000000}" r="I126" connectionId="0">
    <xmlCellPr id="1" xr6:uid="{00000000-0010-0000-BB00-000001000000}" uniqueName="1">
      <xmlPr mapId="43" xpath="/ns1:Root/ns1:Prog/ns1:Achieved__P2_5" xmlDataType="double"/>
    </xmlCellPr>
  </singleXmlCell>
  <singleXmlCell id="676" xr6:uid="{00000000-000C-0000-FFFF-FFFFBC000000}" r="J126" connectionId="0">
    <xmlCellPr id="1" xr6:uid="{00000000-0010-0000-BC00-000001000000}" uniqueName="1">
      <xmlPr mapId="43" xpath="/ns1:Root/ns1:Prog/ns1:Achieved__P3_5" xmlDataType="double"/>
    </xmlCellPr>
  </singleXmlCell>
  <singleXmlCell id="677" xr6:uid="{00000000-000C-0000-FFFF-FFFFBD000000}" r="K126" connectionId="0">
    <xmlCellPr id="1" xr6:uid="{00000000-0010-0000-BD00-000001000000}" uniqueName="1">
      <xmlPr mapId="43" xpath="/ns1:Root/ns1:Prog/ns1:Achieved__P4_5" xmlDataType="double"/>
    </xmlCellPr>
  </singleXmlCell>
  <singleXmlCell id="678" xr6:uid="{00000000-000C-0000-FFFF-FFFFBE000000}" r="L126" connectionId="0">
    <xmlCellPr id="1" xr6:uid="{00000000-0010-0000-BE00-000001000000}" uniqueName="1">
      <xmlPr mapId="43" xpath="/ns1:Root/ns1:Prog/ns1:Achieved__P5_5" xmlDataType="string"/>
    </xmlCellPr>
  </singleXmlCell>
  <singleXmlCell id="679" xr6:uid="{00000000-000C-0000-FFFF-FFFFBF000000}" r="M126" connectionId="0">
    <xmlCellPr id="1" xr6:uid="{00000000-0010-0000-BF00-000001000000}" uniqueName="1">
      <xmlPr mapId="43" xpath="/ns1:Root/ns1:Prog/ns1:Achieved__P6_5" xmlDataType="string"/>
    </xmlCellPr>
  </singleXmlCell>
  <singleXmlCell id="680" xr6:uid="{00000000-000C-0000-FFFF-FFFFC0000000}" r="N126" connectionId="0">
    <xmlCellPr id="1" xr6:uid="{00000000-0010-0000-C000-000001000000}" uniqueName="1">
      <xmlPr mapId="43" xpath="/ns1:Root/ns1:Prog/ns1:Achieved__P7_5" xmlDataType="string"/>
    </xmlCellPr>
  </singleXmlCell>
  <singleXmlCell id="681" xr6:uid="{00000000-000C-0000-FFFF-FFFFC1000000}" r="O126" connectionId="0">
    <xmlCellPr id="1" xr6:uid="{00000000-0010-0000-C100-000001000000}" uniqueName="1">
      <xmlPr mapId="43" xpath="/ns1:Root/ns1:Prog/ns1:Achieved__P8_5" xmlDataType="string"/>
    </xmlCellPr>
  </singleXmlCell>
  <singleXmlCell id="682" xr6:uid="{00000000-000C-0000-FFFF-FFFFC2000000}" r="P126" connectionId="0">
    <xmlCellPr id="1" xr6:uid="{00000000-0010-0000-C200-000001000000}" uniqueName="1">
      <xmlPr mapId="43" xpath="/ns1:Root/ns1:Prog/ns1:Achieved__P9_5" xmlDataType="string"/>
    </xmlCellPr>
  </singleXmlCell>
  <singleXmlCell id="683" xr6:uid="{00000000-000C-0000-FFFF-FFFFC3000000}" r="Q126" connectionId="0">
    <xmlCellPr id="1" xr6:uid="{00000000-0010-0000-C300-000001000000}" uniqueName="1">
      <xmlPr mapId="43" xpath="/ns1:Root/ns1:Prog/ns1:Achieved__P10_5" xmlDataType="string"/>
    </xmlCellPr>
  </singleXmlCell>
  <singleXmlCell id="684" xr6:uid="{00000000-000C-0000-FFFF-FFFFC4000000}" r="R126" connectionId="0">
    <xmlCellPr id="1" xr6:uid="{00000000-0010-0000-C400-000001000000}" uniqueName="1">
      <xmlPr mapId="43" xpath="/ns1:Root/ns1:Prog/ns1:Achieved__P11_5" xmlDataType="string"/>
    </xmlCellPr>
  </singleXmlCell>
  <singleXmlCell id="685" xr6:uid="{00000000-000C-0000-FFFF-FFFFC5000000}" r="S126" connectionId="0">
    <xmlCellPr id="1" xr6:uid="{00000000-0010-0000-C500-000001000000}" uniqueName="1">
      <xmlPr mapId="43" xpath="/ns1:Root/ns1:Prog/ns1:Achieved__P12_5" xmlDataType="string"/>
    </xmlCellPr>
  </singleXmlCell>
  <singleXmlCell id="686" xr6:uid="{00000000-000C-0000-FFFF-FFFFC6000000}" r="H127" connectionId="0">
    <xmlCellPr id="1" xr6:uid="{00000000-0010-0000-C600-000001000000}" uniqueName="1">
      <xmlPr mapId="43" xpath="/ns1:Root/ns1:Prog/ns1:Target_P1_6" xmlDataType="double"/>
    </xmlCellPr>
  </singleXmlCell>
  <singleXmlCell id="687" xr6:uid="{00000000-000C-0000-FFFF-FFFFC7000000}" r="I127" connectionId="0">
    <xmlCellPr id="1" xr6:uid="{00000000-0010-0000-C700-000001000000}" uniqueName="1">
      <xmlPr mapId="43" xpath="/ns1:Root/ns1:Prog/ns1:Target_P2_6" xmlDataType="double"/>
    </xmlCellPr>
  </singleXmlCell>
  <singleXmlCell id="688" xr6:uid="{00000000-000C-0000-FFFF-FFFFC8000000}" r="J127" connectionId="0">
    <xmlCellPr id="1" xr6:uid="{00000000-0010-0000-C800-000001000000}" uniqueName="1">
      <xmlPr mapId="43" xpath="/ns1:Root/ns1:Prog/ns1:Target_P3_6" xmlDataType="double"/>
    </xmlCellPr>
  </singleXmlCell>
  <singleXmlCell id="689" xr6:uid="{00000000-000C-0000-FFFF-FFFFC9000000}" r="K127" connectionId="0">
    <xmlCellPr id="1" xr6:uid="{00000000-0010-0000-C900-000001000000}" uniqueName="1">
      <xmlPr mapId="43" xpath="/ns1:Root/ns1:Prog/ns1:Target_P4_6" xmlDataType="double"/>
    </xmlCellPr>
  </singleXmlCell>
  <singleXmlCell id="690" xr6:uid="{00000000-000C-0000-FFFF-FFFFCA000000}" r="L127" connectionId="0">
    <xmlCellPr id="1" xr6:uid="{00000000-0010-0000-CA00-000001000000}" uniqueName="1">
      <xmlPr mapId="43" xpath="/ns1:Root/ns1:Prog/ns1:Target_P5_6" xmlDataType="double"/>
    </xmlCellPr>
  </singleXmlCell>
  <singleXmlCell id="691" xr6:uid="{00000000-000C-0000-FFFF-FFFFCB000000}" r="M127" connectionId="0">
    <xmlCellPr id="1" xr6:uid="{00000000-0010-0000-CB00-000001000000}" uniqueName="1">
      <xmlPr mapId="43" xpath="/ns1:Root/ns1:Prog/ns1:Target_P6_6" xmlDataType="double"/>
    </xmlCellPr>
  </singleXmlCell>
  <singleXmlCell id="692" xr6:uid="{00000000-000C-0000-FFFF-FFFFCC000000}" r="N127" connectionId="0">
    <xmlCellPr id="1" xr6:uid="{00000000-0010-0000-CC00-000001000000}" uniqueName="1">
      <xmlPr mapId="43" xpath="/ns1:Root/ns1:Prog/ns1:Target_P7_6" xmlDataType="double"/>
    </xmlCellPr>
  </singleXmlCell>
  <singleXmlCell id="693" xr6:uid="{00000000-000C-0000-FFFF-FFFFCD000000}" r="O127" connectionId="0">
    <xmlCellPr id="1" xr6:uid="{00000000-0010-0000-CD00-000001000000}" uniqueName="1">
      <xmlPr mapId="43" xpath="/ns1:Root/ns1:Prog/ns1:Target_P8_6" xmlDataType="double"/>
    </xmlCellPr>
  </singleXmlCell>
  <singleXmlCell id="694" xr6:uid="{00000000-000C-0000-FFFF-FFFFCE000000}" r="P127" connectionId="0">
    <xmlCellPr id="1" xr6:uid="{00000000-0010-0000-CE00-000001000000}" uniqueName="1">
      <xmlPr mapId="43" xpath="/ns1:Root/ns1:Prog/ns1:Target_P9_6" xmlDataType="double"/>
    </xmlCellPr>
  </singleXmlCell>
  <singleXmlCell id="695" xr6:uid="{00000000-000C-0000-FFFF-FFFFCF000000}" r="Q127" connectionId="0">
    <xmlCellPr id="1" xr6:uid="{00000000-0010-0000-CF00-000001000000}" uniqueName="1">
      <xmlPr mapId="43" xpath="/ns1:Root/ns1:Prog/ns1:Target_P10_6" xmlDataType="double"/>
    </xmlCellPr>
  </singleXmlCell>
  <singleXmlCell id="696" xr6:uid="{00000000-000C-0000-FFFF-FFFFD0000000}" r="R127" connectionId="0">
    <xmlCellPr id="1" xr6:uid="{00000000-0010-0000-D000-000001000000}" uniqueName="1">
      <xmlPr mapId="43" xpath="/ns1:Root/ns1:Prog/ns1:Target_P11_6" xmlDataType="double"/>
    </xmlCellPr>
  </singleXmlCell>
  <singleXmlCell id="697" xr6:uid="{00000000-000C-0000-FFFF-FFFFD1000000}" r="S127" connectionId="0">
    <xmlCellPr id="1" xr6:uid="{00000000-0010-0000-D100-000001000000}" uniqueName="1">
      <xmlPr mapId="43" xpath="/ns1:Root/ns1:Prog/ns1:Target_P12_6" xmlDataType="double"/>
    </xmlCellPr>
  </singleXmlCell>
  <singleXmlCell id="698" xr6:uid="{00000000-000C-0000-FFFF-FFFFD2000000}" r="H128" connectionId="0">
    <xmlCellPr id="1" xr6:uid="{00000000-0010-0000-D200-000001000000}" uniqueName="1">
      <xmlPr mapId="43" xpath="/ns1:Root/ns1:Prog/ns1:Achieved__P1_6" xmlDataType="double"/>
    </xmlCellPr>
  </singleXmlCell>
  <singleXmlCell id="699" xr6:uid="{00000000-000C-0000-FFFF-FFFFD3000000}" r="I128" connectionId="0">
    <xmlCellPr id="1" xr6:uid="{00000000-0010-0000-D300-000001000000}" uniqueName="1">
      <xmlPr mapId="43" xpath="/ns1:Root/ns1:Prog/ns1:Achieved__P2_6" xmlDataType="double"/>
    </xmlCellPr>
  </singleXmlCell>
  <singleXmlCell id="700" xr6:uid="{00000000-000C-0000-FFFF-FFFFD4000000}" r="J128" connectionId="0">
    <xmlCellPr id="1" xr6:uid="{00000000-0010-0000-D400-000001000000}" uniqueName="1">
      <xmlPr mapId="43" xpath="/ns1:Root/ns1:Prog/ns1:Achieved__P3_6" xmlDataType="double"/>
    </xmlCellPr>
  </singleXmlCell>
  <singleXmlCell id="701" xr6:uid="{00000000-000C-0000-FFFF-FFFFD5000000}" r="K128" connectionId="0">
    <xmlCellPr id="1" xr6:uid="{00000000-0010-0000-D500-000001000000}" uniqueName="1">
      <xmlPr mapId="43" xpath="/ns1:Root/ns1:Prog/ns1:Achieved__P4_6" xmlDataType="double"/>
    </xmlCellPr>
  </singleXmlCell>
  <singleXmlCell id="702" xr6:uid="{00000000-000C-0000-FFFF-FFFFD6000000}" r="L128" connectionId="0">
    <xmlCellPr id="1" xr6:uid="{00000000-0010-0000-D600-000001000000}" uniqueName="1">
      <xmlPr mapId="43" xpath="/ns1:Root/ns1:Prog/ns1:Achieved__P5_6" xmlDataType="string"/>
    </xmlCellPr>
  </singleXmlCell>
  <singleXmlCell id="703" xr6:uid="{00000000-000C-0000-FFFF-FFFFD7000000}" r="M128" connectionId="0">
    <xmlCellPr id="1" xr6:uid="{00000000-0010-0000-D700-000001000000}" uniqueName="1">
      <xmlPr mapId="43" xpath="/ns1:Root/ns1:Prog/ns1:Achieved__P6_6" xmlDataType="string"/>
    </xmlCellPr>
  </singleXmlCell>
  <singleXmlCell id="704" xr6:uid="{00000000-000C-0000-FFFF-FFFFD8000000}" r="N128" connectionId="0">
    <xmlCellPr id="1" xr6:uid="{00000000-0010-0000-D800-000001000000}" uniqueName="1">
      <xmlPr mapId="43" xpath="/ns1:Root/ns1:Prog/ns1:Achieved__P7_6" xmlDataType="string"/>
    </xmlCellPr>
  </singleXmlCell>
  <singleXmlCell id="705" xr6:uid="{00000000-000C-0000-FFFF-FFFFD9000000}" r="O128" connectionId="0">
    <xmlCellPr id="1" xr6:uid="{00000000-0010-0000-D900-000001000000}" uniqueName="1">
      <xmlPr mapId="43" xpath="/ns1:Root/ns1:Prog/ns1:Achieved__P8_6" xmlDataType="string"/>
    </xmlCellPr>
  </singleXmlCell>
  <singleXmlCell id="706" xr6:uid="{00000000-000C-0000-FFFF-FFFFDA000000}" r="P128" connectionId="0">
    <xmlCellPr id="1" xr6:uid="{00000000-0010-0000-DA00-000001000000}" uniqueName="1">
      <xmlPr mapId="43" xpath="/ns1:Root/ns1:Prog/ns1:Achieved__P9_6" xmlDataType="string"/>
    </xmlCellPr>
  </singleXmlCell>
  <singleXmlCell id="707" xr6:uid="{00000000-000C-0000-FFFF-FFFFDB000000}" r="Q128" connectionId="0">
    <xmlCellPr id="1" xr6:uid="{00000000-0010-0000-DB00-000001000000}" uniqueName="1">
      <xmlPr mapId="43" xpath="/ns1:Root/ns1:Prog/ns1:Achieved__P10_6" xmlDataType="string"/>
    </xmlCellPr>
  </singleXmlCell>
  <singleXmlCell id="708" xr6:uid="{00000000-000C-0000-FFFF-FFFFDC000000}" r="R128" connectionId="0">
    <xmlCellPr id="1" xr6:uid="{00000000-0010-0000-DC00-000001000000}" uniqueName="1">
      <xmlPr mapId="43" xpath="/ns1:Root/ns1:Prog/ns1:Achieved__P11_6" xmlDataType="string"/>
    </xmlCellPr>
  </singleXmlCell>
  <singleXmlCell id="709" xr6:uid="{00000000-000C-0000-FFFF-FFFFDD000000}" r="S128" connectionId="0">
    <xmlCellPr id="1" xr6:uid="{00000000-0010-0000-DD00-000001000000}" uniqueName="1">
      <xmlPr mapId="43" xpath="/ns1:Root/ns1:Prog/ns1:Achieved__P12_6" xmlDataType="string"/>
    </xmlCellPr>
  </singleXmlCell>
  <singleXmlCell id="808" xr6:uid="{00000000-000C-0000-FFFF-FFFFDE000000}" r="E119" connectionId="0">
    <xmlCellPr id="1" xr6:uid="{00000000-0010-0000-DE00-000001000000}" uniqueName="1">
      <xmlPr mapId="43" xpath="/ns1:Root/ns1:P1_Code" xmlDataType="double"/>
    </xmlCellPr>
  </singleXmlCell>
  <singleXmlCell id="810" xr6:uid="{00000000-000C-0000-FFFF-FFFFDF000000}" r="B121" connectionId="0">
    <xmlCellPr id="1" xr6:uid="{00000000-0010-0000-DF00-000001000000}" uniqueName="1">
      <xmlPr mapId="43" xpath="/ns1:Root/ns1:P2" xmlDataType="string"/>
    </xmlCellPr>
  </singleXmlCell>
  <singleXmlCell id="811" xr6:uid="{00000000-000C-0000-FFFF-FFFFE0000000}" r="E121" connectionId="0">
    <xmlCellPr id="1" xr6:uid="{00000000-0010-0000-E000-000001000000}" uniqueName="1">
      <xmlPr mapId="43" xpath="/ns1:Root/ns1:P2_Code" xmlDataType="double"/>
    </xmlCellPr>
  </singleXmlCell>
  <singleXmlCell id="812" xr6:uid="{00000000-000C-0000-FFFF-FFFFE1000000}" r="F121" connectionId="0">
    <xmlCellPr id="1" xr6:uid="{00000000-0010-0000-E100-000001000000}" uniqueName="1">
      <xmlPr mapId="43" xpath="/ns1:Root/ns1:P2_Tied" xmlDataType="string"/>
    </xmlCellPr>
  </singleXmlCell>
  <singleXmlCell id="819" xr6:uid="{00000000-000C-0000-FFFF-FFFFE2000000}" r="B125" connectionId="0">
    <xmlCellPr id="1" xr6:uid="{00000000-0010-0000-E200-000001000000}" uniqueName="1">
      <xmlPr mapId="43" xpath="/ns1:Root/ns1:P5" xmlDataType="string"/>
    </xmlCellPr>
  </singleXmlCell>
  <singleXmlCell id="820" xr6:uid="{00000000-000C-0000-FFFF-FFFFE3000000}" r="E125" connectionId="0">
    <xmlCellPr id="1" xr6:uid="{00000000-0010-0000-E300-000001000000}" uniqueName="1">
      <xmlPr mapId="43" xpath="/ns1:Root/ns1:P5_Code" xmlDataType="double"/>
    </xmlCellPr>
  </singleXmlCell>
  <singleXmlCell id="821" xr6:uid="{00000000-000C-0000-FFFF-FFFFE4000000}" r="F125" connectionId="0">
    <xmlCellPr id="1" xr6:uid="{00000000-0010-0000-E400-000001000000}" uniqueName="1">
      <xmlPr mapId="43" xpath="/ns1:Root/ns1:P5_Tied" xmlDataType="string"/>
    </xmlCellPr>
  </singleXmlCell>
  <singleXmlCell id="822" xr6:uid="{00000000-000C-0000-FFFF-FFFFE5000000}" r="B127" connectionId="0">
    <xmlCellPr id="1" xr6:uid="{00000000-0010-0000-E500-000001000000}" uniqueName="1">
      <xmlPr mapId="43" xpath="/ns1:Root/ns1:P6" xmlDataType="string"/>
    </xmlCellPr>
  </singleXmlCell>
  <singleXmlCell id="823" xr6:uid="{00000000-000C-0000-FFFF-FFFFE6000000}" r="E127" connectionId="0">
    <xmlCellPr id="1" xr6:uid="{00000000-0010-0000-E600-000001000000}" uniqueName="1">
      <xmlPr mapId="43" xpath="/ns1:Root/ns1:P6_Code" xmlDataType="double"/>
    </xmlCellPr>
  </singleXmlCell>
  <singleXmlCell id="824" xr6:uid="{00000000-000C-0000-FFFF-FFFFE7000000}" r="F127"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3" connectionId="0">
    <xmlCellPr id="1" xr6:uid="{00000000-0010-0000-E900-000001000000}" uniqueName="1">
      <xmlPr mapId="43" xpath="/ns1:Root/ns1:P8_Tied" xmlDataType="string"/>
    </xmlCellPr>
  </singleXmlCell>
  <singleXmlCell id="829" xr6:uid="{00000000-000C-0000-FFFF-FFFFEA000000}" r="E133" connectionId="0">
    <xmlCellPr id="1" xr6:uid="{00000000-0010-0000-EA00-000001000000}" uniqueName="1">
      <xmlPr mapId="43" xpath="/ns1:Root/ns1:P8_Code" xmlDataType="double"/>
    </xmlCellPr>
  </singleXmlCell>
  <singleXmlCell id="828" xr6:uid="{00000000-000C-0000-FFFF-FFFFEB000000}" r="B133" connectionId="0">
    <xmlCellPr id="1" xr6:uid="{00000000-0010-0000-EB00-000001000000}" uniqueName="1">
      <xmlPr mapId="43" xpath="/ns1:Root/ns1:P8" xmlDataType="string"/>
    </xmlCellPr>
  </singleXmlCell>
  <singleXmlCell id="827" xr6:uid="{00000000-000C-0000-FFFF-FFFFEC000000}" r="F129" connectionId="0">
    <xmlCellPr id="1" xr6:uid="{00000000-0010-0000-EC00-000001000000}" uniqueName="1">
      <xmlPr mapId="43" xpath="/ns1:Root/ns1:P7_Tied" xmlDataType="string"/>
    </xmlCellPr>
  </singleXmlCell>
  <singleXmlCell id="826" xr6:uid="{00000000-000C-0000-FFFF-FFFFED000000}" r="E129" connectionId="0">
    <xmlCellPr id="1" xr6:uid="{00000000-0010-0000-ED00-000001000000}" uniqueName="1">
      <xmlPr mapId="43" xpath="/ns1:Root/ns1:P7_Code" xmlDataType="double"/>
    </xmlCellPr>
  </singleXmlCell>
  <singleXmlCell id="825" xr6:uid="{00000000-000C-0000-FFFF-FFFFEE000000}" r="B129" connectionId="0">
    <xmlCellPr id="1" xr6:uid="{00000000-0010-0000-EE00-000001000000}" uniqueName="1">
      <xmlPr mapId="43" xpath="/ns1:Root/ns1:P7" xmlDataType="string"/>
    </xmlCellPr>
  </singleXmlCell>
  <singleXmlCell id="757" xr6:uid="{00000000-000C-0000-FFFF-FFFFEF000000}" r="S134" connectionId="0">
    <xmlCellPr id="1" xr6:uid="{00000000-0010-0000-EF00-000001000000}" uniqueName="1">
      <xmlPr mapId="43" xpath="/ns1:Root/ns1:Prog/ns1:Achieved__P12_8" xmlDataType="string"/>
    </xmlCellPr>
  </singleXmlCell>
  <singleXmlCell id="756" xr6:uid="{00000000-000C-0000-FFFF-FFFFF0000000}" r="R134" connectionId="0">
    <xmlCellPr id="1" xr6:uid="{00000000-0010-0000-F000-000001000000}" uniqueName="1">
      <xmlPr mapId="43" xpath="/ns1:Root/ns1:Prog/ns1:Achieved__P11_8" xmlDataType="string"/>
    </xmlCellPr>
  </singleXmlCell>
  <singleXmlCell id="755" xr6:uid="{00000000-000C-0000-FFFF-FFFFF1000000}" r="Q134" connectionId="0">
    <xmlCellPr id="1" xr6:uid="{00000000-0010-0000-F100-000001000000}" uniqueName="1">
      <xmlPr mapId="43" xpath="/ns1:Root/ns1:Prog/ns1:Achieved__P10_8" xmlDataType="string"/>
    </xmlCellPr>
  </singleXmlCell>
  <singleXmlCell id="754" xr6:uid="{00000000-000C-0000-FFFF-FFFFF2000000}" r="P134" connectionId="0">
    <xmlCellPr id="1" xr6:uid="{00000000-0010-0000-F200-000001000000}" uniqueName="1">
      <xmlPr mapId="43" xpath="/ns1:Root/ns1:Prog/ns1:Achieved__P9_8" xmlDataType="string"/>
    </xmlCellPr>
  </singleXmlCell>
  <singleXmlCell id="753" xr6:uid="{00000000-000C-0000-FFFF-FFFFF3000000}" r="O134" connectionId="0">
    <xmlCellPr id="1" xr6:uid="{00000000-0010-0000-F300-000001000000}" uniqueName="1">
      <xmlPr mapId="43" xpath="/ns1:Root/ns1:Prog/ns1:Achieved__P8_8" xmlDataType="string"/>
    </xmlCellPr>
  </singleXmlCell>
  <singleXmlCell id="752" xr6:uid="{00000000-000C-0000-FFFF-FFFFF4000000}" r="N134" connectionId="0">
    <xmlCellPr id="1" xr6:uid="{00000000-0010-0000-F400-000001000000}" uniqueName="1">
      <xmlPr mapId="43" xpath="/ns1:Root/ns1:Prog/ns1:Achieved__P7_8" xmlDataType="string"/>
    </xmlCellPr>
  </singleXmlCell>
  <singleXmlCell id="751" xr6:uid="{00000000-000C-0000-FFFF-FFFFF5000000}" r="M134" connectionId="0">
    <xmlCellPr id="1" xr6:uid="{00000000-0010-0000-F500-000001000000}" uniqueName="1">
      <xmlPr mapId="43" xpath="/ns1:Root/ns1:Prog/ns1:Achieved__P6_8" xmlDataType="string"/>
    </xmlCellPr>
  </singleXmlCell>
  <singleXmlCell id="750" xr6:uid="{00000000-000C-0000-FFFF-FFFFF6000000}" r="L134" connectionId="0">
    <xmlCellPr id="1" xr6:uid="{00000000-0010-0000-F600-000001000000}" uniqueName="1">
      <xmlPr mapId="43" xpath="/ns1:Root/ns1:Prog/ns1:Achieved__P5_8" xmlDataType="string"/>
    </xmlCellPr>
  </singleXmlCell>
  <singleXmlCell id="749" xr6:uid="{00000000-000C-0000-FFFF-FFFFF7000000}" r="K134" connectionId="0">
    <xmlCellPr id="1" xr6:uid="{00000000-0010-0000-F700-000001000000}" uniqueName="1">
      <xmlPr mapId="43" xpath="/ns1:Root/ns1:Prog/ns1:Achieved__P4_8" xmlDataType="string"/>
    </xmlCellPr>
  </singleXmlCell>
  <singleXmlCell id="748" xr6:uid="{00000000-000C-0000-FFFF-FFFFF8000000}" r="J134" connectionId="0">
    <xmlCellPr id="1" xr6:uid="{00000000-0010-0000-F800-000001000000}" uniqueName="1">
      <xmlPr mapId="43" xpath="/ns1:Root/ns1:Prog/ns1:Achieved__P3_8" xmlDataType="string"/>
    </xmlCellPr>
  </singleXmlCell>
  <singleXmlCell id="747" xr6:uid="{00000000-000C-0000-FFFF-FFFFF9000000}" r="I134" connectionId="0">
    <xmlCellPr id="1" xr6:uid="{00000000-0010-0000-F900-000001000000}" uniqueName="1">
      <xmlPr mapId="43" xpath="/ns1:Root/ns1:Prog/ns1:Achieved__P2_8" xmlDataType="string"/>
    </xmlCellPr>
  </singleXmlCell>
  <singleXmlCell id="746" xr6:uid="{00000000-000C-0000-FFFF-FFFFFA000000}" r="H134" connectionId="0">
    <xmlCellPr id="1" xr6:uid="{00000000-0010-0000-FA00-000001000000}" uniqueName="1">
      <xmlPr mapId="43" xpath="/ns1:Root/ns1:Prog/ns1:Achieved__P1_8" xmlDataType="string"/>
    </xmlCellPr>
  </singleXmlCell>
  <singleXmlCell id="745" xr6:uid="{00000000-000C-0000-FFFF-FFFFFB000000}" r="S133" connectionId="0">
    <xmlCellPr id="1" xr6:uid="{00000000-0010-0000-FB00-000001000000}" uniqueName="1">
      <xmlPr mapId="43" xpath="/ns1:Root/ns1:Prog/ns1:Target_P12_8" xmlDataType="double"/>
    </xmlCellPr>
  </singleXmlCell>
  <singleXmlCell id="744" xr6:uid="{00000000-000C-0000-FFFF-FFFFFC000000}" r="R133" connectionId="0">
    <xmlCellPr id="1" xr6:uid="{00000000-0010-0000-FC00-000001000000}" uniqueName="1">
      <xmlPr mapId="43" xpath="/ns1:Root/ns1:Prog/ns1:Target_P11_8" xmlDataType="double"/>
    </xmlCellPr>
  </singleXmlCell>
  <singleXmlCell id="743" xr6:uid="{00000000-000C-0000-FFFF-FFFFFD000000}" r="Q133" connectionId="0">
    <xmlCellPr id="1" xr6:uid="{00000000-0010-0000-FD00-000001000000}" uniqueName="1">
      <xmlPr mapId="43" xpath="/ns1:Root/ns1:Prog/ns1:Target_P10_8" xmlDataType="double"/>
    </xmlCellPr>
  </singleXmlCell>
  <singleXmlCell id="742" xr6:uid="{00000000-000C-0000-FFFF-FFFFFE000000}" r="P133" connectionId="0">
    <xmlCellPr id="1" xr6:uid="{00000000-0010-0000-FE00-000001000000}" uniqueName="1">
      <xmlPr mapId="43" xpath="/ns1:Root/ns1:Prog/ns1:Target_P9_8" xmlDataType="double"/>
    </xmlCellPr>
  </singleXmlCell>
  <singleXmlCell id="741" xr6:uid="{00000000-000C-0000-FFFF-FFFFFF000000}" r="O133" connectionId="0">
    <xmlCellPr id="1" xr6:uid="{00000000-0010-0000-FF00-000001000000}" uniqueName="1">
      <xmlPr mapId="43" xpath="/ns1:Root/ns1:Prog/ns1:Target_P8_8" xmlDataType="double"/>
    </xmlCellPr>
  </singleXmlCell>
  <singleXmlCell id="740" xr6:uid="{00000000-000C-0000-FFFF-FFFF00010000}" r="N133" connectionId="0">
    <xmlCellPr id="1" xr6:uid="{00000000-0010-0000-0001-000001000000}" uniqueName="1">
      <xmlPr mapId="43" xpath="/ns1:Root/ns1:Prog/ns1:Target_P7_8" xmlDataType="string"/>
    </xmlCellPr>
  </singleXmlCell>
  <singleXmlCell id="739" xr6:uid="{00000000-000C-0000-FFFF-FFFF01010000}" r="M133" connectionId="0">
    <xmlCellPr id="1" xr6:uid="{00000000-0010-0000-0101-000001000000}" uniqueName="1">
      <xmlPr mapId="43" xpath="/ns1:Root/ns1:Prog/ns1:Target_P6_8" xmlDataType="double"/>
    </xmlCellPr>
  </singleXmlCell>
  <singleXmlCell id="738" xr6:uid="{00000000-000C-0000-FFFF-FFFF02010000}" r="L133" connectionId="0">
    <xmlCellPr id="1" xr6:uid="{00000000-0010-0000-0201-000001000000}" uniqueName="1">
      <xmlPr mapId="43" xpath="/ns1:Root/ns1:Prog/ns1:Target_P5_8" xmlDataType="string"/>
    </xmlCellPr>
  </singleXmlCell>
  <singleXmlCell id="737" xr6:uid="{00000000-000C-0000-FFFF-FFFF03010000}" r="K133" connectionId="0">
    <xmlCellPr id="1" xr6:uid="{00000000-0010-0000-0301-000001000000}" uniqueName="1">
      <xmlPr mapId="43" xpath="/ns1:Root/ns1:Prog/ns1:Target_P4_8" xmlDataType="double"/>
    </xmlCellPr>
  </singleXmlCell>
  <singleXmlCell id="736" xr6:uid="{00000000-000C-0000-FFFF-FFFF04010000}" r="J133" connectionId="0">
    <xmlCellPr id="1" xr6:uid="{00000000-0010-0000-0401-000001000000}" uniqueName="1">
      <xmlPr mapId="43" xpath="/ns1:Root/ns1:Prog/ns1:Target_P3_8" xmlDataType="string"/>
    </xmlCellPr>
  </singleXmlCell>
  <singleXmlCell id="735" xr6:uid="{00000000-000C-0000-FFFF-FFFF05010000}" r="I133" connectionId="0">
    <xmlCellPr id="1" xr6:uid="{00000000-0010-0000-0501-000001000000}" uniqueName="1">
      <xmlPr mapId="43" xpath="/ns1:Root/ns1:Prog/ns1:Target_P2_8" xmlDataType="double"/>
    </xmlCellPr>
  </singleXmlCell>
  <singleXmlCell id="734" xr6:uid="{00000000-000C-0000-FFFF-FFFF06010000}" r="H133" connectionId="0">
    <xmlCellPr id="1" xr6:uid="{00000000-0010-0000-0601-000001000000}" uniqueName="1">
      <xmlPr mapId="43" xpath="/ns1:Root/ns1:Prog/ns1:Target_P1_8" xmlDataType="string"/>
    </xmlCellPr>
  </singleXmlCell>
  <singleXmlCell id="733" xr6:uid="{00000000-000C-0000-FFFF-FFFF07010000}" r="S130" connectionId="0">
    <xmlCellPr id="1" xr6:uid="{00000000-0010-0000-0701-000001000000}" uniqueName="1">
      <xmlPr mapId="43" xpath="/ns1:Root/ns1:Prog/ns1:Achieved__P12_7" xmlDataType="string"/>
    </xmlCellPr>
  </singleXmlCell>
  <singleXmlCell id="732" xr6:uid="{00000000-000C-0000-FFFF-FFFF08010000}" r="R130" connectionId="0">
    <xmlCellPr id="1" xr6:uid="{00000000-0010-0000-0801-000001000000}" uniqueName="1">
      <xmlPr mapId="43" xpath="/ns1:Root/ns1:Prog/ns1:Achieved__P11_7" xmlDataType="string"/>
    </xmlCellPr>
  </singleXmlCell>
  <singleXmlCell id="731" xr6:uid="{00000000-000C-0000-FFFF-FFFF09010000}" r="Q130" connectionId="0">
    <xmlCellPr id="1" xr6:uid="{00000000-0010-0000-0901-000001000000}" uniqueName="1">
      <xmlPr mapId="43" xpath="/ns1:Root/ns1:Prog/ns1:Achieved__P10_7" xmlDataType="string"/>
    </xmlCellPr>
  </singleXmlCell>
  <singleXmlCell id="730" xr6:uid="{00000000-000C-0000-FFFF-FFFF0A010000}" r="P130" connectionId="0">
    <xmlCellPr id="1" xr6:uid="{00000000-0010-0000-0A01-000001000000}" uniqueName="1">
      <xmlPr mapId="43" xpath="/ns1:Root/ns1:Prog/ns1:Achieved__P9_7" xmlDataType="string"/>
    </xmlCellPr>
  </singleXmlCell>
  <singleXmlCell id="729" xr6:uid="{00000000-000C-0000-FFFF-FFFF0B010000}" r="O130" connectionId="0">
    <xmlCellPr id="1" xr6:uid="{00000000-0010-0000-0B01-000001000000}" uniqueName="1">
      <xmlPr mapId="43" xpath="/ns1:Root/ns1:Prog/ns1:Achieved__P8_7" xmlDataType="string"/>
    </xmlCellPr>
  </singleXmlCell>
  <singleXmlCell id="728" xr6:uid="{00000000-000C-0000-FFFF-FFFF0C010000}" r="N130" connectionId="0">
    <xmlCellPr id="1" xr6:uid="{00000000-0010-0000-0C01-000001000000}" uniqueName="1">
      <xmlPr mapId="43" xpath="/ns1:Root/ns1:Prog/ns1:Achieved__P7_7" xmlDataType="string"/>
    </xmlCellPr>
  </singleXmlCell>
  <singleXmlCell id="727" xr6:uid="{00000000-000C-0000-FFFF-FFFF0D010000}" r="M130" connectionId="0">
    <xmlCellPr id="1" xr6:uid="{00000000-0010-0000-0D01-000001000000}" uniqueName="1">
      <xmlPr mapId="43" xpath="/ns1:Root/ns1:Prog/ns1:Achieved__P6_7" xmlDataType="string"/>
    </xmlCellPr>
  </singleXmlCell>
  <singleXmlCell id="726" xr6:uid="{00000000-000C-0000-FFFF-FFFF0E010000}" r="L130" connectionId="0">
    <xmlCellPr id="1" xr6:uid="{00000000-0010-0000-0E01-000001000000}" uniqueName="1">
      <xmlPr mapId="43" xpath="/ns1:Root/ns1:Prog/ns1:Achieved__P5_7" xmlDataType="string"/>
    </xmlCellPr>
  </singleXmlCell>
  <singleXmlCell id="725" xr6:uid="{00000000-000C-0000-FFFF-FFFF0F010000}" r="K130" connectionId="0">
    <xmlCellPr id="1" xr6:uid="{00000000-0010-0000-0F01-000001000000}" uniqueName="1">
      <xmlPr mapId="43" xpath="/ns1:Root/ns1:Prog/ns1:Achieved__P4_7" xmlDataType="double"/>
    </xmlCellPr>
  </singleXmlCell>
  <singleXmlCell id="724" xr6:uid="{00000000-000C-0000-FFFF-FFFF10010000}" r="J130" connectionId="0">
    <xmlCellPr id="1" xr6:uid="{00000000-0010-0000-1001-000001000000}" uniqueName="1">
      <xmlPr mapId="43" xpath="/ns1:Root/ns1:Prog/ns1:Achieved__P3_7" xmlDataType="double"/>
    </xmlCellPr>
  </singleXmlCell>
  <singleXmlCell id="723" xr6:uid="{00000000-000C-0000-FFFF-FFFF11010000}" r="I130" connectionId="0">
    <xmlCellPr id="1" xr6:uid="{00000000-0010-0000-1101-000001000000}" uniqueName="1">
      <xmlPr mapId="43" xpath="/ns1:Root/ns1:Prog/ns1:Achieved__P2_7" xmlDataType="double"/>
    </xmlCellPr>
  </singleXmlCell>
  <singleXmlCell id="722" xr6:uid="{00000000-000C-0000-FFFF-FFFF12010000}" r="H130" connectionId="0">
    <xmlCellPr id="1" xr6:uid="{00000000-0010-0000-1201-000001000000}" uniqueName="1">
      <xmlPr mapId="43" xpath="/ns1:Root/ns1:Prog/ns1:Achieved__P1_7" xmlDataType="double"/>
    </xmlCellPr>
  </singleXmlCell>
  <singleXmlCell id="721" xr6:uid="{00000000-000C-0000-FFFF-FFFF13010000}" r="S129" connectionId="0">
    <xmlCellPr id="1" xr6:uid="{00000000-0010-0000-1301-000001000000}" uniqueName="1">
      <xmlPr mapId="43" xpath="/ns1:Root/ns1:Prog/ns1:Target_P12_7" xmlDataType="double"/>
    </xmlCellPr>
  </singleXmlCell>
  <singleXmlCell id="720" xr6:uid="{00000000-000C-0000-FFFF-FFFF14010000}" r="R129" connectionId="0">
    <xmlCellPr id="1" xr6:uid="{00000000-0010-0000-1401-000001000000}" uniqueName="1">
      <xmlPr mapId="43" xpath="/ns1:Root/ns1:Prog/ns1:Target_P11_7" xmlDataType="double"/>
    </xmlCellPr>
  </singleXmlCell>
  <singleXmlCell id="719" xr6:uid="{00000000-000C-0000-FFFF-FFFF15010000}" r="Q129" connectionId="0">
    <xmlCellPr id="1" xr6:uid="{00000000-0010-0000-1501-000001000000}" uniqueName="1">
      <xmlPr mapId="43" xpath="/ns1:Root/ns1:Prog/ns1:Target_P10_7" xmlDataType="double"/>
    </xmlCellPr>
  </singleXmlCell>
  <singleXmlCell id="718" xr6:uid="{00000000-000C-0000-FFFF-FFFF16010000}" r="P129" connectionId="0">
    <xmlCellPr id="1" xr6:uid="{00000000-0010-0000-1601-000001000000}" uniqueName="1">
      <xmlPr mapId="43" xpath="/ns1:Root/ns1:Prog/ns1:Target_P9_7" xmlDataType="double"/>
    </xmlCellPr>
  </singleXmlCell>
  <singleXmlCell id="717" xr6:uid="{00000000-000C-0000-FFFF-FFFF17010000}" r="O129" connectionId="0">
    <xmlCellPr id="1" xr6:uid="{00000000-0010-0000-1701-000001000000}" uniqueName="1">
      <xmlPr mapId="43" xpath="/ns1:Root/ns1:Prog/ns1:Target_P8_7" xmlDataType="double"/>
    </xmlCellPr>
  </singleXmlCell>
  <singleXmlCell id="716" xr6:uid="{00000000-000C-0000-FFFF-FFFF18010000}" r="N129" connectionId="0">
    <xmlCellPr id="1" xr6:uid="{00000000-0010-0000-1801-000001000000}" uniqueName="1">
      <xmlPr mapId="43" xpath="/ns1:Root/ns1:Prog/ns1:Target_P7_7" xmlDataType="double"/>
    </xmlCellPr>
  </singleXmlCell>
  <singleXmlCell id="715" xr6:uid="{00000000-000C-0000-FFFF-FFFF19010000}" r="M129" connectionId="0">
    <xmlCellPr id="1" xr6:uid="{00000000-0010-0000-1901-000001000000}" uniqueName="1">
      <xmlPr mapId="43" xpath="/ns1:Root/ns1:Prog/ns1:Target_P6_7" xmlDataType="double"/>
    </xmlCellPr>
  </singleXmlCell>
  <singleXmlCell id="714" xr6:uid="{00000000-000C-0000-FFFF-FFFF1A010000}" r="L129" connectionId="0">
    <xmlCellPr id="1" xr6:uid="{00000000-0010-0000-1A01-000001000000}" uniqueName="1">
      <xmlPr mapId="43" xpath="/ns1:Root/ns1:Prog/ns1:Target_P5_7" xmlDataType="double"/>
    </xmlCellPr>
  </singleXmlCell>
  <singleXmlCell id="713" xr6:uid="{00000000-000C-0000-FFFF-FFFF1B010000}" r="K129" connectionId="0">
    <xmlCellPr id="1" xr6:uid="{00000000-0010-0000-1B01-000001000000}" uniqueName="1">
      <xmlPr mapId="43" xpath="/ns1:Root/ns1:Prog/ns1:Target_P4_7" xmlDataType="double"/>
    </xmlCellPr>
  </singleXmlCell>
  <singleXmlCell id="712" xr6:uid="{00000000-000C-0000-FFFF-FFFF1C010000}" r="J129" connectionId="0">
    <xmlCellPr id="1" xr6:uid="{00000000-0010-0000-1C01-000001000000}" uniqueName="1">
      <xmlPr mapId="43" xpath="/ns1:Root/ns1:Prog/ns1:Target_P3_7" xmlDataType="double"/>
    </xmlCellPr>
  </singleXmlCell>
  <singleXmlCell id="711" xr6:uid="{00000000-000C-0000-FFFF-FFFF1D010000}" r="I129" connectionId="0">
    <xmlCellPr id="1" xr6:uid="{00000000-0010-0000-1D01-000001000000}" uniqueName="1">
      <xmlPr mapId="43" xpath="/ns1:Root/ns1:Prog/ns1:Target_P2_7" xmlDataType="double"/>
    </xmlCellPr>
  </singleXmlCell>
  <singleXmlCell id="710" xr6:uid="{00000000-000C-0000-FFFF-FFFF1E010000}" r="H129" connectionId="0">
    <xmlCellPr id="1" xr6:uid="{00000000-0010-0000-1E01-000001000000}" uniqueName="1">
      <xmlPr mapId="43" xpath="/ns1:Root/ns1:Prog/ns1:Target_P1_7" xmlDataType="double"/>
    </xmlCellPr>
  </singleXmlCell>
  <singleXmlCell id="815" xr6:uid="{00000000-000C-0000-FFFF-FFFF1F010000}" r="F123" connectionId="0">
    <xmlCellPr id="1" xr6:uid="{00000000-0010-0000-1F01-000001000000}" uniqueName="1">
      <xmlPr mapId="43" xpath="/ns1:Root/ns1:P3_Tied" xmlDataType="string"/>
    </xmlCellPr>
  </singleXmlCell>
  <singleXmlCell id="814" xr6:uid="{00000000-000C-0000-FFFF-FFFF20010000}" r="E123" connectionId="0">
    <xmlCellPr id="1" xr6:uid="{00000000-0010-0000-2001-000001000000}" uniqueName="1">
      <xmlPr mapId="43" xpath="/ns1:Root/ns1:P3_Code" xmlDataType="double"/>
    </xmlCellPr>
  </singleXmlCell>
  <singleXmlCell id="813" xr6:uid="{00000000-000C-0000-FFFF-FFFF21010000}" r="B123" connectionId="0">
    <xmlCellPr id="1" xr6:uid="{00000000-0010-0000-2101-000001000000}" uniqueName="1">
      <xmlPr mapId="43" xpath="/ns1:Root/ns1:P3" xmlDataType="string"/>
    </xmlCellPr>
  </singleXmlCell>
  <singleXmlCell id="637" xr6:uid="{00000000-000C-0000-FFFF-FFFF22010000}" r="S124" connectionId="0">
    <xmlCellPr id="1" xr6:uid="{00000000-0010-0000-2201-000001000000}" uniqueName="1">
      <xmlPr mapId="43" xpath="/ns1:Root/ns1:Prog/ns1:Achieved__P12_3" xmlDataType="string"/>
    </xmlCellPr>
  </singleXmlCell>
  <singleXmlCell id="636" xr6:uid="{00000000-000C-0000-FFFF-FFFF23010000}" r="R124" connectionId="0">
    <xmlCellPr id="1" xr6:uid="{00000000-0010-0000-2301-000001000000}" uniqueName="1">
      <xmlPr mapId="43" xpath="/ns1:Root/ns1:Prog/ns1:Achieved__P11_3" xmlDataType="string"/>
    </xmlCellPr>
  </singleXmlCell>
  <singleXmlCell id="635" xr6:uid="{00000000-000C-0000-FFFF-FFFF24010000}" r="Q124" connectionId="0">
    <xmlCellPr id="1" xr6:uid="{00000000-0010-0000-2401-000001000000}" uniqueName="1">
      <xmlPr mapId="43" xpath="/ns1:Root/ns1:Prog/ns1:Achieved__P10_3" xmlDataType="string"/>
    </xmlCellPr>
  </singleXmlCell>
  <singleXmlCell id="634" xr6:uid="{00000000-000C-0000-FFFF-FFFF25010000}" r="P124" connectionId="0">
    <xmlCellPr id="1" xr6:uid="{00000000-0010-0000-2501-000001000000}" uniqueName="1">
      <xmlPr mapId="43" xpath="/ns1:Root/ns1:Prog/ns1:Achieved__P9_3" xmlDataType="string"/>
    </xmlCellPr>
  </singleXmlCell>
  <singleXmlCell id="633" xr6:uid="{00000000-000C-0000-FFFF-FFFF26010000}" r="O124" connectionId="0">
    <xmlCellPr id="1" xr6:uid="{00000000-0010-0000-2601-000001000000}" uniqueName="1">
      <xmlPr mapId="43" xpath="/ns1:Root/ns1:Prog/ns1:Achieved__P8_3" xmlDataType="string"/>
    </xmlCellPr>
  </singleXmlCell>
  <singleXmlCell id="632" xr6:uid="{00000000-000C-0000-FFFF-FFFF27010000}" r="N124" connectionId="0">
    <xmlCellPr id="1" xr6:uid="{00000000-0010-0000-2701-000001000000}" uniqueName="1">
      <xmlPr mapId="43" xpath="/ns1:Root/ns1:Prog/ns1:Achieved__P7_3" xmlDataType="string"/>
    </xmlCellPr>
  </singleXmlCell>
  <singleXmlCell id="631" xr6:uid="{00000000-000C-0000-FFFF-FFFF28010000}" r="M124" connectionId="0">
    <xmlCellPr id="1" xr6:uid="{00000000-0010-0000-2801-000001000000}" uniqueName="1">
      <xmlPr mapId="43" xpath="/ns1:Root/ns1:Prog/ns1:Achieved__P6_3" xmlDataType="string"/>
    </xmlCellPr>
  </singleXmlCell>
  <singleXmlCell id="630" xr6:uid="{00000000-000C-0000-FFFF-FFFF29010000}" r="L124" connectionId="0">
    <xmlCellPr id="1" xr6:uid="{00000000-0010-0000-2901-000001000000}" uniqueName="1">
      <xmlPr mapId="43" xpath="/ns1:Root/ns1:Prog/ns1:Achieved__P5_3" xmlDataType="string"/>
    </xmlCellPr>
  </singleXmlCell>
  <singleXmlCell id="629" xr6:uid="{00000000-000C-0000-FFFF-FFFF2A010000}" r="K124" connectionId="0">
    <xmlCellPr id="1" xr6:uid="{00000000-0010-0000-2A01-000001000000}" uniqueName="1">
      <xmlPr mapId="43" xpath="/ns1:Root/ns1:Prog/ns1:Achieved__P4_3" xmlDataType="double"/>
    </xmlCellPr>
  </singleXmlCell>
  <singleXmlCell id="628" xr6:uid="{00000000-000C-0000-FFFF-FFFF2B010000}" r="J124" connectionId="0">
    <xmlCellPr id="1" xr6:uid="{00000000-0010-0000-2B01-000001000000}" uniqueName="1">
      <xmlPr mapId="43" xpath="/ns1:Root/ns1:Prog/ns1:Achieved__P3_3" xmlDataType="string"/>
    </xmlCellPr>
  </singleXmlCell>
  <singleXmlCell id="627" xr6:uid="{00000000-000C-0000-FFFF-FFFF2C010000}" r="I124" connectionId="0">
    <xmlCellPr id="1" xr6:uid="{00000000-0010-0000-2C01-000001000000}" uniqueName="1">
      <xmlPr mapId="43" xpath="/ns1:Root/ns1:Prog/ns1:Achieved__P2_3" xmlDataType="double"/>
    </xmlCellPr>
  </singleXmlCell>
  <singleXmlCell id="626" xr6:uid="{00000000-000C-0000-FFFF-FFFF2D010000}" r="H124" connectionId="0">
    <xmlCellPr id="1" xr6:uid="{00000000-0010-0000-2D01-000001000000}" uniqueName="1">
      <xmlPr mapId="43" xpath="/ns1:Root/ns1:Prog/ns1:Achieved__P1_3" xmlDataType="string"/>
    </xmlCellPr>
  </singleXmlCell>
  <singleXmlCell id="625" xr6:uid="{00000000-000C-0000-FFFF-FFFF2E010000}" r="S123" connectionId="0">
    <xmlCellPr id="1" xr6:uid="{00000000-0010-0000-2E01-000001000000}" uniqueName="1">
      <xmlPr mapId="43" xpath="/ns1:Root/ns1:Prog/ns1:Target_P12_3" xmlDataType="double"/>
    </xmlCellPr>
  </singleXmlCell>
  <singleXmlCell id="624" xr6:uid="{00000000-000C-0000-FFFF-FFFF2F010000}" r="R123" connectionId="0">
    <xmlCellPr id="1" xr6:uid="{00000000-0010-0000-2F01-000001000000}" uniqueName="1">
      <xmlPr mapId="43" xpath="/ns1:Root/ns1:Prog/ns1:Target_P11_3" xmlDataType="string"/>
    </xmlCellPr>
  </singleXmlCell>
  <singleXmlCell id="623" xr6:uid="{00000000-000C-0000-FFFF-FFFF30010000}" r="Q123" connectionId="0">
    <xmlCellPr id="1" xr6:uid="{00000000-0010-0000-3001-000001000000}" uniqueName="1">
      <xmlPr mapId="43" xpath="/ns1:Root/ns1:Prog/ns1:Target_P10_3" xmlDataType="string"/>
    </xmlCellPr>
  </singleXmlCell>
  <singleXmlCell id="622" xr6:uid="{00000000-000C-0000-FFFF-FFFF31010000}" r="P123" connectionId="0">
    <xmlCellPr id="1" xr6:uid="{00000000-0010-0000-3101-000001000000}" uniqueName="1">
      <xmlPr mapId="43" xpath="/ns1:Root/ns1:Prog/ns1:Target_P9_3" xmlDataType="double"/>
    </xmlCellPr>
  </singleXmlCell>
  <singleXmlCell id="621" xr6:uid="{00000000-000C-0000-FFFF-FFFF32010000}" r="O123" connectionId="0">
    <xmlCellPr id="1" xr6:uid="{00000000-0010-0000-3201-000001000000}" uniqueName="1">
      <xmlPr mapId="43" xpath="/ns1:Root/ns1:Prog/ns1:Target_P8_3" xmlDataType="double"/>
    </xmlCellPr>
  </singleXmlCell>
  <singleXmlCell id="620" xr6:uid="{00000000-000C-0000-FFFF-FFFF33010000}" r="N123" connectionId="0">
    <xmlCellPr id="1" xr6:uid="{00000000-0010-0000-3301-000001000000}" uniqueName="1">
      <xmlPr mapId="43" xpath="/ns1:Root/ns1:Prog/ns1:Target_P7_3" xmlDataType="double"/>
    </xmlCellPr>
  </singleXmlCell>
  <singleXmlCell id="619" xr6:uid="{00000000-000C-0000-FFFF-FFFF34010000}" r="M123" connectionId="0">
    <xmlCellPr id="1" xr6:uid="{00000000-0010-0000-3401-000001000000}" uniqueName="1">
      <xmlPr mapId="43" xpath="/ns1:Root/ns1:Prog/ns1:Target_P6_3" xmlDataType="double"/>
    </xmlCellPr>
  </singleXmlCell>
  <singleXmlCell id="618" xr6:uid="{00000000-000C-0000-FFFF-FFFF35010000}" r="L123" connectionId="0">
    <xmlCellPr id="1" xr6:uid="{00000000-0010-0000-3501-000001000000}" uniqueName="1">
      <xmlPr mapId="43" xpath="/ns1:Root/ns1:Prog/ns1:Target_P5_3" xmlDataType="double"/>
    </xmlCellPr>
  </singleXmlCell>
  <singleXmlCell id="617" xr6:uid="{00000000-000C-0000-FFFF-FFFF36010000}" r="K123" connectionId="0">
    <xmlCellPr id="1" xr6:uid="{00000000-0010-0000-3601-000001000000}" uniqueName="1">
      <xmlPr mapId="43" xpath="/ns1:Root/ns1:Prog/ns1:Target_P4_3" xmlDataType="double"/>
    </xmlCellPr>
  </singleXmlCell>
  <singleXmlCell id="616" xr6:uid="{00000000-000C-0000-FFFF-FFFF37010000}" r="J123" connectionId="0">
    <xmlCellPr id="1" xr6:uid="{00000000-0010-0000-3701-000001000000}" uniqueName="1">
      <xmlPr mapId="43" xpath="/ns1:Root/ns1:Prog/ns1:Target_P3_3" xmlDataType="double"/>
    </xmlCellPr>
  </singleXmlCell>
  <singleXmlCell id="615" xr6:uid="{00000000-000C-0000-FFFF-FFFF38010000}" r="I123" connectionId="0">
    <xmlCellPr id="1" xr6:uid="{00000000-0010-0000-3801-000001000000}" uniqueName="1">
      <xmlPr mapId="43" xpath="/ns1:Root/ns1:Prog/ns1:Target_P2_3" xmlDataType="double"/>
    </xmlCellPr>
  </singleXmlCell>
  <singleXmlCell id="614" xr6:uid="{00000000-000C-0000-FFFF-FFFF39010000}" r="H123" connectionId="0">
    <xmlCellPr id="1" xr6:uid="{00000000-0010-0000-39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tabSelected="1" zoomScale="120" zoomScaleNormal="10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623" t="str">
        <f>+'Detail despre Grant'!B3:J3</f>
        <v>Tabel Programatic de Evaluare:  Moldova - HIVAIDS / TB</v>
      </c>
      <c r="C2" s="623"/>
      <c r="D2" s="623"/>
      <c r="E2" s="623"/>
      <c r="F2" s="623"/>
      <c r="G2" s="623"/>
      <c r="H2" s="623"/>
      <c r="I2" s="623"/>
      <c r="J2" s="623"/>
      <c r="K2" s="623"/>
      <c r="L2" s="623"/>
      <c r="M2" s="1"/>
      <c r="N2" s="1"/>
      <c r="O2" s="1"/>
    </row>
    <row r="4" spans="2:15" ht="21">
      <c r="B4" s="624" t="str">
        <f>+IF('Introducerea datelor'!G6="Please Select", "",'Introducerea datelor'!G6) &amp;"  "&amp;+IF('Introducerea datelor'!G8="Please Select", "", 'Introducerea datelor'!G8&amp;",  ")&amp;+IF('Introducerea datelor'!I8="Please Select","",'Introducerea datelor'!I8)</f>
        <v>HIVAIDS / TB  Period 1</v>
      </c>
      <c r="C4" s="624"/>
      <c r="D4" s="624"/>
      <c r="E4" s="625"/>
      <c r="F4" s="133"/>
      <c r="G4" s="133"/>
      <c r="H4" s="194" t="str">
        <f>+'Introducerea datelor'!B6&amp;" "&amp;+'Introducerea datelor'!C6</f>
        <v>No. Grantului : MDA-C-PCIMU</v>
      </c>
      <c r="I4" s="194"/>
      <c r="J4" s="132"/>
      <c r="K4" s="133"/>
      <c r="L4" s="133"/>
    </row>
    <row r="22" spans="2:12" ht="26.25">
      <c r="B22" s="626" t="s">
        <v>273</v>
      </c>
      <c r="C22" s="627"/>
      <c r="D22" s="627"/>
      <c r="E22" s="627"/>
      <c r="F22" s="627"/>
      <c r="G22" s="627"/>
      <c r="H22" s="627"/>
      <c r="I22" s="627"/>
      <c r="J22" s="627"/>
      <c r="K22" s="627"/>
      <c r="L22" s="627"/>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O61"/>
  <sheetViews>
    <sheetView showGridLines="0" view="pageBreakPreview" zoomScale="70" zoomScaleNormal="70" zoomScaleSheetLayoutView="70" workbookViewId="0">
      <pane ySplit="2" topLeftCell="A3" activePane="bottomLeft" state="frozen"/>
      <selection activeCell="E22" sqref="E22"/>
      <selection pane="bottomLeft" activeCell="C65" sqref="C65"/>
    </sheetView>
  </sheetViews>
  <sheetFormatPr defaultColWidth="11" defaultRowHeight="15"/>
  <cols>
    <col min="1" max="1" width="3.42578125" style="359" bestFit="1" customWidth="1"/>
    <col min="2" max="2" width="4" customWidth="1"/>
    <col min="3" max="3" width="78.42578125" customWidth="1"/>
    <col min="4" max="4" width="183.5703125" bestFit="1" customWidth="1"/>
    <col min="5" max="5" width="33" bestFit="1" customWidth="1"/>
    <col min="6" max="6" width="40.7109375" bestFit="1" customWidth="1"/>
    <col min="7" max="7" width="2.85546875" style="29" customWidth="1"/>
    <col min="8" max="8" width="3" style="29"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1" spans="1:8">
      <c r="B1" s="3"/>
      <c r="C1" s="3"/>
      <c r="D1" s="3"/>
      <c r="E1" s="3"/>
      <c r="F1" s="3"/>
    </row>
    <row r="2" spans="1:8" ht="28.5">
      <c r="B2" s="3"/>
      <c r="C2" s="400" t="str">
        <f>+"Tabel Programatic de Evaluare: "&amp;" "&amp;+IF('Introducerea datelor'!C4="Please Select","",'Introducerea datelor'!C4&amp;" - ")&amp;+IF('Introducerea datelor'!G6="Please Select","",'Introducerea datelor'!G6)</f>
        <v>Tabel Programatic de Evaluare:  Moldova - HIVAIDS / TB</v>
      </c>
      <c r="D2" s="400"/>
      <c r="E2" s="400"/>
      <c r="F2" s="400"/>
    </row>
    <row r="3" spans="1:8" ht="28.5">
      <c r="B3" s="3"/>
      <c r="C3" s="130"/>
      <c r="D3" s="130"/>
      <c r="E3" s="130"/>
      <c r="F3" s="3"/>
    </row>
    <row r="5" spans="1:8" ht="23.25">
      <c r="C5" s="367" t="s">
        <v>226</v>
      </c>
      <c r="D5" s="367"/>
      <c r="E5" s="367"/>
      <c r="F5" s="367"/>
      <c r="G5" s="367"/>
      <c r="H5" s="367"/>
    </row>
    <row r="7" spans="1:8" ht="21">
      <c r="C7" s="401" t="s">
        <v>215</v>
      </c>
      <c r="D7" s="401" t="s">
        <v>216</v>
      </c>
      <c r="E7" s="401" t="s">
        <v>217</v>
      </c>
      <c r="F7" s="401" t="s">
        <v>251</v>
      </c>
      <c r="G7" s="402"/>
      <c r="H7" s="403"/>
    </row>
    <row r="8" spans="1:8" ht="85.5">
      <c r="C8" s="380" t="str">
        <f>+'Introducerea datelor'!B27</f>
        <v>F1: Bugetul și debursările de către Fondul Global</v>
      </c>
      <c r="D8" s="404" t="s">
        <v>269</v>
      </c>
      <c r="E8" s="377" t="s">
        <v>252</v>
      </c>
      <c r="F8" s="377" t="s">
        <v>270</v>
      </c>
      <c r="G8" s="378"/>
      <c r="H8" s="379"/>
    </row>
    <row r="9" spans="1:8" ht="71.25">
      <c r="C9" s="380" t="str">
        <f>+'Introducerea datelor'!B36</f>
        <v>F2: Bugetul și cheltuielile actuale după Obiectivele Grantului</v>
      </c>
      <c r="D9" s="399" t="s">
        <v>260</v>
      </c>
      <c r="E9" s="377" t="s">
        <v>254</v>
      </c>
      <c r="F9" s="377" t="s">
        <v>270</v>
      </c>
      <c r="G9" s="378"/>
      <c r="H9" s="379"/>
    </row>
    <row r="10" spans="1:8" ht="156.75">
      <c r="C10" s="380" t="str">
        <f>+'Introducerea datelor'!B51</f>
        <v>F3: Debursări și cheltuieli</v>
      </c>
      <c r="D10" s="399" t="s">
        <v>271</v>
      </c>
      <c r="E10" s="377" t="s">
        <v>261</v>
      </c>
      <c r="F10" s="377" t="s">
        <v>253</v>
      </c>
      <c r="G10" s="378"/>
      <c r="H10" s="379"/>
    </row>
    <row r="11" spans="1:8" ht="174.75">
      <c r="C11" s="380" t="str">
        <f>+'Introducerea datelor'!B60</f>
        <v xml:space="preserve">F4: Ultima perioadă de raportare și debursare a RP </v>
      </c>
      <c r="D11" s="399" t="s">
        <v>274</v>
      </c>
      <c r="E11" s="377" t="s">
        <v>262</v>
      </c>
      <c r="F11" s="377" t="s">
        <v>220</v>
      </c>
      <c r="G11" s="378"/>
      <c r="H11" s="379"/>
    </row>
    <row r="12" spans="1:8" s="19" customFormat="1">
      <c r="A12" s="360"/>
      <c r="C12" s="406"/>
      <c r="D12" s="405"/>
      <c r="E12" s="405"/>
      <c r="F12" s="405"/>
      <c r="G12" s="405"/>
      <c r="H12" s="405"/>
    </row>
    <row r="13" spans="1:8" s="19" customFormat="1">
      <c r="A13" s="360"/>
      <c r="C13" s="398"/>
      <c r="D13" s="394"/>
      <c r="E13" s="394"/>
      <c r="F13" s="394"/>
      <c r="G13" s="394"/>
      <c r="H13" s="394"/>
    </row>
    <row r="14" spans="1:8" s="19" customFormat="1">
      <c r="A14" s="360"/>
      <c r="C14" s="398"/>
      <c r="D14" s="394"/>
      <c r="E14" s="394"/>
      <c r="F14" s="394"/>
      <c r="G14" s="394"/>
      <c r="H14" s="394"/>
    </row>
    <row r="15" spans="1:8" s="19" customFormat="1">
      <c r="A15" s="360"/>
      <c r="C15" s="398"/>
      <c r="D15" s="394"/>
      <c r="E15" s="394"/>
      <c r="F15" s="394"/>
      <c r="G15" s="394"/>
      <c r="H15" s="394"/>
    </row>
    <row r="16" spans="1:8" ht="23.25">
      <c r="C16" s="367" t="s">
        <v>227</v>
      </c>
      <c r="D16" s="367"/>
      <c r="E16" s="367"/>
      <c r="F16" s="367"/>
      <c r="G16" s="367"/>
      <c r="H16" s="367"/>
    </row>
    <row r="18" spans="2:8" ht="21">
      <c r="C18" s="395" t="s">
        <v>215</v>
      </c>
      <c r="D18" s="395" t="s">
        <v>216</v>
      </c>
      <c r="E18" s="395" t="s">
        <v>217</v>
      </c>
      <c r="F18" s="395" t="s">
        <v>218</v>
      </c>
      <c r="G18" s="396"/>
      <c r="H18" s="397"/>
    </row>
    <row r="19" spans="2:8" ht="99.75">
      <c r="C19" s="380" t="str">
        <f>+'Introducerea datelor'!B71</f>
        <v xml:space="preserve">M1: Statutul Condițiilor Precedente și a Acțiunilor Prestabilite în Timp </v>
      </c>
      <c r="D19" s="399" t="s">
        <v>225</v>
      </c>
      <c r="E19" s="377" t="s">
        <v>255</v>
      </c>
      <c r="F19" s="377" t="s">
        <v>256</v>
      </c>
      <c r="G19" s="378"/>
      <c r="H19" s="379"/>
    </row>
    <row r="20" spans="2:8" ht="43.5">
      <c r="C20" s="380" t="str">
        <f>+'Introducerea datelor'!B78</f>
        <v xml:space="preserve">M2: Statutul pozițiilor cheie a RP </v>
      </c>
      <c r="D20" s="399" t="s">
        <v>272</v>
      </c>
      <c r="E20" s="377" t="s">
        <v>222</v>
      </c>
      <c r="F20" s="377" t="s">
        <v>221</v>
      </c>
      <c r="G20" s="378"/>
      <c r="H20" s="379"/>
    </row>
    <row r="21" spans="2:8" ht="102.75">
      <c r="C21" s="380" t="str">
        <f>+'Introducerea datelor'!B83</f>
        <v xml:space="preserve">M3: Aranjamente contractuale (SR) </v>
      </c>
      <c r="D21" s="377" t="s">
        <v>0</v>
      </c>
      <c r="E21" s="377" t="s">
        <v>257</v>
      </c>
      <c r="F21" s="377" t="s">
        <v>258</v>
      </c>
      <c r="G21" s="378"/>
      <c r="H21" s="379"/>
    </row>
    <row r="22" spans="2:8" ht="42.75">
      <c r="C22" s="380" t="str">
        <f>+'Introducerea datelor'!B88</f>
        <v>M4: Numărul rapoartelor complete recepționate la timp</v>
      </c>
      <c r="D22" s="377" t="s">
        <v>275</v>
      </c>
      <c r="E22" s="377" t="s">
        <v>263</v>
      </c>
      <c r="F22" s="377" t="s">
        <v>223</v>
      </c>
      <c r="G22" s="378"/>
      <c r="H22" s="379"/>
    </row>
    <row r="23" spans="2:8" ht="102.75">
      <c r="C23" s="385" t="str">
        <f>+'Introducerea datelor'!B94</f>
        <v xml:space="preserve">M5: Bugetul și Procurarea produselor medicale, echipamentului medical, medicamentelor și produselor farmaceutice </v>
      </c>
      <c r="D23" s="376" t="s">
        <v>264</v>
      </c>
      <c r="E23" s="388" t="s">
        <v>219</v>
      </c>
      <c r="F23" s="388" t="s">
        <v>224</v>
      </c>
      <c r="G23" s="389"/>
      <c r="H23" s="390"/>
    </row>
    <row r="24" spans="2:8" ht="29.25">
      <c r="C24" s="386"/>
      <c r="D24" s="387" t="s">
        <v>259</v>
      </c>
      <c r="E24" s="391"/>
      <c r="F24" s="391"/>
      <c r="G24" s="392"/>
      <c r="H24" s="393"/>
    </row>
    <row r="25" spans="2:8" ht="142.5">
      <c r="C25" s="380" t="str">
        <f>+'Introducerea datelor'!B107</f>
        <v>M6: Diferență între stocul curent și stocul de siguranță</v>
      </c>
      <c r="D25" s="381" t="s">
        <v>276</v>
      </c>
      <c r="E25" s="382" t="s">
        <v>265</v>
      </c>
      <c r="F25" s="382" t="s">
        <v>266</v>
      </c>
      <c r="G25" s="383"/>
      <c r="H25" s="384"/>
    </row>
    <row r="29" spans="2:8" ht="18.75">
      <c r="C29" s="143"/>
    </row>
    <row r="30" spans="2:8" ht="23.25">
      <c r="C30" s="367" t="s">
        <v>414</v>
      </c>
      <c r="D30" s="367"/>
      <c r="E30" s="367"/>
      <c r="F30" s="367"/>
      <c r="G30" s="367"/>
      <c r="H30" s="367"/>
    </row>
    <row r="32" spans="2:8" ht="15.75">
      <c r="B32" s="140"/>
      <c r="C32" s="368" t="s">
        <v>250</v>
      </c>
      <c r="D32" s="369" t="s">
        <v>461</v>
      </c>
      <c r="E32" s="361" t="s">
        <v>405</v>
      </c>
      <c r="F32" s="361" t="s">
        <v>406</v>
      </c>
      <c r="G32" s="362"/>
      <c r="H32" s="363"/>
    </row>
    <row r="33" spans="1:8" ht="30">
      <c r="A33" s="359">
        <v>1</v>
      </c>
      <c r="B33" s="628" t="s">
        <v>445</v>
      </c>
      <c r="C33" s="335" t="str">
        <f>IFERROR(VLOOKUP(A33,Table1[],4,0),"")</f>
        <v>TB I-3(M): Rata mortalităţii  - Numărul estimat de decese cauzate de TB (toate formele) pe an, la 100,000 persoane</v>
      </c>
      <c r="D33" s="341" t="str">
        <f>IFERROR(VLOOKUP(A33,Table1[],5,0),"")</f>
        <v>Numărător: Numărul de decese cauzate de TB (toate formele) înregistrate într-o anumită perioadă per 100,000 persoane.                                                                                                                                                      Numitor: Numărul total al populației în țară.</v>
      </c>
      <c r="E33" s="336" t="str">
        <f>IFERROR(VLOOKUP(A33,Table1[],6,0),"")</f>
        <v xml:space="preserve">Colectat anual </v>
      </c>
      <c r="F33" s="336" t="str">
        <f>IFERROR(VLOOKUP(A33,Table1[],7,0),"")</f>
        <v>Sistemul R&amp;R TB; Rapoarte trimestriale; SYME TB</v>
      </c>
      <c r="G33" s="339"/>
      <c r="H33" s="340"/>
    </row>
    <row r="34" spans="1:8" ht="28.5">
      <c r="A34" s="359">
        <v>2</v>
      </c>
      <c r="B34" s="628"/>
      <c r="C34" s="335" t="str">
        <f>IFERROR(VLOOKUP(A34,Table1[],4,0),"")</f>
        <v xml:space="preserve">TB I-4(M): Prevalența TB MDR printre cazurile noi de tuberculoză </v>
      </c>
      <c r="D34" s="341" t="str">
        <f>IFERROR(VLOOKUP(A34,Sheet1!$A$2:$E$25,5,0),"")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34" s="336" t="str">
        <f>IFERROR(VLOOKUP(A34,Table1[],6,0),"")</f>
        <v xml:space="preserve">Colectat anual </v>
      </c>
      <c r="F34" s="336" t="str">
        <f>IFERROR(VLOOKUP(A34,Table1[],7,0),"")</f>
        <v>Sistemul R&amp;R TB; Rapoarte trimestriale; SYME TB</v>
      </c>
      <c r="G34" s="344"/>
      <c r="H34" s="345"/>
    </row>
    <row r="35" spans="1:8" ht="42.75">
      <c r="A35" s="359">
        <v>3</v>
      </c>
      <c r="B35" s="628"/>
      <c r="C35" s="335" t="str">
        <f>IFERROR(VLOOKUP(A35,Table1[],4,0),"")</f>
        <v>HIV I-4: Mortalitatea asociată cu SIDA la 100,000 populaţie</v>
      </c>
      <c r="D35" s="341" t="str">
        <f>IFERROR(VLOOKUP(A35,Sheet1!$A$2:$E$25,5,0),"")</f>
        <v xml:space="preserve">Numărător: Numărul de decese cauzate de HIV/ SIDA într-o anumită perioadă de timp.                                                  Numitor: Adulți (15+): Numărul total al populației (per 100 000 persoane). Copii (&lt;15): Numărul total al populației (per 1 000 nou-născuți).                                      
                                </v>
      </c>
      <c r="E35" s="336" t="str">
        <f>IFERROR(VLOOKUP(A35,Table1[],6,0),"")</f>
        <v xml:space="preserve">Colectat anual </v>
      </c>
      <c r="F35" s="336" t="str">
        <f>IFERROR(VLOOKUP(A35,Table1[],7,0),"")</f>
        <v xml:space="preserve">Registru pacienți/ Registru Național Decese
</v>
      </c>
      <c r="G35" s="342"/>
      <c r="H35" s="343"/>
    </row>
    <row r="36" spans="1:8" ht="42.75">
      <c r="A36" s="359">
        <v>4</v>
      </c>
      <c r="B36" s="628"/>
      <c r="C36" s="335" t="str">
        <f>IFERROR(VLOOKUP(A36,Table1[],4,0),"")</f>
        <v xml:space="preserve">HIV I-9a (M): Procentul BSB care trăiesc cu HIV </v>
      </c>
      <c r="D36" s="341" t="str">
        <f>IFERROR(VLOOKUP(A36,Sheet1!$A$2:$E$25,5,0),"")</f>
        <v xml:space="preserve">Numărător: Numărul de respondenți care au rezultat HIV pozitiv.                                                                                                             
Numitor: Numărul de respondenți testați pentru HIV.                                                   
                                </v>
      </c>
      <c r="E36" s="336" t="str">
        <f>IFERROR(VLOOKUP(A36,Table1[],6,0),"")</f>
        <v>Studiu Bio-comportamental (BSS)</v>
      </c>
      <c r="F36" s="336" t="str">
        <f>IFERROR(VLOOKUP(A36,Table1[],7,0),"")</f>
        <v xml:space="preserve">
BSS. Data de raportare - 31 August 2020
</v>
      </c>
      <c r="G36" s="342"/>
      <c r="H36" s="343"/>
    </row>
    <row r="37" spans="1:8" ht="28.5">
      <c r="A37" s="359">
        <v>5</v>
      </c>
      <c r="B37" s="628"/>
      <c r="C37" s="335" t="str">
        <f>IFERROR(VLOOKUP(A37,Table1[],4,0),"")</f>
        <v>HIV I-10 (M): Procentul LSC care trăiesc cu HIV</v>
      </c>
      <c r="D37" s="341" t="str">
        <f>IFERROR(VLOOKUP(A37,Sheet1!$A$2:$E$25,5,0),"")</f>
        <v xml:space="preserve">Numărător: Numărul de respondenți care au rezultat HIV pozitiv.                                                                                                             
Numitor: Numărul de respondenți testați pentru HIV.                                                                                       </v>
      </c>
      <c r="E37" s="336" t="str">
        <f>IFERROR(VLOOKUP(A37,Table1[],6,0),"")</f>
        <v>Studiu Bio-comportamental (BSS)</v>
      </c>
      <c r="F37" s="336" t="str">
        <f>IFERROR(VLOOKUP(A37,Table1[],7,0),"")</f>
        <v>BSS. Data de raportare - 31 August 2020</v>
      </c>
      <c r="G37" s="342"/>
      <c r="H37" s="343"/>
    </row>
    <row r="38" spans="1:8" ht="30">
      <c r="A38" s="359">
        <v>6</v>
      </c>
      <c r="B38" s="628"/>
      <c r="C38" s="335" t="str">
        <f>IFERROR(VLOOKUP(A38,Table1[],4,0),"")</f>
        <v>HIV I-11 (M): Procentul consumatorilor de droguri injectabile care trăiesc cu HIV</v>
      </c>
      <c r="D38" s="341" t="str">
        <f>IFERROR(VLOOKUP(A38,Sheet1!$A$2:$E$25,5,0),"")</f>
        <v xml:space="preserve">Numărător: Numărul de respondenți care au rezultat HIV pozitiv.
Numitor: Numărul de respondenți testați pentru HIV.    </v>
      </c>
      <c r="E38" s="336" t="str">
        <f>IFERROR(VLOOKUP(A38,Table1[],6,0),"")</f>
        <v>Studiu Bio-comportamental (BSS)</v>
      </c>
      <c r="F38" s="336" t="str">
        <f>IFERROR(VLOOKUP(A38,Table1[],7,0),"")</f>
        <v>BSS. Data de raportare - 31 August 2020</v>
      </c>
      <c r="G38" s="342"/>
      <c r="H38" s="343"/>
    </row>
    <row r="39" spans="1:8" ht="15.75">
      <c r="B39" s="141"/>
      <c r="C39" s="368" t="str">
        <f>IFERROR(VLOOKUP(A39,Table1[],4,0),"")</f>
        <v/>
      </c>
      <c r="D39" s="369" t="str">
        <f>IFERROR(VLOOKUP(A39,Sheet1!$A$2:$E$25,5,0),"")</f>
        <v/>
      </c>
      <c r="E39" s="361" t="str">
        <f>IFERROR(VLOOKUP(A39,Table1[],6,0),"")</f>
        <v/>
      </c>
      <c r="F39" s="361" t="str">
        <f>IFERROR(VLOOKUP(A39,Table1[],7,0),"")</f>
        <v/>
      </c>
      <c r="G39" s="362"/>
      <c r="H39" s="363"/>
    </row>
    <row r="40" spans="1:8" ht="30">
      <c r="A40" s="359">
        <v>7</v>
      </c>
      <c r="B40" s="628" t="s">
        <v>451</v>
      </c>
      <c r="C40" s="335" t="str">
        <f>IFERROR(VLOOKUP(A40,Table1[],4,0),"")</f>
        <v xml:space="preserve">TB O-4(M): Rata succesului tratamentului pacienților cu RR TB și/sau MDR-TB </v>
      </c>
      <c r="D40" s="341" t="str">
        <f>IFERROR(VLOOKUP(A40,Sheet1!$A$2:$E$25,5,0),"")</f>
        <v>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v>
      </c>
      <c r="E40" s="336" t="str">
        <f>IFERROR(VLOOKUP(A40,Table1[],6,0),"")</f>
        <v xml:space="preserve">Colectat trimestrial și anual </v>
      </c>
      <c r="F40" s="336" t="str">
        <f>IFERROR(VLOOKUP(A40,Table1[],7,0),"")</f>
        <v>Sistemul R&amp;R TB; Rapoarte trimestriale; SYME TB</v>
      </c>
      <c r="G40" s="339"/>
      <c r="H40" s="340"/>
    </row>
    <row r="41" spans="1:8" ht="42.75">
      <c r="A41" s="359">
        <v>8</v>
      </c>
      <c r="B41" s="628"/>
      <c r="C41" s="335" t="str">
        <f>IFERROR(VLOOKUP(A41,Table1[],4,0),"")</f>
        <v>TB O-1a: Rata de notificare a cazurilor de tuberculoză (toate formele) per 100,000 populație</v>
      </c>
      <c r="D41" s="341" t="str">
        <f>IFERROR(VLOOKUP(A41,Sheet1!$A$2:$E$25,5,0),"")</f>
        <v>Numărător: Toate cazurile de tuberculoză (bacteriologic confirmate și diagnosticate clinic, cazuri noi și recidive) notificate către autoritatea națională într-o perioadă anumită de timp per 100,000 populație.
Numitor: Numărul total al populației în țară.</v>
      </c>
      <c r="E41" s="336" t="str">
        <f>IFERROR(VLOOKUP(A41,Table1[],6,0),"")</f>
        <v xml:space="preserve">Colectat trimestrial și anual </v>
      </c>
      <c r="F41" s="336" t="str">
        <f>IFERROR(VLOOKUP(A41,Table1[],7,0),"")</f>
        <v>Sistemul R&amp;R TB; Rapoarte trimestriale; SYME TB</v>
      </c>
      <c r="G41" s="339"/>
      <c r="H41" s="340"/>
    </row>
    <row r="42" spans="1:8" ht="57">
      <c r="A42" s="359">
        <v>9</v>
      </c>
      <c r="B42" s="628"/>
      <c r="C42" s="335" t="str">
        <f>IFERROR(VLOOKUP(A42,Table1[],4,0),"")</f>
        <v>TB O-5(M): Rata de acoperire cu tratament antituberculos</v>
      </c>
      <c r="D42" s="341" t="str">
        <f>IFERROR(VLOOKUP(A42,Sheet1!$A$2:$E$25,5,0),"")</f>
        <v>Numărător: Number de cazuri noi și recidive notificate și acoperite cu tratament, during specified period of time.
Numitor: Numărul estimat de cazuri TB din același an (toate formele TB - bacteriologic confirmate și diagnosticate clinic), din baza de date a OMS (WHO Global TB).</v>
      </c>
      <c r="E42" s="336" t="str">
        <f>IFERROR(VLOOKUP(A42,Table1[],6,0),"")</f>
        <v xml:space="preserve">Colectat anual </v>
      </c>
      <c r="F42" s="336" t="str">
        <f>IFERROR(VLOOKUP(A42,Table1[],7,0),"")</f>
        <v>Sistemul R&amp;R TB; Rapoarte trimestriale; SYME TB
Date estimative ale OMS (WHO Global TB)</v>
      </c>
      <c r="G42" s="339"/>
      <c r="H42" s="338"/>
    </row>
    <row r="43" spans="1:8" ht="57">
      <c r="A43" s="359">
        <v>10</v>
      </c>
      <c r="B43" s="628"/>
      <c r="C43" s="335" t="str">
        <f>IFERROR(VLOOKUP(A43,Table1[],4,0),"")</f>
        <v xml:space="preserve">HIV O-1 (M): Procentul adulţilor şi copiilor HIV infectaţi care se află în tratament 12 luni după iniţierea tratamentului antiretroviral </v>
      </c>
      <c r="D43" s="341" t="str">
        <f>IFERROR(VLOOKUP(A43,Sheet1!$A$2:$E$25,5,0),"")</f>
        <v xml:space="preserve">Numărător: Numărul adulților și copiilor care sunt în viață și în terapie ARV 12 luni după inițierea tratamentului.
Numitor: Numărul total de adulți ăi copii care în perioada de raportare au facut 12 luni de la inițierea TARV.                                                                         
</v>
      </c>
      <c r="E43" s="336" t="str">
        <f>IFERROR(VLOOKUP(A43,Table1[],6,0),"")</f>
        <v xml:space="preserve">Colectat anual </v>
      </c>
      <c r="F43" s="336" t="str">
        <f>IFERROR(VLOOKUP(A43,Table1[],7,0),"")</f>
        <v>Registrele pacienților în TARV (Centrele TARV)</v>
      </c>
      <c r="G43" s="337"/>
      <c r="H43" s="338"/>
    </row>
    <row r="44" spans="1:8" ht="30">
      <c r="A44" s="359">
        <v>11</v>
      </c>
      <c r="B44" s="628"/>
      <c r="C44" s="335" t="str">
        <f>IFERROR(VLOOKUP(A44,Table1[],4,0),"")</f>
        <v>HIV O-4a (M): Procentul BSB care raportează utilizarea prezervativului în timpul ultimului act de sex anal cu partenerul de gen masculin</v>
      </c>
      <c r="D44" s="341" t="str">
        <f>IFERROR(VLOOKUP(A44,Sheet1!$A$2:$E$25,5,0),"")</f>
        <v xml:space="preserve">Numărător: Numărul de respondenți care au raportat utilizarea prezervativului în timpul ultimului act de sex anal.                                                       
Numitor: Numărul de respondenți care au raportat practicarea sexului anal în ultimele 6 luni.                                                                                      </v>
      </c>
      <c r="E44" s="336" t="str">
        <f>IFERROR(VLOOKUP(A44,Table1[],6,0),"")</f>
        <v>Studiu Bio-comportamental (BSS)</v>
      </c>
      <c r="F44" s="336" t="str">
        <f>IFERROR(VLOOKUP(A44,Table1[],7,0),"")</f>
        <v>BSS. Data de raportare - 31 August 2020</v>
      </c>
      <c r="G44" s="337"/>
      <c r="H44" s="338"/>
    </row>
    <row r="45" spans="1:8" ht="30">
      <c r="A45" s="359">
        <v>12</v>
      </c>
      <c r="B45" s="628"/>
      <c r="C45" s="335" t="str">
        <f>IFERROR(VLOOKUP(A45,Table1[],4,0),"")</f>
        <v>HIV O-5 (M): Procentul LSC care raportează utilizarea prezervativului cu ultimul lor client</v>
      </c>
      <c r="D45" s="341" t="str">
        <f>IFERROR(VLOOKUP(A45,Sheet1!$A$2:$E$25,5,0),"")</f>
        <v xml:space="preserve">Numărător: Numărul de respondenți care au raportat utilizarea prezervativului cu ultimul lor client.
Numitor: Numărul de respondenți care au raportat practicarea sexului comercial în ultimele 12 luni.                                                             </v>
      </c>
      <c r="E45" s="336" t="str">
        <f>IFERROR(VLOOKUP(A45,Table1[],6,0),"")</f>
        <v>Studiu Bio-comportamental (BSS)</v>
      </c>
      <c r="F45" s="336" t="str">
        <f>IFERROR(VLOOKUP(A45,Table1[],7,0),"")</f>
        <v>BSS. Data de raportare - 31 August 2020</v>
      </c>
      <c r="G45" s="337"/>
      <c r="H45" s="338"/>
    </row>
    <row r="46" spans="1:8" ht="30">
      <c r="A46" s="359">
        <v>13</v>
      </c>
      <c r="B46" s="412"/>
      <c r="C46" s="335" t="str">
        <f>IFERROR(VLOOKUP(A46,Table1[],4,0),"")</f>
        <v>HIV O-6 (M): Procentul consumatorilor de droguri injectabile care raportează utilizarea setului pentru injectare steril la ultima injectare</v>
      </c>
      <c r="D46" s="341" t="str">
        <f>IFERROR(VLOOKUP(A46,Sheet1!$A$2:$E$25,5,0),"")</f>
        <v xml:space="preserve">Numărător: Numărul de respondenți care au raportat utilizarea setului pentru injectare steril, la ultima consumare de droguri injectabile.
Numitor: Numărul de respondenți care au raportat consumarea de droguri injectabile în ultima lună.                                                                                    </v>
      </c>
      <c r="E46" s="336" t="str">
        <f>IFERROR(VLOOKUP(A46,Table1[],6,0),"")</f>
        <v>Studiu Bio-comportamental (BSS)</v>
      </c>
      <c r="F46" s="336" t="str">
        <f>IFERROR(VLOOKUP(A46,Table1[],7,0),"")</f>
        <v>BSS. Data de raportare - 31 August 2020</v>
      </c>
      <c r="G46" s="337"/>
      <c r="H46" s="338"/>
    </row>
    <row r="47" spans="1:8" ht="15.75">
      <c r="B47" s="141"/>
      <c r="C47" s="368" t="str">
        <f>IFERROR(VLOOKUP(A47,Table1[],4,0),"")</f>
        <v/>
      </c>
      <c r="D47" s="369" t="str">
        <f>IFERROR(VLOOKUP(A47,Sheet1!$A$2:$E$25,5,0),"")</f>
        <v/>
      </c>
      <c r="E47" s="361" t="str">
        <f>IFERROR(VLOOKUP(A47,Table1[],6,0),"")</f>
        <v/>
      </c>
      <c r="F47" s="361" t="str">
        <f>IFERROR(VLOOKUP(A47,Table1[],7,0),"")</f>
        <v/>
      </c>
      <c r="G47" s="362"/>
      <c r="H47" s="363"/>
    </row>
    <row r="48" spans="1:8" ht="57">
      <c r="A48" s="359">
        <v>14</v>
      </c>
      <c r="B48" s="628" t="s">
        <v>459</v>
      </c>
      <c r="C48" s="335" t="str">
        <f>IFERROR(VLOOKUP(A48,Table1[],4,0),"")</f>
        <v>MDR TB-2(M): Numărul cazurilor de TB DR (RR-TB și/sau MDR-TB), confirmate bacteriologic, notificate</v>
      </c>
      <c r="D48" s="341" t="str">
        <f>IFERROR(VLOOKUP(A48,Sheet1!$A$2:$E$25,5,0),"")</f>
        <v xml:space="preserve">Numărător: Numărul de cazuri de TB DR (RR-TB și/sau MDR-TB), confirmate bacteriologic, notificate către autoritatea națională, în perioada raportată.                                                                                              Numitor: Nu este   </v>
      </c>
      <c r="E48" s="336" t="str">
        <f>IFERROR(VLOOKUP(A48,Table1[],6,0),"")</f>
        <v xml:space="preserve">Colectat anual </v>
      </c>
      <c r="F48" s="336" t="str">
        <f>IFERROR(VLOOKUP(A48,Table1[],7,0),"")</f>
        <v xml:space="preserve">Sistemul R&amp;R TB; Rapoarte anuale; Supraveghere de rutină a DR (Drog Rezistenței); SYME TB
</v>
      </c>
      <c r="G48" s="339"/>
      <c r="H48" s="340"/>
    </row>
    <row r="49" spans="1:8" ht="45">
      <c r="A49" s="359">
        <v>15</v>
      </c>
      <c r="B49" s="628"/>
      <c r="C49" s="335" t="str">
        <f>IFERROR(VLOOKUP(A49,Table1[],4,0),"")</f>
        <v xml:space="preserve">MDR TB-3(M): Numărul cazurilor cu tuberculoză drog-rezistentă (RR-TB și/sau MDR-TB), confirmate bacteriologic, care au demarat tratamentul DOTS-Plus în perioada raportată                </v>
      </c>
      <c r="D49" s="341" t="str">
        <f>IFERROR(VLOOKUP(A49,Sheet1!$A$2:$E$25,5,0),"")</f>
        <v xml:space="preserve">Numărător: Numărul cazurilor cu tuberculoză drog-rezistentă (RR-TB și/sau MDR-TB), confirmate bacteriologic, care au demarat tratamentul DOTS-Plus în perioada raportată.
Numitor: Nu este   </v>
      </c>
      <c r="E49" s="336" t="str">
        <f>IFERROR(VLOOKUP(A49,Table1[],6,0),"")</f>
        <v xml:space="preserve">Colectat anual </v>
      </c>
      <c r="F49" s="336" t="str">
        <f>IFERROR(VLOOKUP(A49,Table1[],7,0),"")</f>
        <v xml:space="preserve">Sistemul R&amp;R TB; Rapoarte trimestriale; SYME TB; Modul DOTS Plus </v>
      </c>
      <c r="G49" s="339"/>
      <c r="H49" s="340"/>
    </row>
    <row r="50" spans="1:8" ht="42.75">
      <c r="A50" s="359">
        <v>16</v>
      </c>
      <c r="B50" s="628"/>
      <c r="C50" s="335" t="str">
        <f>IFERROR(VLOOKUP(A50,Table1[],4,0),"")</f>
        <v>MDR TB-4: Rezultatul interimar de abandon al tratamentului cazurilor MDR-TB</v>
      </c>
      <c r="D50" s="341" t="str">
        <f>IFERROR(VLOOKUP(A50,Sheet1!$A$2:$E$25,5,0),"")</f>
        <v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v>
      </c>
      <c r="E50" s="336" t="str">
        <f>IFERROR(VLOOKUP(A50,Table1[],6,0),"")</f>
        <v xml:space="preserve">Colectat anual </v>
      </c>
      <c r="F50" s="336" t="str">
        <f>IFERROR(VLOOKUP(A50,Table1[],7,0),"")</f>
        <v>Sistemul R&amp;R TB; Rapoarte trimestriale/ anuale; Rapoarte NTP; SYME TB; Modul DOTS Plus</v>
      </c>
      <c r="G50" s="339"/>
      <c r="H50" s="340"/>
    </row>
    <row r="51" spans="1:8" ht="42.75">
      <c r="A51" s="359">
        <v>17</v>
      </c>
      <c r="B51" s="628"/>
      <c r="C51" s="335" t="str">
        <f>IFERROR(VLOOKUP(A51,Table1[],4,0),"")</f>
        <v>MDR TB-8: Numărul cazurilor de XDR TB incluși în tratament în perioada raportată</v>
      </c>
      <c r="D51" s="341" t="str">
        <f>IFERROR(VLOOKUP(A51,Sheet1!$A$2:$E$25,5,0),"")</f>
        <v xml:space="preserve">Numărător: Numărul cazurilor de XDR TB incluși în tratament în perioada raportată.                                    Numitor: Nu este                                                            </v>
      </c>
      <c r="E51" s="336" t="str">
        <f>IFERROR(VLOOKUP(A51,Table1[],6,0),"")</f>
        <v xml:space="preserve">Colectat anual </v>
      </c>
      <c r="F51" s="336" t="str">
        <f>IFERROR(VLOOKUP(A51,Table1[],7,0),"")</f>
        <v>Sistemul R&amp;R TB; Rapoarte trimestriale/ anuale; Rapoarte NTP; SYME TB; Modul DOTS Plus</v>
      </c>
      <c r="G51" s="337"/>
      <c r="H51" s="338"/>
    </row>
    <row r="52" spans="1:8" ht="57">
      <c r="A52" s="359">
        <v>18</v>
      </c>
      <c r="B52" s="628"/>
      <c r="C52" s="335" t="str">
        <f>IFERROR(VLOOKUP(A52,Table1[],4,0),"")</f>
        <v xml:space="preserve">KP-1d(M): Procentul consumatorilor de droguri injectabile acoperiți de programele de prevenire HIV - pachet definit de servicii </v>
      </c>
      <c r="D52" s="341" t="str">
        <f>IFERROR(VLOOKUP(A52,Sheet1!$A$2:$E$25,5,0),"")</f>
        <v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v>
      </c>
      <c r="E52" s="336" t="str">
        <f>IFERROR(VLOOKUP(A52,Table1[],6,0),"")</f>
        <v xml:space="preserve">Colectat anual </v>
      </c>
      <c r="F52" s="336" t="str">
        <f>IFERROR(VLOOKUP(A52,Table1[],7,0),"")</f>
        <v xml:space="preserve">Forme de raportare ONG, bazate pe IDU Ident  
</v>
      </c>
      <c r="G52" s="337"/>
      <c r="H52" s="338"/>
    </row>
    <row r="53" spans="1:8" ht="42.75">
      <c r="A53" s="359">
        <v>19</v>
      </c>
      <c r="B53" s="628"/>
      <c r="C53" s="335" t="str">
        <f>IFERROR(VLOOKUP(A53,Table1[],4,0),"")</f>
        <v>KP-3d(M): Procentul consumatorilor de droguri injectabile care au fost testați pentru HIV în perioada de raportare și își cunosc rezultatele</v>
      </c>
      <c r="D53" s="341" t="str">
        <f>IFERROR(VLOOKUP(A53,Sheet1!$A$2:$E$25,5,0),"")</f>
        <v xml:space="preserve">Numărător: Numărul de CDI respondenți, care au fost testați pentru HIV în perioada de raportare și își cunosc rezultatele.
Numitor: Numărul estimat de CDI în Rep. Moldova.      
</v>
      </c>
      <c r="E53" s="336" t="str">
        <f>IFERROR(VLOOKUP(A53,Table1[],6,0),"")</f>
        <v xml:space="preserve">Colectat anual </v>
      </c>
      <c r="F53" s="336" t="str">
        <f>IFERROR(VLOOKUP(A53,Table1[],7,0),"")</f>
        <v xml:space="preserve">Forme de raportare ONG, bazate pe IDU Ident  
</v>
      </c>
      <c r="G53" s="337"/>
      <c r="H53" s="338"/>
    </row>
    <row r="54" spans="1:8" ht="77.25" customHeight="1">
      <c r="A54" s="359">
        <v>20</v>
      </c>
      <c r="B54" s="628"/>
      <c r="C54" s="335" t="str">
        <f>IFERROR(VLOOKUP(A54,Table1[],4,0),"")</f>
        <v xml:space="preserve">KP-1c(M): Procentul LSC acoperiți de programele de prevenire HIV - pachet definit de servicii </v>
      </c>
      <c r="D54" s="341" t="str">
        <f>IFERROR(VLOOKUP(A54,Sheet1!$A$2:$E$25,5,0),"")</f>
        <v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v>
      </c>
      <c r="E54" s="336" t="str">
        <f>IFERROR(VLOOKUP(A54,Table1[],6,0),"")</f>
        <v xml:space="preserve">Colectat anual </v>
      </c>
      <c r="F54" s="336" t="str">
        <f>IFERROR(VLOOKUP(A54,Table1[],7,0),"")</f>
        <v xml:space="preserve">Forme de raportare ONG, bazate pe IDU Ident  
</v>
      </c>
      <c r="G54" s="337"/>
      <c r="H54" s="338"/>
    </row>
    <row r="55" spans="1:8" ht="42.75">
      <c r="A55" s="359">
        <v>21</v>
      </c>
      <c r="B55" s="628"/>
      <c r="C55" s="335" t="str">
        <f>IFERROR(VLOOKUP(A55,Table1[],4,0),"")</f>
        <v>KP-3c(M): Procentul LSC care au fost testați pentru HIV în perioada de raportare și își cunosc rezultatele</v>
      </c>
      <c r="D55" s="341" t="str">
        <f>IFERROR(VLOOKUP(A55,Sheet1!$A$2:$E$25,5,0),"")</f>
        <v xml:space="preserve">Numărător: Numărul de LSC care au fost testați pentru HIV în perioada de raportare și își cunosc rezultatele.                                                                                                                                                             Numitor: Numărul estimat de LSC în Rep. Moldova.                                                           </v>
      </c>
      <c r="E55" s="336" t="str">
        <f>IFERROR(VLOOKUP(A55,Table1[],6,0),"")</f>
        <v xml:space="preserve">Colectat anual </v>
      </c>
      <c r="F55" s="336" t="str">
        <f>IFERROR(VLOOKUP(A55,Table1[],7,0),"")</f>
        <v xml:space="preserve">Forme de raportare ONG, bazate pe IDU Ident  
</v>
      </c>
      <c r="G55" s="337"/>
      <c r="H55" s="338"/>
    </row>
    <row r="56" spans="1:8" ht="57">
      <c r="A56" s="359">
        <v>22</v>
      </c>
      <c r="B56" s="628"/>
      <c r="C56" s="335" t="str">
        <f>IFERROR(VLOOKUP(A56,Table1[],4,0),"")</f>
        <v xml:space="preserve">KP-1a(M): Procentul BSB acoperiți de programele de prevenire HIV - pachet definit de servicii </v>
      </c>
      <c r="D56" s="341" t="str">
        <f>IFERROR(VLOOKUP(A56,Sheet1!$A$2:$E$25,5,0),"")</f>
        <v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v>
      </c>
      <c r="E56" s="336" t="str">
        <f>IFERROR(VLOOKUP(A56,Table1[],6,0),"")</f>
        <v xml:space="preserve">Colectat anual </v>
      </c>
      <c r="F56" s="336" t="str">
        <f>IFERROR(VLOOKUP(A56,Table1[],7,0),"")</f>
        <v xml:space="preserve">Forme de raportare ONG, bazate pe IDU Ident
</v>
      </c>
      <c r="G56" s="337"/>
      <c r="H56" s="338"/>
    </row>
    <row r="57" spans="1:8" ht="42.75">
      <c r="A57" s="359">
        <v>23</v>
      </c>
      <c r="B57" s="628"/>
      <c r="C57" s="335" t="str">
        <f>IFERROR(VLOOKUP(A57,Table1[],4,0),"")</f>
        <v>KP-3a(M): Procentul BSB care au fost testați pentru HIV în perioada de raportare și își cunosc rezultatele</v>
      </c>
      <c r="D57" s="341" t="str">
        <f>IFERROR(VLOOKUP(A57,Sheet1!$A$2:$E$25,5,0),"")</f>
        <v xml:space="preserve">Numărător: Numărul de BSB care au fost testați pentru HIV în perioada de raportare și își cunosc rezultatele.
Numitor: Numărul estimat de BSB în Rep. Moldova.   
</v>
      </c>
      <c r="E57" s="336" t="str">
        <f>IFERROR(VLOOKUP(A57,Table1[],6,0),"")</f>
        <v xml:space="preserve">Colectat anual </v>
      </c>
      <c r="F57" s="336" t="str">
        <f>IFERROR(VLOOKUP(A57,Table1[],7,0),"")</f>
        <v xml:space="preserve">Forme de raportare ONG, bazate pe IDU Ident  
</v>
      </c>
      <c r="G57" s="337"/>
      <c r="H57" s="338"/>
    </row>
    <row r="58" spans="1:8" ht="57">
      <c r="A58" s="359">
        <v>24</v>
      </c>
      <c r="B58" s="628"/>
      <c r="C58" s="335" t="str">
        <f>IFERROR(VLOOKUP(A58,Table1[],4,0),"")</f>
        <v xml:space="preserve">TCS-1 (M): Procentul adulţilor şi copiilor care trăiesc cu HIV și urmează tratament antiretroviral </v>
      </c>
      <c r="D58" s="341" t="str">
        <f>IFERROR(VLOOKUP(A58,Sheet1!$A$2:$E$25,5,0),"")</f>
        <v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v>
      </c>
      <c r="E58" s="413" t="str">
        <f>IFERROR(VLOOKUP(A58,Table1[],6,0),"")</f>
        <v xml:space="preserve">Colectat anual </v>
      </c>
      <c r="F58" s="336" t="str">
        <f>IFERROR(VLOOKUP(A58,Table1[],7,0),"")</f>
        <v>Registrele pacienților în TARV (Centrele TARV)</v>
      </c>
      <c r="G58" s="337"/>
      <c r="H58" s="338"/>
    </row>
    <row r="59" spans="1:8" ht="15.75">
      <c r="C59" s="372" t="s">
        <v>234</v>
      </c>
      <c r="D59" s="373" t="s">
        <v>216</v>
      </c>
      <c r="E59" s="373" t="s">
        <v>217</v>
      </c>
      <c r="F59" s="373" t="s">
        <v>218</v>
      </c>
      <c r="G59" s="374"/>
      <c r="H59" s="375"/>
    </row>
    <row r="60" spans="1:8" ht="15.75">
      <c r="C60" s="138"/>
      <c r="D60" s="331"/>
      <c r="E60" s="331"/>
      <c r="F60" s="330"/>
      <c r="G60" s="331"/>
      <c r="H60" s="332"/>
    </row>
    <row r="61" spans="1:8" ht="31.5">
      <c r="C61" s="370" t="s">
        <v>233</v>
      </c>
      <c r="D61" s="371"/>
      <c r="E61" s="371"/>
      <c r="F61" s="364" t="s">
        <v>228</v>
      </c>
      <c r="G61" s="365"/>
      <c r="H61" s="366"/>
    </row>
  </sheetData>
  <sheetProtection sheet="1" objects="1" scenarios="1"/>
  <mergeCells count="3">
    <mergeCell ref="B48:B58"/>
    <mergeCell ref="B40:B45"/>
    <mergeCell ref="B33:B38"/>
  </mergeCells>
  <phoneticPr fontId="23" type="noConversion"/>
  <pageMargins left="0.70866141732283472" right="0.70866141732283472" top="0.74803149606299213" bottom="0.74803149606299213" header="0.31496062992125984" footer="0.31496062992125984"/>
  <pageSetup paperSize="9" scale="37"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79"/>
  <sheetViews>
    <sheetView showGridLines="0" zoomScale="70" zoomScaleNormal="70" zoomScaleSheetLayoutView="75" workbookViewId="0">
      <selection activeCell="G4" sqref="G4:J4"/>
    </sheetView>
  </sheetViews>
  <sheetFormatPr defaultColWidth="11" defaultRowHeight="15"/>
  <cols>
    <col min="1" max="1" width="5.140625" style="415" customWidth="1"/>
    <col min="2" max="2" width="53" style="3" customWidth="1"/>
    <col min="3" max="3" width="23" style="3" customWidth="1"/>
    <col min="4" max="4" width="19.140625" style="3" customWidth="1"/>
    <col min="5" max="5" width="18.7109375" style="3" customWidth="1"/>
    <col min="6" max="6" width="17.42578125" style="3" customWidth="1"/>
    <col min="7" max="7" width="16.42578125" style="3" customWidth="1"/>
    <col min="8" max="8" width="15.85546875" style="3" customWidth="1"/>
    <col min="9" max="9" width="11.85546875" style="3" customWidth="1"/>
    <col min="10" max="10" width="13.28515625" style="3" customWidth="1"/>
    <col min="11" max="11" width="12" style="3" customWidth="1"/>
    <col min="12" max="12" width="15.28515625" style="3" customWidth="1"/>
    <col min="13" max="13" width="15.42578125" style="3" customWidth="1"/>
    <col min="14" max="14" width="14.28515625" style="238" customWidth="1"/>
    <col min="15" max="15" width="20.42578125" style="238" customWidth="1"/>
    <col min="16" max="16" width="19.42578125" style="3" customWidth="1"/>
    <col min="17" max="17" width="16.140625" style="3" customWidth="1"/>
    <col min="18" max="18" width="13.7109375" style="3" customWidth="1"/>
    <col min="19" max="19" width="13.42578125" style="3" customWidth="1"/>
    <col min="20" max="20" width="14.85546875" style="3" customWidth="1"/>
    <col min="21" max="21" width="16" style="3" customWidth="1"/>
    <col min="22" max="22" width="11.42578125" style="3" hidden="1" customWidth="1"/>
    <col min="23" max="23" width="15.5703125" style="3" customWidth="1"/>
    <col min="24" max="24" width="11.42578125" style="3" customWidth="1"/>
    <col min="25" max="25" width="2.28515625" style="3" customWidth="1"/>
    <col min="26" max="26" width="1.140625" style="3" customWidth="1"/>
    <col min="27" max="27" width="3.28515625" style="3" customWidth="1"/>
    <col min="28" max="28" width="17" style="3" customWidth="1"/>
    <col min="29" max="29" width="15" style="3" customWidth="1"/>
    <col min="30" max="30" width="11.42578125" style="3" customWidth="1"/>
    <col min="31" max="31" width="13.5703125" style="3" customWidth="1"/>
    <col min="32" max="32" width="16.85546875" style="3" customWidth="1"/>
    <col min="33" max="33" width="11.42578125" style="3" customWidth="1"/>
    <col min="34" max="34" width="2" style="238" customWidth="1"/>
    <col min="35" max="35" width="3.28515625" style="238" customWidth="1"/>
    <col min="36" max="36" width="2.28515625" style="238" customWidth="1"/>
    <col min="37" max="37" width="40.7109375" style="3" customWidth="1"/>
    <col min="38" max="38" width="15.42578125" style="3" customWidth="1"/>
    <col min="39" max="16384" width="11" style="3"/>
  </cols>
  <sheetData>
    <row r="1" spans="1:13" ht="29.25" customHeight="1"/>
    <row r="2" spans="1:13" ht="15.75" customHeight="1">
      <c r="B2" s="639" t="s">
        <v>278</v>
      </c>
      <c r="C2" s="639"/>
      <c r="D2" s="639"/>
      <c r="E2" s="639"/>
      <c r="F2" s="639"/>
      <c r="G2" s="639"/>
      <c r="H2" s="639"/>
      <c r="I2" s="639"/>
      <c r="J2" s="639"/>
      <c r="K2" s="156"/>
      <c r="L2" s="156"/>
      <c r="M2" s="156"/>
    </row>
    <row r="3" spans="1:13" ht="4.5" customHeight="1"/>
    <row r="4" spans="1:13" ht="34.5" customHeight="1">
      <c r="B4" s="420" t="s">
        <v>279</v>
      </c>
      <c r="C4" s="640" t="s">
        <v>155</v>
      </c>
      <c r="D4" s="641"/>
      <c r="E4" s="642" t="s">
        <v>283</v>
      </c>
      <c r="F4" s="642"/>
      <c r="G4" s="643" t="s">
        <v>432</v>
      </c>
      <c r="H4" s="644"/>
      <c r="I4" s="644"/>
      <c r="J4" s="645"/>
    </row>
    <row r="5" spans="1:13" ht="3" customHeight="1">
      <c r="B5" s="420"/>
      <c r="E5" s="157"/>
      <c r="F5" s="157"/>
    </row>
    <row r="6" spans="1:13">
      <c r="B6" s="420" t="s">
        <v>280</v>
      </c>
      <c r="C6" s="640" t="s">
        <v>431</v>
      </c>
      <c r="D6" s="641"/>
      <c r="E6" s="642" t="s">
        <v>284</v>
      </c>
      <c r="F6" s="642"/>
      <c r="G6" s="439" t="s">
        <v>50</v>
      </c>
      <c r="H6" s="420" t="s">
        <v>285</v>
      </c>
      <c r="I6" s="651">
        <v>11931624</v>
      </c>
      <c r="J6" s="652"/>
    </row>
    <row r="7" spans="1:13" ht="3" customHeight="1">
      <c r="B7" s="420"/>
      <c r="E7" s="157"/>
      <c r="F7" s="157"/>
      <c r="H7" s="420"/>
    </row>
    <row r="8" spans="1:13">
      <c r="B8" s="420" t="s">
        <v>281</v>
      </c>
      <c r="C8" s="640" t="s">
        <v>418</v>
      </c>
      <c r="D8" s="641"/>
      <c r="E8" s="158"/>
      <c r="F8" s="421" t="s">
        <v>286</v>
      </c>
      <c r="G8" s="440" t="s">
        <v>268</v>
      </c>
      <c r="H8" s="421" t="s">
        <v>287</v>
      </c>
      <c r="I8" s="640" t="s">
        <v>426</v>
      </c>
      <c r="J8" s="641"/>
    </row>
    <row r="9" spans="1:13" ht="3" customHeight="1">
      <c r="B9" s="157"/>
      <c r="E9" s="157"/>
      <c r="F9" s="157"/>
    </row>
    <row r="10" spans="1:13">
      <c r="B10" s="420" t="s">
        <v>366</v>
      </c>
      <c r="C10" s="648">
        <v>43101</v>
      </c>
      <c r="D10" s="649"/>
      <c r="E10" s="650" t="s">
        <v>288</v>
      </c>
      <c r="F10" s="673"/>
      <c r="G10" s="640" t="s">
        <v>37</v>
      </c>
      <c r="H10" s="654"/>
      <c r="I10" s="654"/>
      <c r="J10" s="641"/>
    </row>
    <row r="11" spans="1:13" ht="5.25" customHeight="1"/>
    <row r="12" spans="1:13" ht="15" customHeight="1">
      <c r="B12" s="420" t="s">
        <v>282</v>
      </c>
      <c r="C12" s="655" t="s">
        <v>268</v>
      </c>
      <c r="D12" s="655"/>
      <c r="E12" s="650" t="s">
        <v>231</v>
      </c>
      <c r="F12" s="642"/>
      <c r="G12" s="653" t="s">
        <v>419</v>
      </c>
      <c r="H12" s="653"/>
      <c r="I12" s="653"/>
      <c r="J12" s="653"/>
    </row>
    <row r="13" spans="1:13" ht="5.25" customHeight="1"/>
    <row r="14" spans="1:13" ht="15.75" customHeight="1">
      <c r="B14" s="639" t="s">
        <v>289</v>
      </c>
      <c r="C14" s="639"/>
      <c r="D14" s="639"/>
      <c r="E14" s="639"/>
      <c r="F14" s="639"/>
      <c r="G14" s="639"/>
      <c r="H14" s="639"/>
      <c r="I14" s="639"/>
      <c r="J14" s="639"/>
    </row>
    <row r="15" spans="1:13" ht="12" customHeight="1"/>
    <row r="16" spans="1:13" s="238" customFormat="1" ht="30" customHeight="1">
      <c r="A16" s="416"/>
      <c r="B16" s="239" t="s">
        <v>290</v>
      </c>
      <c r="C16" s="441" t="s">
        <v>60</v>
      </c>
      <c r="D16" s="273" t="s">
        <v>291</v>
      </c>
      <c r="E16" s="333">
        <f>VLOOKUP(C16,Setup!$F$8:$H$21,2,0)</f>
        <v>43101</v>
      </c>
      <c r="F16" s="274" t="s">
        <v>292</v>
      </c>
      <c r="G16" s="333">
        <f>VLOOKUP(C16,Setup!$F$8:$H$21,3,0)</f>
        <v>43281</v>
      </c>
      <c r="H16" s="646" t="s">
        <v>408</v>
      </c>
      <c r="I16" s="647"/>
      <c r="J16" s="329">
        <v>43353</v>
      </c>
    </row>
    <row r="17" spans="2:35" ht="3" customHeight="1"/>
    <row r="18" spans="2:35">
      <c r="B18" s="672" t="s">
        <v>369</v>
      </c>
      <c r="C18" s="673"/>
      <c r="D18" s="674" t="s">
        <v>418</v>
      </c>
      <c r="E18" s="674"/>
      <c r="F18" s="674"/>
      <c r="G18" s="159"/>
      <c r="H18" s="159"/>
      <c r="I18" s="159"/>
      <c r="J18" s="159"/>
    </row>
    <row r="19" spans="2:35" ht="30" customHeight="1"/>
    <row r="20" spans="2:35" ht="21" customHeight="1"/>
    <row r="21" spans="2:35" ht="15.75" customHeight="1">
      <c r="B21" s="639" t="s">
        <v>293</v>
      </c>
      <c r="C21" s="639"/>
      <c r="D21" s="639"/>
      <c r="E21" s="639"/>
      <c r="F21" s="639"/>
      <c r="G21" s="639"/>
      <c r="H21" s="639"/>
      <c r="I21" s="639"/>
      <c r="J21" s="639"/>
    </row>
    <row r="22" spans="2:35">
      <c r="B22" s="157" t="s">
        <v>410</v>
      </c>
      <c r="E22" s="160"/>
      <c r="F22" s="160"/>
      <c r="I22" s="160"/>
      <c r="J22" s="160"/>
    </row>
    <row r="23" spans="2:35" ht="3" customHeight="1"/>
    <row r="24" spans="2:35" ht="15.75" thickBot="1">
      <c r="B24" s="420" t="s">
        <v>294</v>
      </c>
      <c r="C24" s="205"/>
      <c r="D24" s="642" t="s">
        <v>295</v>
      </c>
      <c r="E24" s="642"/>
      <c r="F24" s="206"/>
      <c r="G24" s="642" t="s">
        <v>296</v>
      </c>
      <c r="H24" s="642"/>
      <c r="I24" s="669"/>
      <c r="J24" s="670"/>
      <c r="N24" s="15"/>
    </row>
    <row r="25" spans="2:35" ht="26.25" customHeight="1" thickBot="1">
      <c r="B25" s="56" t="s">
        <v>294</v>
      </c>
      <c r="C25" s="57"/>
      <c r="D25" s="57"/>
      <c r="E25" s="57"/>
      <c r="F25" s="57"/>
      <c r="G25" s="57"/>
      <c r="H25" s="147"/>
      <c r="I25" s="58"/>
      <c r="J25" s="58"/>
      <c r="K25" s="147" t="s">
        <v>409</v>
      </c>
      <c r="L25" s="57"/>
      <c r="M25" s="57"/>
      <c r="N25" s="212"/>
      <c r="O25" s="60"/>
      <c r="AI25" s="76"/>
    </row>
    <row r="26" spans="2:35">
      <c r="B26" s="661" t="s">
        <v>297</v>
      </c>
      <c r="C26" s="662"/>
      <c r="D26" s="442" t="s">
        <v>2</v>
      </c>
      <c r="E26" s="60"/>
      <c r="F26" s="60"/>
      <c r="G26" s="60"/>
      <c r="H26" s="60"/>
      <c r="I26" s="60"/>
      <c r="J26" s="61"/>
      <c r="K26" s="60"/>
      <c r="L26" s="60"/>
      <c r="M26" s="60"/>
      <c r="N26" s="60"/>
      <c r="O26" s="60"/>
      <c r="AI26" s="76"/>
    </row>
    <row r="27" spans="2:35" ht="18.75">
      <c r="B27" s="59" t="s">
        <v>298</v>
      </c>
      <c r="C27" s="60"/>
      <c r="D27" s="60"/>
      <c r="E27" s="60"/>
      <c r="F27" s="60"/>
      <c r="G27" s="60"/>
      <c r="H27" s="60"/>
      <c r="I27" s="60"/>
      <c r="J27" s="61"/>
      <c r="K27" s="60"/>
      <c r="L27" s="60"/>
      <c r="M27" s="60"/>
      <c r="N27" s="60"/>
      <c r="O27" s="60"/>
      <c r="AI27" s="76"/>
    </row>
    <row r="28" spans="2:35" ht="15.75" thickBot="1">
      <c r="P28" s="238"/>
      <c r="Q28" s="238"/>
    </row>
    <row r="29" spans="2:35" ht="15.75" thickBot="1">
      <c r="B29" s="663" t="s">
        <v>302</v>
      </c>
      <c r="C29" s="664"/>
      <c r="D29" s="664"/>
      <c r="E29" s="664"/>
      <c r="F29" s="664"/>
      <c r="G29" s="664"/>
      <c r="H29" s="664"/>
      <c r="I29" s="664"/>
      <c r="J29" s="664"/>
      <c r="K29" s="664"/>
      <c r="L29" s="664"/>
      <c r="M29" s="664"/>
      <c r="N29" s="665"/>
      <c r="P29" s="443"/>
      <c r="Q29" s="266"/>
      <c r="R29" s="444">
        <f>+C33</f>
        <v>2030552.71</v>
      </c>
      <c r="S29" s="445"/>
    </row>
    <row r="30" spans="2:35">
      <c r="B30" s="62" t="s">
        <v>299</v>
      </c>
      <c r="C30" s="446" t="s">
        <v>60</v>
      </c>
      <c r="D30" s="446" t="s">
        <v>61</v>
      </c>
      <c r="E30" s="446" t="s">
        <v>62</v>
      </c>
      <c r="F30" s="446" t="s">
        <v>63</v>
      </c>
      <c r="G30" s="446" t="s">
        <v>70</v>
      </c>
      <c r="H30" s="446" t="s">
        <v>71</v>
      </c>
      <c r="I30" s="446" t="s">
        <v>72</v>
      </c>
      <c r="J30" s="446" t="s">
        <v>73</v>
      </c>
      <c r="K30" s="446" t="s">
        <v>74</v>
      </c>
      <c r="L30" s="446" t="s">
        <v>75</v>
      </c>
      <c r="M30" s="446" t="s">
        <v>76</v>
      </c>
      <c r="N30" s="447" t="s">
        <v>230</v>
      </c>
      <c r="O30" s="448" t="s">
        <v>305</v>
      </c>
      <c r="P30" s="443"/>
      <c r="Q30" s="266"/>
      <c r="R30" s="444">
        <f>+D33</f>
        <v>0</v>
      </c>
      <c r="S30" s="445"/>
    </row>
    <row r="31" spans="2:35">
      <c r="B31" s="154" t="str">
        <f>CONCATENATE("Buget (in ",'Introducerea datelor'!$D$26,")")</f>
        <v>Buget (in €)</v>
      </c>
      <c r="C31" s="275">
        <v>2030552.71</v>
      </c>
      <c r="D31" s="275"/>
      <c r="E31" s="201"/>
      <c r="F31" s="258"/>
      <c r="G31" s="201"/>
      <c r="H31" s="258"/>
      <c r="I31" s="258"/>
      <c r="J31" s="201"/>
      <c r="K31" s="201"/>
      <c r="L31" s="201"/>
      <c r="M31" s="201"/>
      <c r="N31" s="201"/>
      <c r="O31" s="706">
        <f>LOOKUP(2,1/(C34:N34&gt;0),C34:N34)/I6</f>
        <v>0.23713551483016895</v>
      </c>
      <c r="P31" s="449"/>
      <c r="Q31" s="266"/>
      <c r="R31" s="444">
        <f>+E33</f>
        <v>0</v>
      </c>
      <c r="S31" s="445"/>
    </row>
    <row r="32" spans="2:35">
      <c r="B32" s="62" t="str">
        <f>CONCATENATE("Debursări de către FG (in ", $D$26,")")</f>
        <v>Debursări de către FG (in €)</v>
      </c>
      <c r="C32" s="275">
        <v>2829411.8</v>
      </c>
      <c r="D32" s="275"/>
      <c r="E32" s="315"/>
      <c r="F32" s="316"/>
      <c r="G32" s="202"/>
      <c r="H32" s="259"/>
      <c r="I32" s="258"/>
      <c r="J32" s="201"/>
      <c r="K32" s="201"/>
      <c r="L32" s="201"/>
      <c r="M32" s="201"/>
      <c r="N32" s="201"/>
      <c r="O32" s="707"/>
      <c r="P32" s="443"/>
      <c r="Q32" s="266"/>
      <c r="R32" s="444">
        <f>+F33</f>
        <v>0</v>
      </c>
      <c r="S32" s="445"/>
    </row>
    <row r="33" spans="2:35">
      <c r="B33" s="63" t="s">
        <v>300</v>
      </c>
      <c r="C33" s="450">
        <f>C31</f>
        <v>2030552.71</v>
      </c>
      <c r="D33" s="260">
        <f>IF(AND(D31=0,D32=0),0,+C33+D31)</f>
        <v>0</v>
      </c>
      <c r="E33" s="260">
        <f t="shared" ref="E33:G33" si="0">IF(AND(E31=0,E32=0),0,+D33+E31)</f>
        <v>0</v>
      </c>
      <c r="F33" s="260">
        <f t="shared" si="0"/>
        <v>0</v>
      </c>
      <c r="G33" s="260">
        <f t="shared" si="0"/>
        <v>0</v>
      </c>
      <c r="H33" s="260">
        <f>IF(AND(H31=0,H32=0),0,+G33+H31)</f>
        <v>0</v>
      </c>
      <c r="I33" s="260">
        <f t="shared" ref="I33:N33" si="1">IF(AND(I31=0,I32=0),0,+H33+I31)</f>
        <v>0</v>
      </c>
      <c r="J33" s="203">
        <f t="shared" si="1"/>
        <v>0</v>
      </c>
      <c r="K33" s="203">
        <f t="shared" si="1"/>
        <v>0</v>
      </c>
      <c r="L33" s="203">
        <f t="shared" si="1"/>
        <v>0</v>
      </c>
      <c r="M33" s="203">
        <f t="shared" si="1"/>
        <v>0</v>
      </c>
      <c r="N33" s="203">
        <f t="shared" si="1"/>
        <v>0</v>
      </c>
      <c r="O33" s="707"/>
      <c r="P33" s="451"/>
      <c r="Q33" s="266"/>
      <c r="R33" s="444">
        <f>+G33</f>
        <v>0</v>
      </c>
      <c r="S33" s="445"/>
    </row>
    <row r="34" spans="2:35" ht="15.75" thickBot="1">
      <c r="B34" s="64" t="s">
        <v>301</v>
      </c>
      <c r="C34" s="276">
        <f>C32</f>
        <v>2829411.8</v>
      </c>
      <c r="D34" s="261">
        <f t="shared" ref="D34" si="2">IF(AND(D31=0,D32=0),0,+C34+D32)</f>
        <v>0</v>
      </c>
      <c r="E34" s="261">
        <f t="shared" ref="E34" si="3">IF(AND(E31=0,E32=0),0,+D34+E32)</f>
        <v>0</v>
      </c>
      <c r="F34" s="261">
        <f t="shared" ref="F34" si="4">IF(AND(F31=0,F32=0),0,+E34+F32)</f>
        <v>0</v>
      </c>
      <c r="G34" s="261">
        <f t="shared" ref="G34" si="5">IF(AND(G31=0,G32=0),0,+F34+G32)</f>
        <v>0</v>
      </c>
      <c r="H34" s="261">
        <f t="shared" ref="H34:N34" si="6">IF(AND(H31=0,H32=0),0,+G34+H32)</f>
        <v>0</v>
      </c>
      <c r="I34" s="261">
        <f t="shared" si="6"/>
        <v>0</v>
      </c>
      <c r="J34" s="204">
        <f t="shared" si="6"/>
        <v>0</v>
      </c>
      <c r="K34" s="204">
        <f t="shared" si="6"/>
        <v>0</v>
      </c>
      <c r="L34" s="204">
        <f t="shared" si="6"/>
        <v>0</v>
      </c>
      <c r="M34" s="204">
        <f t="shared" si="6"/>
        <v>0</v>
      </c>
      <c r="N34" s="204">
        <f t="shared" si="6"/>
        <v>0</v>
      </c>
      <c r="O34" s="708"/>
      <c r="P34" s="451"/>
      <c r="Q34" s="266"/>
      <c r="R34" s="444">
        <f>+H33</f>
        <v>0</v>
      </c>
      <c r="S34" s="445"/>
    </row>
    <row r="35" spans="2:35">
      <c r="C35" s="189">
        <f>+IF(AND(C30=$C$16,C33&lt;&gt;0),C34/C33,0)</f>
        <v>1.3934195286169153</v>
      </c>
      <c r="D35" s="189">
        <f t="shared" ref="D35:N35" si="7">+IF(AND(D30=$C$16,D33&lt;&gt;0),D34/D33,0)</f>
        <v>0</v>
      </c>
      <c r="E35" s="189">
        <f t="shared" si="7"/>
        <v>0</v>
      </c>
      <c r="F35" s="189">
        <f>+IF(AND(F30=$C$16,F33&lt;&gt;0),F34/F33,0)</f>
        <v>0</v>
      </c>
      <c r="G35" s="189">
        <f t="shared" si="7"/>
        <v>0</v>
      </c>
      <c r="H35" s="189">
        <f t="shared" si="7"/>
        <v>0</v>
      </c>
      <c r="I35" s="189">
        <f t="shared" si="7"/>
        <v>0</v>
      </c>
      <c r="J35" s="189">
        <f t="shared" si="7"/>
        <v>0</v>
      </c>
      <c r="K35" s="189">
        <f t="shared" si="7"/>
        <v>0</v>
      </c>
      <c r="L35" s="189">
        <f t="shared" si="7"/>
        <v>0</v>
      </c>
      <c r="M35" s="189">
        <f t="shared" si="7"/>
        <v>0</v>
      </c>
      <c r="N35" s="189">
        <f t="shared" si="7"/>
        <v>0</v>
      </c>
      <c r="O35" s="313"/>
      <c r="P35" s="307"/>
      <c r="Q35" s="266"/>
      <c r="R35" s="444">
        <f>+I33</f>
        <v>0</v>
      </c>
      <c r="S35" s="445"/>
    </row>
    <row r="36" spans="2:35" ht="18.75">
      <c r="B36" s="59" t="s">
        <v>303</v>
      </c>
      <c r="E36" s="196"/>
      <c r="G36" s="145"/>
      <c r="N36" s="452"/>
      <c r="O36" s="452"/>
      <c r="P36" s="238"/>
      <c r="Q36" s="238"/>
      <c r="AI36" s="15"/>
    </row>
    <row r="37" spans="2:35" ht="15.75" thickBot="1">
      <c r="M37" s="430"/>
      <c r="N37" s="453"/>
      <c r="O37" s="453"/>
      <c r="P37" s="238"/>
      <c r="Q37" s="238"/>
    </row>
    <row r="38" spans="2:35" ht="30" customHeight="1">
      <c r="B38" s="207" t="s">
        <v>304</v>
      </c>
      <c r="C38" s="208" t="str">
        <f>CONCATENATE("Bugetul Cumulativ (în ",'Introducerea datelor'!$D$26,")")</f>
        <v>Bugetul Cumulativ (în €)</v>
      </c>
      <c r="D38" s="209" t="str">
        <f>CONCATENATE("Cheltuielile Cumulative (în ",'Introducerea datelor'!$D$26,")")</f>
        <v>Cheltuielile Cumulative (în €)</v>
      </c>
      <c r="E38" s="314" t="s">
        <v>429</v>
      </c>
      <c r="F38" s="161" t="s">
        <v>430</v>
      </c>
      <c r="J38" s="68"/>
      <c r="K38" s="68"/>
      <c r="N38" s="3"/>
      <c r="O38" s="3"/>
      <c r="Q38" s="238"/>
      <c r="AE38" s="15"/>
      <c r="AF38" s="238"/>
    </row>
    <row r="39" spans="2:35" ht="46.5" customHeight="1">
      <c r="B39" s="454" t="s">
        <v>436</v>
      </c>
      <c r="C39" s="482">
        <v>81306.37</v>
      </c>
      <c r="D39" s="483">
        <v>44967.38</v>
      </c>
      <c r="E39" s="415">
        <f>C39-D39</f>
        <v>36338.99</v>
      </c>
      <c r="F39" s="319">
        <f>IFERROR(D39/C39,"")</f>
        <v>0.55306097172952129</v>
      </c>
      <c r="G39" s="198"/>
      <c r="J39" s="69"/>
      <c r="K39" s="69"/>
      <c r="N39" s="3"/>
      <c r="O39" s="3"/>
      <c r="Q39" s="238"/>
      <c r="AE39" s="15"/>
      <c r="AF39" s="238"/>
    </row>
    <row r="40" spans="2:35" ht="49.5" customHeight="1">
      <c r="B40" s="454" t="s">
        <v>437</v>
      </c>
      <c r="C40" s="482">
        <v>603188.44999999995</v>
      </c>
      <c r="D40" s="483">
        <v>212685.9</v>
      </c>
      <c r="E40" s="415">
        <f t="shared" ref="E40:E49" si="8">C40-D40</f>
        <v>390502.54999999993</v>
      </c>
      <c r="F40" s="319">
        <f t="shared" ref="F40:F49" si="9">IFERROR(D40/C40,"")</f>
        <v>0.35260273965789629</v>
      </c>
      <c r="G40" s="198"/>
      <c r="K40" s="69"/>
      <c r="N40" s="3"/>
      <c r="O40" s="3"/>
      <c r="Q40" s="238"/>
      <c r="AE40" s="15"/>
      <c r="AF40" s="238"/>
    </row>
    <row r="41" spans="2:35" ht="48" customHeight="1">
      <c r="B41" s="454" t="s">
        <v>421</v>
      </c>
      <c r="C41" s="484">
        <v>26193.29</v>
      </c>
      <c r="D41" s="483">
        <v>21408.23</v>
      </c>
      <c r="E41" s="415">
        <f t="shared" si="8"/>
        <v>4785.0600000000013</v>
      </c>
      <c r="F41" s="319">
        <f t="shared" si="9"/>
        <v>0.81731733585204447</v>
      </c>
      <c r="K41" s="69"/>
      <c r="N41" s="3"/>
      <c r="O41" s="3"/>
      <c r="Q41" s="238"/>
      <c r="AE41" s="15"/>
      <c r="AF41" s="238"/>
    </row>
    <row r="42" spans="2:35" ht="48" customHeight="1">
      <c r="B42" s="454" t="s">
        <v>438</v>
      </c>
      <c r="C42" s="484">
        <v>803124.29</v>
      </c>
      <c r="D42" s="483">
        <v>577492.89</v>
      </c>
      <c r="E42" s="415">
        <f t="shared" ref="E42:E44" si="10">C42-D42</f>
        <v>225631.40000000002</v>
      </c>
      <c r="F42" s="319">
        <f t="shared" si="9"/>
        <v>0.71905793062241963</v>
      </c>
      <c r="K42" s="69"/>
      <c r="N42" s="3"/>
      <c r="O42" s="3"/>
      <c r="Q42" s="238"/>
      <c r="AE42" s="15"/>
      <c r="AF42" s="238"/>
    </row>
    <row r="43" spans="2:35" ht="48" customHeight="1">
      <c r="B43" s="454" t="s">
        <v>439</v>
      </c>
      <c r="C43" s="484">
        <v>296554.33</v>
      </c>
      <c r="D43" s="483">
        <v>479609.59999999998</v>
      </c>
      <c r="E43" s="415">
        <f t="shared" si="10"/>
        <v>-183055.26999999996</v>
      </c>
      <c r="F43" s="319">
        <f t="shared" si="9"/>
        <v>1.6172739747215963</v>
      </c>
      <c r="K43" s="69"/>
      <c r="N43" s="3"/>
      <c r="O43" s="3"/>
      <c r="Q43" s="238"/>
      <c r="AE43" s="15"/>
      <c r="AF43" s="238"/>
    </row>
    <row r="44" spans="2:35" ht="48" customHeight="1">
      <c r="B44" s="454" t="s">
        <v>440</v>
      </c>
      <c r="C44" s="484">
        <v>35499</v>
      </c>
      <c r="D44" s="483">
        <v>31779.45</v>
      </c>
      <c r="E44" s="415">
        <f t="shared" si="10"/>
        <v>3719.5499999999993</v>
      </c>
      <c r="F44" s="319">
        <f t="shared" si="9"/>
        <v>0.89522099214062367</v>
      </c>
      <c r="H44" s="430"/>
      <c r="K44" s="69"/>
      <c r="N44" s="3"/>
      <c r="O44" s="3"/>
      <c r="Q44" s="238"/>
      <c r="AE44" s="15"/>
      <c r="AF44" s="238"/>
    </row>
    <row r="45" spans="2:35" ht="24.75" customHeight="1">
      <c r="B45" s="455" t="s">
        <v>422</v>
      </c>
      <c r="C45" s="484">
        <v>184686.98</v>
      </c>
      <c r="D45" s="483">
        <v>190541.05</v>
      </c>
      <c r="E45" s="415">
        <f t="shared" si="8"/>
        <v>-5854.0699999999779</v>
      </c>
      <c r="F45" s="319">
        <f t="shared" si="9"/>
        <v>1.0316972533743309</v>
      </c>
      <c r="K45" s="15"/>
      <c r="N45" s="3"/>
      <c r="O45" s="3"/>
      <c r="Q45" s="238"/>
      <c r="AE45" s="15"/>
      <c r="AF45" s="238"/>
    </row>
    <row r="46" spans="2:35" ht="26.25" customHeight="1">
      <c r="B46" s="455" t="s">
        <v>428</v>
      </c>
      <c r="C46" s="484"/>
      <c r="D46" s="483"/>
      <c r="E46" s="415"/>
      <c r="F46" s="319" t="str">
        <f t="shared" si="9"/>
        <v/>
      </c>
      <c r="K46" s="15"/>
      <c r="N46" s="3"/>
      <c r="O46" s="3"/>
      <c r="Q46" s="238"/>
      <c r="AE46" s="15"/>
      <c r="AF46" s="238"/>
    </row>
    <row r="47" spans="2:35">
      <c r="B47" s="455" t="s">
        <v>412</v>
      </c>
      <c r="C47" s="484"/>
      <c r="D47" s="483">
        <v>7809.98</v>
      </c>
      <c r="E47" s="415">
        <f t="shared" si="8"/>
        <v>-7809.98</v>
      </c>
      <c r="F47" s="319" t="str">
        <f t="shared" si="9"/>
        <v/>
      </c>
      <c r="J47" s="15"/>
      <c r="K47" s="15"/>
      <c r="N47" s="3"/>
      <c r="O47" s="3"/>
      <c r="Q47" s="238"/>
      <c r="AE47" s="238"/>
      <c r="AF47" s="238"/>
    </row>
    <row r="48" spans="2:35">
      <c r="B48" s="456"/>
      <c r="C48" s="485"/>
      <c r="D48" s="486"/>
      <c r="E48" s="415"/>
      <c r="F48" s="319" t="str">
        <f t="shared" si="9"/>
        <v/>
      </c>
      <c r="J48" s="15"/>
      <c r="K48" s="15"/>
      <c r="N48" s="3"/>
      <c r="O48" s="3"/>
      <c r="Q48" s="238"/>
      <c r="AE48" s="238"/>
      <c r="AF48" s="238"/>
    </row>
    <row r="49" spans="2:35" ht="15.75" thickBot="1">
      <c r="B49" s="210" t="s">
        <v>39</v>
      </c>
      <c r="C49" s="310">
        <f>SUM(C39:C48)</f>
        <v>2030552.71</v>
      </c>
      <c r="D49" s="317">
        <f>SUM(D39:D48)</f>
        <v>1566294.48</v>
      </c>
      <c r="E49" s="415">
        <f t="shared" si="8"/>
        <v>464258.23</v>
      </c>
      <c r="F49" s="319">
        <f t="shared" si="9"/>
        <v>0.77136361557440192</v>
      </c>
      <c r="N49" s="127"/>
      <c r="O49" s="444"/>
      <c r="P49" s="445"/>
      <c r="Q49" s="238"/>
      <c r="AE49" s="238"/>
      <c r="AF49" s="238"/>
    </row>
    <row r="50" spans="2:35">
      <c r="C50" s="124"/>
      <c r="D50" s="124"/>
      <c r="E50" s="150"/>
      <c r="F50" s="124"/>
      <c r="G50" s="124"/>
      <c r="H50" s="124"/>
      <c r="I50" s="124"/>
      <c r="J50" s="124"/>
      <c r="K50" s="124"/>
      <c r="L50" s="124"/>
      <c r="M50" s="124"/>
      <c r="N50" s="124"/>
      <c r="O50" s="124"/>
      <c r="P50" s="126"/>
      <c r="Q50" s="266"/>
      <c r="R50" s="444"/>
      <c r="S50" s="445"/>
    </row>
    <row r="51" spans="2:35" ht="18.75">
      <c r="B51" s="59" t="s">
        <v>306</v>
      </c>
      <c r="P51" s="445"/>
      <c r="Q51" s="266"/>
      <c r="R51" s="444">
        <f>+J33</f>
        <v>0</v>
      </c>
      <c r="S51" s="445"/>
    </row>
    <row r="52" spans="2:35" ht="15.75" thickBot="1">
      <c r="P52" s="445"/>
      <c r="Q52" s="127"/>
      <c r="R52" s="444">
        <f>+K33</f>
        <v>0</v>
      </c>
      <c r="S52" s="445"/>
    </row>
    <row r="53" spans="2:35" ht="35.25" customHeight="1">
      <c r="B53" s="164"/>
      <c r="C53" s="165" t="s">
        <v>311</v>
      </c>
      <c r="D53" s="165" t="s">
        <v>312</v>
      </c>
      <c r="E53" s="217" t="str">
        <f>CONCATENATE("Total Cheltuit și debursat (în ",D26,")")</f>
        <v>Total Cheltuit și debursat (în €)</v>
      </c>
      <c r="F53" s="238"/>
      <c r="G53" s="267"/>
      <c r="H53" s="161"/>
      <c r="I53" s="155"/>
      <c r="J53" s="155"/>
      <c r="K53" s="155"/>
      <c r="L53" s="155"/>
      <c r="M53" s="155"/>
      <c r="N53" s="155"/>
      <c r="O53" s="445"/>
      <c r="P53" s="127"/>
      <c r="Q53" s="444">
        <f>+M33</f>
        <v>0</v>
      </c>
      <c r="R53" s="445"/>
      <c r="AH53" s="15"/>
    </row>
    <row r="54" spans="2:35">
      <c r="B54" s="162" t="s">
        <v>307</v>
      </c>
      <c r="C54" s="487"/>
      <c r="D54" s="487">
        <v>2829411.8</v>
      </c>
      <c r="E54" s="311">
        <f>+D54+C54</f>
        <v>2829411.8</v>
      </c>
      <c r="F54" s="238"/>
      <c r="G54" s="268"/>
      <c r="H54" s="67"/>
      <c r="I54" s="65"/>
      <c r="J54" s="457"/>
      <c r="K54" s="458"/>
      <c r="L54" s="66"/>
      <c r="M54" s="66"/>
      <c r="N54" s="66"/>
      <c r="O54" s="445"/>
      <c r="P54" s="445"/>
      <c r="Q54" s="445"/>
      <c r="R54" s="445"/>
      <c r="AH54" s="15"/>
    </row>
    <row r="55" spans="2:35">
      <c r="B55" s="162" t="s">
        <v>308</v>
      </c>
      <c r="C55" s="488"/>
      <c r="D55" s="489">
        <v>1566294.48</v>
      </c>
      <c r="E55" s="311">
        <f>+D55+C55</f>
        <v>1566294.48</v>
      </c>
      <c r="F55" s="238"/>
      <c r="G55" s="269"/>
      <c r="H55" s="67"/>
      <c r="I55" s="65"/>
      <c r="J55" s="457"/>
      <c r="K55" s="457"/>
      <c r="L55" s="66"/>
      <c r="M55" s="66"/>
      <c r="N55" s="66"/>
      <c r="O55" s="445"/>
      <c r="P55" s="445"/>
      <c r="Q55" s="445"/>
      <c r="R55" s="445"/>
      <c r="AH55" s="15"/>
    </row>
    <row r="56" spans="2:35">
      <c r="B56" s="162" t="s">
        <v>309</v>
      </c>
      <c r="C56" s="488"/>
      <c r="D56" s="488">
        <v>237737.87</v>
      </c>
      <c r="E56" s="311">
        <f>+D56+C56</f>
        <v>237737.87</v>
      </c>
      <c r="F56" s="238"/>
      <c r="G56" s="268"/>
      <c r="H56" s="67"/>
      <c r="I56" s="65"/>
      <c r="J56" s="457"/>
      <c r="K56" s="458"/>
      <c r="L56" s="66"/>
      <c r="M56" s="66"/>
      <c r="N56" s="66"/>
      <c r="O56" s="3"/>
      <c r="AH56" s="15"/>
    </row>
    <row r="57" spans="2:35" ht="15.75" thickBot="1">
      <c r="B57" s="163" t="s">
        <v>310</v>
      </c>
      <c r="C57" s="490"/>
      <c r="D57" s="490">
        <v>227452.2</v>
      </c>
      <c r="E57" s="312">
        <f>+D57+C57</f>
        <v>227452.2</v>
      </c>
      <c r="F57" s="238"/>
      <c r="G57" s="270"/>
      <c r="H57" s="459"/>
      <c r="I57" s="67"/>
      <c r="J57" s="67"/>
      <c r="K57" s="67"/>
      <c r="L57" s="66"/>
      <c r="M57" s="66"/>
      <c r="N57" s="66"/>
      <c r="O57" s="3"/>
      <c r="AH57" s="15"/>
    </row>
    <row r="58" spans="2:35" ht="15.75" customHeight="1">
      <c r="E58" s="318"/>
      <c r="F58" s="15"/>
      <c r="AI58" s="15"/>
    </row>
    <row r="59" spans="2:35">
      <c r="D59" s="153"/>
    </row>
    <row r="60" spans="2:35" ht="18.75">
      <c r="B60" s="59" t="s">
        <v>371</v>
      </c>
    </row>
    <row r="61" spans="2:35" ht="15.75" thickBot="1"/>
    <row r="62" spans="2:35">
      <c r="B62" s="666" t="s">
        <v>313</v>
      </c>
      <c r="C62" s="667"/>
      <c r="D62" s="668"/>
      <c r="M62" s="238"/>
      <c r="O62" s="3"/>
    </row>
    <row r="63" spans="2:35">
      <c r="B63" s="70"/>
      <c r="C63" s="167" t="s">
        <v>314</v>
      </c>
      <c r="D63" s="168" t="s">
        <v>315</v>
      </c>
      <c r="E63" s="238"/>
      <c r="M63" s="238"/>
      <c r="O63" s="3"/>
    </row>
    <row r="64" spans="2:35">
      <c r="B64" s="71" t="s">
        <v>316</v>
      </c>
      <c r="C64" s="491">
        <v>60</v>
      </c>
      <c r="D64" s="492">
        <v>60</v>
      </c>
      <c r="E64" s="238"/>
      <c r="F64" s="238"/>
      <c r="M64" s="238"/>
      <c r="O64" s="3"/>
    </row>
    <row r="65" spans="2:30">
      <c r="B65" s="166" t="s">
        <v>317</v>
      </c>
      <c r="C65" s="491">
        <v>5</v>
      </c>
      <c r="D65" s="492">
        <v>5</v>
      </c>
      <c r="H65" s="67"/>
      <c r="I65" s="67"/>
      <c r="M65" s="238"/>
      <c r="O65" s="3"/>
    </row>
    <row r="66" spans="2:30" ht="15.75" thickBot="1">
      <c r="B66" s="72" t="s">
        <v>318</v>
      </c>
      <c r="C66" s="493">
        <v>5</v>
      </c>
      <c r="D66" s="494">
        <v>5</v>
      </c>
      <c r="H66" s="67"/>
      <c r="I66" s="67"/>
      <c r="M66" s="238"/>
      <c r="O66" s="3"/>
    </row>
    <row r="68" spans="2:30" ht="15.75" thickBot="1">
      <c r="L68" s="213"/>
      <c r="AC68" s="2"/>
      <c r="AD68" s="2"/>
    </row>
    <row r="69" spans="2:30" ht="19.5" thickBot="1">
      <c r="B69" s="73" t="s">
        <v>320</v>
      </c>
      <c r="C69" s="74"/>
      <c r="D69" s="74"/>
      <c r="E69" s="74"/>
      <c r="F69" s="74"/>
      <c r="G69" s="74" t="s">
        <v>420</v>
      </c>
      <c r="H69" s="232"/>
      <c r="I69" s="74"/>
      <c r="J69" s="75"/>
      <c r="K69" s="75"/>
      <c r="L69" s="214"/>
      <c r="M69" s="215"/>
      <c r="N69" s="460"/>
      <c r="O69" s="460"/>
      <c r="P69" s="460"/>
      <c r="S69" s="76"/>
      <c r="AC69" s="2"/>
      <c r="AD69" s="2"/>
    </row>
    <row r="70" spans="2:30" ht="18.75">
      <c r="B70" s="77"/>
      <c r="C70" s="76"/>
      <c r="D70" s="76"/>
      <c r="E70" s="76"/>
      <c r="F70" s="76"/>
      <c r="G70" s="76"/>
      <c r="H70" s="76"/>
      <c r="I70" s="76"/>
      <c r="J70" s="76"/>
      <c r="K70" s="78"/>
      <c r="L70" s="78"/>
      <c r="M70" s="76"/>
      <c r="N70" s="460"/>
      <c r="O70" s="460"/>
      <c r="P70" s="460"/>
      <c r="S70" s="76"/>
      <c r="AC70" s="2"/>
      <c r="AD70" s="2"/>
    </row>
    <row r="71" spans="2:30" ht="18.75">
      <c r="B71" s="77" t="s">
        <v>321</v>
      </c>
      <c r="C71" s="76"/>
      <c r="D71" s="76"/>
      <c r="E71" s="76"/>
      <c r="F71" s="76"/>
      <c r="G71" s="76"/>
      <c r="H71" s="76"/>
      <c r="I71" s="76"/>
      <c r="J71" s="76"/>
      <c r="K71" s="78"/>
      <c r="L71" s="78"/>
      <c r="M71" s="76"/>
      <c r="N71" s="460"/>
      <c r="O71" s="460"/>
      <c r="P71" s="460"/>
      <c r="S71" s="76"/>
      <c r="AC71" s="2"/>
      <c r="AD71" s="2"/>
    </row>
    <row r="72" spans="2:30" ht="15.75" thickBot="1">
      <c r="B72" s="2"/>
      <c r="C72" s="79"/>
      <c r="D72" s="79"/>
      <c r="E72" s="79"/>
      <c r="F72" s="79"/>
      <c r="G72" s="79"/>
      <c r="H72" s="2"/>
      <c r="I72" s="79"/>
      <c r="J72" s="2"/>
      <c r="K72" s="2"/>
      <c r="L72" s="2"/>
      <c r="M72" s="2"/>
      <c r="N72" s="15"/>
      <c r="O72" s="2"/>
      <c r="P72" s="2"/>
      <c r="Q72" s="2"/>
      <c r="R72" s="2"/>
      <c r="S72" s="2"/>
      <c r="AD72" s="2"/>
    </row>
    <row r="73" spans="2:30" ht="60">
      <c r="B73" s="723"/>
      <c r="C73" s="724"/>
      <c r="D73" s="80" t="s">
        <v>324</v>
      </c>
      <c r="E73" s="81" t="s">
        <v>325</v>
      </c>
      <c r="F73" s="81" t="s">
        <v>326</v>
      </c>
      <c r="G73" s="82" t="s">
        <v>39</v>
      </c>
      <c r="H73" s="171"/>
      <c r="I73" s="172"/>
      <c r="J73" s="15"/>
      <c r="K73" s="2"/>
      <c r="L73" s="2"/>
      <c r="M73" s="2"/>
      <c r="N73" s="15"/>
      <c r="O73" s="2"/>
      <c r="P73" s="2"/>
      <c r="Q73" s="2"/>
      <c r="R73" s="2"/>
      <c r="S73" s="2"/>
    </row>
    <row r="74" spans="2:30">
      <c r="B74" s="656" t="s">
        <v>322</v>
      </c>
      <c r="C74" s="657"/>
      <c r="D74" s="495"/>
      <c r="E74" s="495">
        <v>2</v>
      </c>
      <c r="F74" s="495"/>
      <c r="G74" s="277">
        <f>SUM(D74:F74)</f>
        <v>2</v>
      </c>
      <c r="H74" s="15"/>
      <c r="I74" s="461"/>
      <c r="J74" s="461"/>
      <c r="K74" s="2" t="s">
        <v>319</v>
      </c>
      <c r="L74" s="2"/>
      <c r="M74" s="2"/>
      <c r="N74" s="15"/>
      <c r="O74" s="2"/>
      <c r="P74" s="2"/>
      <c r="Q74" s="2"/>
      <c r="R74" s="2"/>
      <c r="S74" s="2"/>
    </row>
    <row r="75" spans="2:30" ht="15.75" thickBot="1">
      <c r="B75" s="719" t="s">
        <v>323</v>
      </c>
      <c r="C75" s="720"/>
      <c r="D75" s="496"/>
      <c r="E75" s="496"/>
      <c r="F75" s="496"/>
      <c r="G75" s="85">
        <f>SUM(D75:F75)</f>
        <v>0</v>
      </c>
      <c r="H75" s="15"/>
      <c r="I75" s="15"/>
      <c r="J75" s="15"/>
      <c r="K75" s="2"/>
      <c r="L75" s="2"/>
      <c r="M75" s="2"/>
      <c r="N75" s="2"/>
      <c r="O75" s="2"/>
      <c r="P75" s="2"/>
      <c r="Q75" s="2"/>
      <c r="R75" s="2"/>
      <c r="S75" s="2"/>
    </row>
    <row r="76" spans="2:30">
      <c r="B76" s="2"/>
      <c r="C76" s="2"/>
      <c r="D76" s="2"/>
      <c r="E76" s="2"/>
      <c r="F76" s="2"/>
      <c r="G76" s="2"/>
      <c r="H76" s="2"/>
      <c r="I76" s="2"/>
      <c r="J76" s="2"/>
      <c r="K76" s="2"/>
      <c r="L76" s="2"/>
      <c r="M76" s="2"/>
      <c r="N76" s="2"/>
      <c r="O76" s="2"/>
      <c r="P76" s="2"/>
      <c r="Q76" s="2"/>
      <c r="R76" s="2"/>
      <c r="S76" s="2"/>
    </row>
    <row r="77" spans="2:30">
      <c r="B77" s="2"/>
      <c r="C77" s="2"/>
      <c r="D77" s="2"/>
      <c r="E77" s="2"/>
      <c r="F77" s="2"/>
      <c r="G77" s="2"/>
      <c r="H77" s="2"/>
      <c r="I77" s="2"/>
      <c r="J77" s="2"/>
      <c r="K77" s="2"/>
      <c r="L77" s="2"/>
      <c r="M77" s="2"/>
      <c r="N77" s="2"/>
      <c r="O77" s="2"/>
      <c r="P77" s="2"/>
      <c r="S77" s="2"/>
    </row>
    <row r="78" spans="2:30" ht="18.75">
      <c r="B78" s="77" t="s">
        <v>327</v>
      </c>
      <c r="C78" s="2"/>
      <c r="D78" s="2"/>
      <c r="E78" s="2"/>
      <c r="F78" s="2"/>
      <c r="G78" s="2"/>
      <c r="H78" s="2"/>
      <c r="I78" s="2"/>
      <c r="J78" s="2"/>
      <c r="K78" s="2"/>
      <c r="L78" s="2"/>
      <c r="M78" s="2"/>
      <c r="N78" s="2"/>
      <c r="O78" s="2"/>
      <c r="P78" s="2"/>
      <c r="S78" s="2"/>
    </row>
    <row r="79" spans="2:30" ht="15.75" thickBot="1">
      <c r="B79" s="2"/>
      <c r="C79" s="2"/>
      <c r="D79" s="2"/>
      <c r="E79" s="2"/>
      <c r="F79" s="2"/>
      <c r="G79" s="2"/>
      <c r="H79" s="2"/>
      <c r="I79" s="2"/>
      <c r="J79" s="2"/>
      <c r="K79" s="2"/>
      <c r="L79" s="2"/>
      <c r="M79" s="2"/>
      <c r="N79" s="2"/>
      <c r="O79" s="2"/>
      <c r="P79" s="2"/>
      <c r="S79" s="2"/>
    </row>
    <row r="80" spans="2:30">
      <c r="B80" s="86"/>
      <c r="C80" s="419" t="s">
        <v>328</v>
      </c>
      <c r="D80" s="419" t="s">
        <v>329</v>
      </c>
      <c r="E80" s="87" t="s">
        <v>330</v>
      </c>
      <c r="F80" s="15"/>
      <c r="G80" s="15"/>
      <c r="H80" s="15"/>
      <c r="I80" s="172"/>
      <c r="J80" s="2"/>
      <c r="K80" s="2"/>
      <c r="L80" s="2"/>
      <c r="M80" s="2"/>
      <c r="N80" s="2"/>
      <c r="O80" s="2"/>
      <c r="P80" s="2"/>
      <c r="S80" s="2"/>
    </row>
    <row r="81" spans="2:36" ht="15.75" thickBot="1">
      <c r="B81" s="88" t="s">
        <v>418</v>
      </c>
      <c r="C81" s="497">
        <v>14</v>
      </c>
      <c r="D81" s="497">
        <v>14</v>
      </c>
      <c r="E81" s="278">
        <f>+C81-D81</f>
        <v>0</v>
      </c>
      <c r="F81" s="146"/>
      <c r="G81" s="151"/>
      <c r="H81" s="15"/>
      <c r="I81" s="461"/>
      <c r="J81" s="2"/>
      <c r="K81" s="2"/>
      <c r="L81" s="2"/>
      <c r="M81" s="2"/>
      <c r="N81" s="2"/>
      <c r="O81" s="2"/>
      <c r="P81" s="2"/>
      <c r="S81" s="2"/>
    </row>
    <row r="82" spans="2:36">
      <c r="B82" s="2"/>
      <c r="C82" s="2"/>
      <c r="D82" s="2"/>
      <c r="E82" s="2"/>
      <c r="F82" s="2"/>
      <c r="G82" s="2"/>
      <c r="H82" s="2"/>
      <c r="I82" s="2"/>
      <c r="J82" s="2"/>
      <c r="K82" s="2"/>
      <c r="L82" s="2"/>
      <c r="M82" s="2"/>
      <c r="N82" s="2"/>
      <c r="O82" s="2"/>
      <c r="P82" s="2"/>
      <c r="S82" s="2"/>
    </row>
    <row r="83" spans="2:36" ht="18.75">
      <c r="B83" s="77" t="s">
        <v>331</v>
      </c>
      <c r="C83" s="2"/>
      <c r="D83" s="2"/>
      <c r="E83" s="2"/>
      <c r="F83" s="2"/>
      <c r="G83" s="2"/>
      <c r="H83" s="2"/>
      <c r="I83" s="2"/>
      <c r="J83" s="2"/>
      <c r="K83" s="2"/>
      <c r="L83" s="2"/>
      <c r="M83" s="2"/>
      <c r="N83" s="2"/>
      <c r="O83" s="2"/>
      <c r="P83" s="2"/>
      <c r="S83" s="2"/>
    </row>
    <row r="84" spans="2:36" ht="15.75" thickBot="1">
      <c r="B84" s="2"/>
      <c r="C84" s="2"/>
      <c r="D84" s="2"/>
      <c r="E84" s="2"/>
      <c r="F84" s="2"/>
      <c r="G84" s="2"/>
      <c r="H84" s="2"/>
      <c r="I84" s="2"/>
      <c r="J84" s="2"/>
      <c r="K84" s="2"/>
      <c r="L84" s="2"/>
      <c r="M84" s="2"/>
      <c r="N84" s="2"/>
      <c r="O84" s="2"/>
      <c r="P84" s="2"/>
      <c r="S84" s="2"/>
    </row>
    <row r="85" spans="2:36" ht="30">
      <c r="B85" s="86"/>
      <c r="C85" s="419" t="s">
        <v>332</v>
      </c>
      <c r="D85" s="419" t="s">
        <v>333</v>
      </c>
      <c r="E85" s="419" t="s">
        <v>334</v>
      </c>
      <c r="F85" s="419" t="s">
        <v>335</v>
      </c>
      <c r="G85" s="105" t="s">
        <v>336</v>
      </c>
      <c r="H85" s="152"/>
      <c r="I85" s="172"/>
      <c r="J85" s="2"/>
      <c r="K85" s="2"/>
      <c r="L85" s="2"/>
      <c r="M85" s="2"/>
      <c r="N85" s="2"/>
      <c r="O85" s="2"/>
      <c r="P85" s="2"/>
      <c r="S85" s="2"/>
    </row>
    <row r="86" spans="2:36" ht="15.75" thickBot="1">
      <c r="B86" s="88" t="s">
        <v>77</v>
      </c>
      <c r="C86" s="497">
        <v>2</v>
      </c>
      <c r="D86" s="497">
        <v>2</v>
      </c>
      <c r="E86" s="497">
        <v>2</v>
      </c>
      <c r="F86" s="497">
        <v>2</v>
      </c>
      <c r="G86" s="498">
        <v>2</v>
      </c>
      <c r="H86" s="462"/>
      <c r="I86" s="15"/>
      <c r="J86" s="2"/>
      <c r="K86" s="2"/>
      <c r="L86" s="2"/>
      <c r="M86" s="2"/>
      <c r="N86" s="2"/>
      <c r="O86" s="2"/>
      <c r="P86" s="2"/>
      <c r="S86" s="2"/>
    </row>
    <row r="87" spans="2:36">
      <c r="B87" s="2"/>
      <c r="C87" s="279"/>
      <c r="D87" s="279"/>
      <c r="E87" s="279"/>
      <c r="F87" s="279"/>
      <c r="G87" s="279"/>
      <c r="H87" s="2"/>
      <c r="J87" s="2"/>
      <c r="K87" s="2"/>
      <c r="L87" s="2"/>
      <c r="M87" s="2"/>
      <c r="N87" s="2"/>
      <c r="O87" s="2"/>
      <c r="P87" s="2"/>
      <c r="S87" s="2"/>
    </row>
    <row r="88" spans="2:36" ht="18.75">
      <c r="B88" s="77" t="s">
        <v>337</v>
      </c>
      <c r="C88" s="2"/>
      <c r="D88" s="2"/>
      <c r="E88" s="2"/>
      <c r="F88" s="2"/>
      <c r="G88" s="2"/>
      <c r="H88" s="2"/>
      <c r="I88" s="2"/>
      <c r="J88" s="2"/>
      <c r="K88" s="2"/>
      <c r="L88" s="2"/>
      <c r="M88" s="2"/>
      <c r="N88" s="2"/>
      <c r="O88" s="2"/>
      <c r="P88" s="2"/>
      <c r="S88" s="2"/>
    </row>
    <row r="89" spans="2:36" ht="15.75" thickBot="1">
      <c r="B89" s="2"/>
      <c r="C89" s="2"/>
      <c r="D89" s="2"/>
      <c r="E89" s="2"/>
      <c r="F89" s="2"/>
      <c r="G89" s="2"/>
      <c r="H89" s="2"/>
      <c r="I89" s="2"/>
      <c r="J89" s="2"/>
      <c r="K89" s="2"/>
      <c r="L89" s="2"/>
      <c r="M89" s="2"/>
      <c r="N89" s="2"/>
      <c r="O89" s="2"/>
      <c r="P89" s="2"/>
      <c r="S89" s="2"/>
    </row>
    <row r="90" spans="2:36">
      <c r="B90" s="86"/>
      <c r="C90" s="89" t="s">
        <v>340</v>
      </c>
      <c r="D90" s="89" t="s">
        <v>341</v>
      </c>
      <c r="E90" s="90" t="s">
        <v>342</v>
      </c>
      <c r="F90" s="2"/>
      <c r="G90" s="2"/>
      <c r="H90" s="2"/>
      <c r="I90" s="2"/>
      <c r="J90" s="2"/>
      <c r="K90" s="2"/>
      <c r="L90" s="2"/>
      <c r="N90" s="3"/>
      <c r="O90" s="2"/>
      <c r="AG90" s="238"/>
      <c r="AJ90" s="3"/>
    </row>
    <row r="91" spans="2:36">
      <c r="B91" s="83" t="s">
        <v>338</v>
      </c>
      <c r="C91" s="495">
        <v>8</v>
      </c>
      <c r="D91" s="499">
        <v>8</v>
      </c>
      <c r="E91" s="280">
        <f>C91-D91</f>
        <v>0</v>
      </c>
      <c r="F91" s="2"/>
      <c r="G91" s="2"/>
      <c r="H91" s="2"/>
      <c r="I91" s="2"/>
      <c r="J91" s="2"/>
      <c r="K91" s="2"/>
      <c r="L91" s="2"/>
      <c r="N91" s="3"/>
      <c r="O91" s="2"/>
      <c r="AG91" s="238"/>
      <c r="AJ91" s="3"/>
    </row>
    <row r="92" spans="2:36" ht="15.75" thickBot="1">
      <c r="B92" s="84" t="s">
        <v>339</v>
      </c>
      <c r="C92" s="496">
        <v>4</v>
      </c>
      <c r="D92" s="500">
        <v>4</v>
      </c>
      <c r="E92" s="463">
        <f>C92-D92</f>
        <v>0</v>
      </c>
      <c r="F92" s="2"/>
      <c r="G92" s="2"/>
      <c r="H92" s="2"/>
      <c r="I92" s="2"/>
      <c r="J92" s="2"/>
      <c r="K92" s="2"/>
      <c r="L92" s="2"/>
      <c r="N92" s="3"/>
      <c r="O92" s="2"/>
      <c r="AG92" s="238"/>
      <c r="AJ92" s="3"/>
    </row>
    <row r="93" spans="2:36">
      <c r="B93" s="2"/>
      <c r="C93" s="2"/>
      <c r="D93" s="2"/>
      <c r="E93" s="2"/>
      <c r="F93" s="2"/>
      <c r="G93" s="2"/>
      <c r="H93" s="2"/>
      <c r="I93" s="2"/>
      <c r="J93" s="2"/>
      <c r="K93" s="2"/>
      <c r="L93" s="2"/>
      <c r="M93" s="2"/>
      <c r="N93" s="2"/>
      <c r="O93" s="2"/>
      <c r="P93" s="2"/>
      <c r="S93" s="2"/>
    </row>
    <row r="94" spans="2:36" ht="18.75">
      <c r="B94" s="77" t="s">
        <v>343</v>
      </c>
      <c r="C94" s="2"/>
      <c r="D94" s="2"/>
      <c r="E94" s="2"/>
      <c r="F94" s="2"/>
      <c r="G94" s="2"/>
      <c r="H94" s="2"/>
      <c r="I94" s="2"/>
      <c r="J94" s="2"/>
      <c r="K94" s="2"/>
      <c r="L94" s="2"/>
      <c r="M94" s="2"/>
      <c r="N94" s="2"/>
      <c r="O94" s="2"/>
      <c r="P94" s="2"/>
      <c r="S94" s="2"/>
    </row>
    <row r="95" spans="2:36" ht="15.75" thickBot="1">
      <c r="B95" s="2"/>
      <c r="C95" s="2"/>
      <c r="D95" s="2"/>
      <c r="E95" s="2"/>
      <c r="F95" s="2"/>
      <c r="G95" s="2"/>
      <c r="H95" s="2"/>
      <c r="I95" s="15"/>
      <c r="J95" s="15"/>
      <c r="K95" s="15"/>
      <c r="L95" s="15"/>
      <c r="M95" s="15"/>
      <c r="N95" s="15"/>
      <c r="O95" s="15"/>
      <c r="P95" s="15"/>
      <c r="S95" s="2"/>
    </row>
    <row r="96" spans="2:36">
      <c r="B96" s="129"/>
      <c r="C96" s="464" t="s">
        <v>60</v>
      </c>
      <c r="D96" s="464" t="s">
        <v>61</v>
      </c>
      <c r="E96" s="464" t="s">
        <v>62</v>
      </c>
      <c r="F96" s="464" t="s">
        <v>63</v>
      </c>
      <c r="G96" s="464" t="s">
        <v>70</v>
      </c>
      <c r="H96" s="464" t="s">
        <v>71</v>
      </c>
      <c r="I96" s="464" t="s">
        <v>72</v>
      </c>
      <c r="J96" s="464" t="s">
        <v>73</v>
      </c>
      <c r="K96" s="464" t="s">
        <v>74</v>
      </c>
      <c r="L96" s="464" t="s">
        <v>75</v>
      </c>
      <c r="M96" s="464" t="s">
        <v>76</v>
      </c>
      <c r="N96" s="465" t="s">
        <v>230</v>
      </c>
      <c r="O96" s="15"/>
      <c r="P96" s="15"/>
      <c r="S96" s="2"/>
    </row>
    <row r="97" spans="2:19" ht="15" customHeight="1">
      <c r="B97" s="199" t="s">
        <v>344</v>
      </c>
      <c r="C97" s="501">
        <v>1160869.74</v>
      </c>
      <c r="D97" s="501"/>
      <c r="E97" s="502"/>
      <c r="F97" s="502"/>
      <c r="G97" s="502"/>
      <c r="H97" s="501"/>
      <c r="I97" s="501"/>
      <c r="J97" s="502"/>
      <c r="K97" s="502"/>
      <c r="L97" s="502"/>
      <c r="M97" s="502"/>
      <c r="N97" s="503"/>
      <c r="O97" s="15"/>
      <c r="P97" s="15"/>
      <c r="S97" s="2"/>
    </row>
    <row r="98" spans="2:19" ht="15" customHeight="1">
      <c r="B98" s="199" t="s">
        <v>345</v>
      </c>
      <c r="C98" s="501">
        <v>1079919</v>
      </c>
      <c r="D98" s="501"/>
      <c r="E98" s="502"/>
      <c r="F98" s="502"/>
      <c r="G98" s="502"/>
      <c r="H98" s="501"/>
      <c r="I98" s="501"/>
      <c r="J98" s="502"/>
      <c r="K98" s="502"/>
      <c r="L98" s="502"/>
      <c r="M98" s="502"/>
      <c r="N98" s="503"/>
      <c r="O98" s="15"/>
      <c r="P98" s="15"/>
      <c r="S98" s="2"/>
    </row>
    <row r="99" spans="2:19" ht="15" customHeight="1">
      <c r="B99" s="199" t="s">
        <v>346</v>
      </c>
      <c r="C99" s="501">
        <v>693006.73</v>
      </c>
      <c r="D99" s="501"/>
      <c r="E99" s="502"/>
      <c r="F99" s="502"/>
      <c r="G99" s="502"/>
      <c r="H99" s="501"/>
      <c r="I99" s="501"/>
      <c r="J99" s="502"/>
      <c r="K99" s="502"/>
      <c r="L99" s="502"/>
      <c r="M99" s="502"/>
      <c r="N99" s="503"/>
      <c r="O99" s="15"/>
      <c r="P99" s="15"/>
      <c r="S99" s="2"/>
    </row>
    <row r="100" spans="2:19" ht="15" customHeight="1">
      <c r="B100" s="173" t="s">
        <v>347</v>
      </c>
      <c r="C100" s="504">
        <f>C97</f>
        <v>1160869.74</v>
      </c>
      <c r="D100" s="505"/>
      <c r="E100" s="506"/>
      <c r="F100" s="506"/>
      <c r="G100" s="506"/>
      <c r="H100" s="505"/>
      <c r="I100" s="505"/>
      <c r="J100" s="506"/>
      <c r="K100" s="506"/>
      <c r="L100" s="505"/>
      <c r="M100" s="505"/>
      <c r="N100" s="507"/>
      <c r="O100" s="15"/>
      <c r="P100" s="15"/>
      <c r="S100" s="2"/>
    </row>
    <row r="101" spans="2:19" ht="15" customHeight="1">
      <c r="B101" s="173" t="s">
        <v>348</v>
      </c>
      <c r="C101" s="504">
        <f>C98</f>
        <v>1079919</v>
      </c>
      <c r="D101" s="505"/>
      <c r="E101" s="506"/>
      <c r="F101" s="506"/>
      <c r="G101" s="506"/>
      <c r="H101" s="505"/>
      <c r="I101" s="505"/>
      <c r="J101" s="506"/>
      <c r="K101" s="506"/>
      <c r="L101" s="505"/>
      <c r="M101" s="505"/>
      <c r="N101" s="507"/>
      <c r="O101" s="15"/>
      <c r="P101" s="15"/>
      <c r="S101" s="2"/>
    </row>
    <row r="102" spans="2:19" ht="15.75" thickBot="1">
      <c r="B102" s="227" t="s">
        <v>349</v>
      </c>
      <c r="C102" s="508">
        <f>C99</f>
        <v>693006.73</v>
      </c>
      <c r="D102" s="509"/>
      <c r="E102" s="510"/>
      <c r="F102" s="510"/>
      <c r="G102" s="510"/>
      <c r="H102" s="509"/>
      <c r="I102" s="509"/>
      <c r="J102" s="510"/>
      <c r="K102" s="510"/>
      <c r="L102" s="509"/>
      <c r="M102" s="509"/>
      <c r="N102" s="511"/>
      <c r="O102" s="15"/>
      <c r="P102" s="15"/>
      <c r="S102" s="2"/>
    </row>
    <row r="103" spans="2:19">
      <c r="C103" s="2"/>
      <c r="D103" s="2"/>
      <c r="E103" s="2"/>
      <c r="F103" s="2"/>
      <c r="G103" s="2"/>
      <c r="H103" s="2"/>
      <c r="I103" s="15"/>
      <c r="J103" s="91"/>
      <c r="K103" s="92"/>
      <c r="L103" s="15"/>
      <c r="M103" s="93"/>
      <c r="N103" s="15"/>
      <c r="O103" s="15"/>
      <c r="P103" s="15"/>
      <c r="S103" s="2"/>
    </row>
    <row r="104" spans="2:19">
      <c r="B104" s="2" t="s">
        <v>427</v>
      </c>
      <c r="C104" s="2"/>
      <c r="D104" s="2"/>
      <c r="E104" s="2"/>
      <c r="F104" s="2"/>
      <c r="G104" s="2"/>
      <c r="H104" s="2"/>
      <c r="I104" s="15"/>
      <c r="J104" s="91"/>
      <c r="K104" s="92"/>
      <c r="L104" s="15"/>
      <c r="M104" s="93"/>
      <c r="N104" s="15"/>
      <c r="O104" s="15"/>
      <c r="P104" s="15"/>
      <c r="S104" s="2"/>
    </row>
    <row r="105" spans="2:19">
      <c r="C105" s="2"/>
      <c r="D105" s="2"/>
      <c r="E105" s="2"/>
      <c r="F105" s="2"/>
      <c r="G105" s="2"/>
      <c r="H105" s="2"/>
      <c r="I105" s="15"/>
      <c r="J105" s="91"/>
      <c r="K105" s="93"/>
      <c r="L105" s="15"/>
      <c r="M105" s="93"/>
      <c r="N105" s="466"/>
      <c r="O105" s="15"/>
      <c r="P105" s="15"/>
      <c r="S105" s="2"/>
    </row>
    <row r="106" spans="2:19">
      <c r="I106" s="15"/>
      <c r="J106" s="15"/>
      <c r="K106" s="15"/>
      <c r="L106" s="15"/>
      <c r="M106" s="15"/>
      <c r="N106" s="466"/>
      <c r="O106" s="15"/>
      <c r="P106" s="15"/>
    </row>
    <row r="107" spans="2:19" ht="18.75">
      <c r="B107" s="77" t="s">
        <v>350</v>
      </c>
      <c r="I107" s="15"/>
      <c r="J107" s="15"/>
      <c r="K107" s="15"/>
      <c r="L107" s="15"/>
      <c r="M107" s="15"/>
      <c r="N107" s="466"/>
      <c r="O107" s="15"/>
      <c r="P107" s="15"/>
    </row>
    <row r="108" spans="2:19" ht="15.75" thickBot="1">
      <c r="C108" s="15"/>
      <c r="D108" s="15"/>
      <c r="E108" s="15"/>
      <c r="F108" s="15"/>
      <c r="G108" s="2"/>
      <c r="H108" s="2"/>
      <c r="I108" s="2"/>
      <c r="J108" s="15"/>
      <c r="K108" s="2"/>
      <c r="L108" s="15"/>
      <c r="M108" s="15"/>
      <c r="N108" s="15"/>
      <c r="O108" s="15"/>
      <c r="P108" s="15"/>
      <c r="Q108" s="2"/>
      <c r="S108" s="15"/>
    </row>
    <row r="109" spans="2:19" ht="90.75" customHeight="1">
      <c r="B109" s="174" t="s">
        <v>351</v>
      </c>
      <c r="C109" s="175" t="s">
        <v>352</v>
      </c>
      <c r="D109" s="467" t="s">
        <v>353</v>
      </c>
      <c r="E109" s="467" t="s">
        <v>354</v>
      </c>
      <c r="F109" s="468" t="s">
        <v>355</v>
      </c>
      <c r="G109" s="468" t="s">
        <v>356</v>
      </c>
      <c r="H109" s="467" t="s">
        <v>357</v>
      </c>
      <c r="I109" s="467" t="s">
        <v>377</v>
      </c>
      <c r="J109" s="467" t="s">
        <v>358</v>
      </c>
      <c r="K109" s="176" t="s">
        <v>359</v>
      </c>
      <c r="L109" s="2"/>
      <c r="M109" s="15"/>
      <c r="N109" s="15"/>
      <c r="O109" s="15"/>
      <c r="P109" s="2"/>
      <c r="R109" s="15"/>
    </row>
    <row r="110" spans="2:19">
      <c r="B110" s="725" t="s">
        <v>268</v>
      </c>
      <c r="C110" s="469" t="s">
        <v>268</v>
      </c>
      <c r="D110" s="470"/>
      <c r="E110" s="211" t="str">
        <f>IF(ISBLANK(D110),"",D110*30)</f>
        <v/>
      </c>
      <c r="F110" s="471"/>
      <c r="G110" s="197" t="str">
        <f>IF(AND(E110&gt;0,F110&gt;0),(F110*E110),"")</f>
        <v/>
      </c>
      <c r="H110" s="471"/>
      <c r="I110" s="219" t="str">
        <f>IF(AND(G110&gt;0,H110&gt;0),H110/G110,"")</f>
        <v/>
      </c>
      <c r="J110" s="472"/>
      <c r="K110" s="228" t="str">
        <f>IF(AND(I110&gt;0,J110&gt;0),I110-J110,"")</f>
        <v/>
      </c>
      <c r="L110" s="2"/>
      <c r="M110" s="15"/>
      <c r="N110" s="15"/>
      <c r="O110" s="15"/>
      <c r="P110" s="2"/>
      <c r="R110" s="15"/>
    </row>
    <row r="111" spans="2:19">
      <c r="B111" s="726"/>
      <c r="C111" s="469" t="s">
        <v>268</v>
      </c>
      <c r="D111" s="470"/>
      <c r="E111" s="211" t="str">
        <f>IF(ISBLANK(D111),"",D111*30)</f>
        <v/>
      </c>
      <c r="F111" s="471"/>
      <c r="G111" s="197" t="str">
        <f>IF(AND(E111&gt;0,F111&gt;0),(F111*E111),"")</f>
        <v/>
      </c>
      <c r="H111" s="471"/>
      <c r="I111" s="219" t="str">
        <f>IF(AND(G111&gt;0,H111&gt;0),H111/G111,"")</f>
        <v/>
      </c>
      <c r="J111" s="472"/>
      <c r="K111" s="228" t="str">
        <f>IF(AND(I111&gt;0,J111&gt;0),I111-J111,"")</f>
        <v/>
      </c>
      <c r="L111" s="2"/>
      <c r="M111" s="15"/>
      <c r="N111" s="15"/>
      <c r="O111" s="15"/>
      <c r="P111" s="2"/>
    </row>
    <row r="112" spans="2:19">
      <c r="B112" s="726"/>
      <c r="C112" s="469" t="s">
        <v>268</v>
      </c>
      <c r="D112" s="470"/>
      <c r="E112" s="211" t="str">
        <f>IF(ISBLANK(D112),"",D112*30)</f>
        <v/>
      </c>
      <c r="F112" s="471"/>
      <c r="G112" s="197" t="str">
        <f>IF(AND(E112&gt;0,F112&gt;0),(F112*E112),"")</f>
        <v/>
      </c>
      <c r="H112" s="471"/>
      <c r="I112" s="219" t="str">
        <f>IF(AND(G112&gt;0,H112&gt;0),H112/G112,"")</f>
        <v/>
      </c>
      <c r="J112" s="472"/>
      <c r="K112" s="228" t="str">
        <f>IF(AND(I112&gt;0,J112&gt;0),I112-J112,"")</f>
        <v/>
      </c>
      <c r="L112" s="2"/>
      <c r="M112" s="15"/>
      <c r="N112" s="15"/>
      <c r="O112" s="15"/>
      <c r="P112" s="2"/>
      <c r="R112" s="15"/>
    </row>
    <row r="113" spans="2:20" ht="15.75" thickBot="1">
      <c r="B113" s="727"/>
      <c r="C113" s="473" t="s">
        <v>268</v>
      </c>
      <c r="D113" s="474"/>
      <c r="E113" s="224" t="str">
        <f>IF(ISBLANK(D113),"",D113*30)</f>
        <v/>
      </c>
      <c r="F113" s="475"/>
      <c r="G113" s="225" t="str">
        <f>IF(AND(E113&gt;0,F113&gt;0),(F113*E113),"")</f>
        <v/>
      </c>
      <c r="H113" s="475"/>
      <c r="I113" s="226" t="str">
        <f>IF(AND(G113&gt;0,H113&gt;0),H113/G113,"")</f>
        <v/>
      </c>
      <c r="J113" s="476"/>
      <c r="K113" s="229" t="str">
        <f>IF(AND(I113&gt;0,J113&gt;0),I113-J113,"")</f>
        <v/>
      </c>
      <c r="L113" s="2"/>
      <c r="M113" s="15"/>
      <c r="N113" s="15"/>
      <c r="O113" s="15"/>
      <c r="P113" s="2"/>
      <c r="R113" s="15"/>
    </row>
    <row r="114" spans="2:20">
      <c r="G114" s="2"/>
      <c r="H114" s="2"/>
      <c r="I114" s="2"/>
      <c r="L114" s="2"/>
      <c r="M114" s="2"/>
      <c r="N114" s="15"/>
      <c r="O114" s="15"/>
      <c r="P114" s="15"/>
      <c r="Q114" s="2"/>
      <c r="S114" s="15"/>
    </row>
    <row r="115" spans="2:20" ht="15.75" thickBot="1">
      <c r="I115" s="2"/>
      <c r="J115" s="76"/>
      <c r="K115" s="76"/>
    </row>
    <row r="116" spans="2:20" ht="19.5" thickBot="1">
      <c r="B116" s="136" t="s">
        <v>360</v>
      </c>
      <c r="C116" s="94"/>
      <c r="D116" s="94"/>
      <c r="E116" s="95"/>
      <c r="F116" s="95"/>
      <c r="G116" s="95"/>
      <c r="H116" s="142"/>
      <c r="I116" s="137"/>
      <c r="J116" s="186"/>
      <c r="K116" s="187" t="s">
        <v>415</v>
      </c>
      <c r="L116" s="95"/>
      <c r="M116" s="188"/>
      <c r="N116" s="188"/>
      <c r="O116" s="188"/>
      <c r="P116" s="477"/>
      <c r="Q116" s="238"/>
    </row>
    <row r="117" spans="2:20" ht="15.75" thickBot="1">
      <c r="N117" s="3"/>
      <c r="O117" s="3"/>
      <c r="P117" s="238"/>
      <c r="Q117" s="238"/>
    </row>
    <row r="118" spans="2:20" ht="42.75" customHeight="1">
      <c r="B118" s="658" t="s">
        <v>363</v>
      </c>
      <c r="C118" s="659"/>
      <c r="D118" s="660"/>
      <c r="E118" s="177" t="s">
        <v>465</v>
      </c>
      <c r="F118" s="234" t="s">
        <v>468</v>
      </c>
      <c r="G118" s="139"/>
      <c r="H118" s="478" t="s">
        <v>60</v>
      </c>
      <c r="I118" s="478" t="s">
        <v>61</v>
      </c>
      <c r="J118" s="478" t="s">
        <v>277</v>
      </c>
      <c r="K118" s="478" t="s">
        <v>63</v>
      </c>
      <c r="L118" s="478" t="s">
        <v>70</v>
      </c>
      <c r="M118" s="478" t="s">
        <v>71</v>
      </c>
      <c r="N118" s="478" t="s">
        <v>72</v>
      </c>
      <c r="O118" s="478" t="s">
        <v>73</v>
      </c>
      <c r="P118" s="478" t="s">
        <v>74</v>
      </c>
      <c r="Q118" s="478" t="s">
        <v>75</v>
      </c>
      <c r="R118" s="478" t="s">
        <v>76</v>
      </c>
      <c r="S118" s="479" t="s">
        <v>230</v>
      </c>
      <c r="T118" s="5"/>
    </row>
    <row r="119" spans="2:20" ht="16.5" customHeight="1">
      <c r="B119" s="671" t="str">
        <f>VLOOKUP(T119,Table1[],4,0)</f>
        <v>TB I-3(M): Rata mortalităţii  - Numărul estimat de decese cauzate de TB (toate formele) pe an, la 100,000 persoane</v>
      </c>
      <c r="C119" s="671"/>
      <c r="D119" s="671"/>
      <c r="E119" s="709" t="str">
        <f>VLOOKUP(T119,Table1[],2,0)</f>
        <v>Indicator de impact</v>
      </c>
      <c r="F119" s="711" t="str">
        <f>VLOOKUP(T119,Table1[],3,0)</f>
        <v>TB</v>
      </c>
      <c r="G119" s="230" t="s">
        <v>361</v>
      </c>
      <c r="H119" s="512">
        <v>8.6999999999999993</v>
      </c>
      <c r="I119" s="513"/>
      <c r="J119" s="514"/>
      <c r="K119" s="512"/>
      <c r="L119" s="515"/>
      <c r="M119" s="512"/>
      <c r="N119" s="512"/>
      <c r="O119" s="512"/>
      <c r="P119" s="512"/>
      <c r="Q119" s="512"/>
      <c r="R119" s="512"/>
      <c r="S119" s="516"/>
      <c r="T119" s="480">
        <v>1</v>
      </c>
    </row>
    <row r="120" spans="2:20" ht="16.5" customHeight="1">
      <c r="B120" s="671"/>
      <c r="C120" s="671"/>
      <c r="D120" s="671"/>
      <c r="E120" s="710"/>
      <c r="F120" s="712"/>
      <c r="G120" s="230" t="s">
        <v>362</v>
      </c>
      <c r="H120" s="517">
        <v>7.94</v>
      </c>
      <c r="I120" s="518"/>
      <c r="J120" s="518"/>
      <c r="K120" s="518"/>
      <c r="L120" s="518"/>
      <c r="M120" s="518"/>
      <c r="N120" s="518"/>
      <c r="O120" s="518"/>
      <c r="P120" s="518"/>
      <c r="Q120" s="518"/>
      <c r="R120" s="518"/>
      <c r="S120" s="519"/>
      <c r="T120" s="480"/>
    </row>
    <row r="121" spans="2:20" ht="16.5" customHeight="1">
      <c r="B121" s="705" t="str">
        <f>VLOOKUP(T121,Table1[],4,0)</f>
        <v xml:space="preserve">TB I-4(M): Prevalența TB MDR printre cazurile noi de tuberculoză </v>
      </c>
      <c r="C121" s="705"/>
      <c r="D121" s="705"/>
      <c r="E121" s="715" t="str">
        <f>VLOOKUP(T121,Table1[],2,0)</f>
        <v>Indicator de impact</v>
      </c>
      <c r="F121" s="713" t="str">
        <f>VLOOKUP(T121,Table1[],3,0)</f>
        <v>TB</v>
      </c>
      <c r="G121" s="264" t="s">
        <v>361</v>
      </c>
      <c r="H121" s="520">
        <v>0.20499999999999999</v>
      </c>
      <c r="I121" s="521"/>
      <c r="J121" s="522"/>
      <c r="K121" s="523"/>
      <c r="L121" s="523"/>
      <c r="M121" s="523"/>
      <c r="N121" s="523"/>
      <c r="O121" s="523"/>
      <c r="P121" s="523"/>
      <c r="Q121" s="523"/>
      <c r="R121" s="523"/>
      <c r="S121" s="524"/>
      <c r="T121" s="480">
        <v>2</v>
      </c>
    </row>
    <row r="122" spans="2:20" ht="16.5" customHeight="1">
      <c r="B122" s="705"/>
      <c r="C122" s="705"/>
      <c r="D122" s="705"/>
      <c r="E122" s="716"/>
      <c r="F122" s="714"/>
      <c r="G122" s="264" t="s">
        <v>362</v>
      </c>
      <c r="H122" s="525">
        <v>0.26600000000000001</v>
      </c>
      <c r="I122" s="526"/>
      <c r="J122" s="526"/>
      <c r="K122" s="526"/>
      <c r="L122" s="526"/>
      <c r="M122" s="526"/>
      <c r="N122" s="526"/>
      <c r="O122" s="526"/>
      <c r="P122" s="526"/>
      <c r="Q122" s="526"/>
      <c r="R122" s="526"/>
      <c r="S122" s="527"/>
      <c r="T122" s="480"/>
    </row>
    <row r="123" spans="2:20" ht="16.5" customHeight="1">
      <c r="B123" s="671" t="str">
        <f>VLOOKUP(T123,Table1[],4,0)</f>
        <v>HIV I-4: Mortalitatea asociată cu SIDA la 100,000 populaţie</v>
      </c>
      <c r="C123" s="671"/>
      <c r="D123" s="671"/>
      <c r="E123" s="721" t="str">
        <f>VLOOKUP(T123,Table1[],2,0)</f>
        <v>Indicator de impact</v>
      </c>
      <c r="F123" s="711" t="str">
        <f>VLOOKUP(T123,Table1[],3,0)</f>
        <v>HIV</v>
      </c>
      <c r="G123" s="230" t="s">
        <v>361</v>
      </c>
      <c r="H123" s="528">
        <v>3.0599999999999999E-2</v>
      </c>
      <c r="I123" s="529"/>
      <c r="J123" s="530"/>
      <c r="K123" s="531"/>
      <c r="L123" s="531"/>
      <c r="M123" s="532"/>
      <c r="N123" s="532"/>
      <c r="O123" s="532"/>
      <c r="P123" s="532"/>
      <c r="Q123" s="532"/>
      <c r="R123" s="532"/>
      <c r="S123" s="533"/>
      <c r="T123" s="480">
        <v>3</v>
      </c>
    </row>
    <row r="124" spans="2:20" ht="16.5" customHeight="1">
      <c r="B124" s="671"/>
      <c r="C124" s="671"/>
      <c r="D124" s="671"/>
      <c r="E124" s="722"/>
      <c r="F124" s="712"/>
      <c r="G124" s="230" t="s">
        <v>362</v>
      </c>
      <c r="H124" s="534">
        <v>3.5999999999999997E-2</v>
      </c>
      <c r="I124" s="534"/>
      <c r="J124" s="534"/>
      <c r="K124" s="535"/>
      <c r="L124" s="535"/>
      <c r="M124" s="535"/>
      <c r="N124" s="535"/>
      <c r="O124" s="535"/>
      <c r="P124" s="535"/>
      <c r="Q124" s="535"/>
      <c r="R124" s="535"/>
      <c r="S124" s="536"/>
      <c r="T124" s="480"/>
    </row>
    <row r="125" spans="2:20" ht="16.5" customHeight="1">
      <c r="B125" s="705" t="str">
        <f>VLOOKUP(T125,Table1[],4,0)</f>
        <v xml:space="preserve">HIV I-9a (M): Procentul BSB care trăiesc cu HIV </v>
      </c>
      <c r="C125" s="705"/>
      <c r="D125" s="705"/>
      <c r="E125" s="715" t="str">
        <f>VLOOKUP(T125,Table1[],2,0)</f>
        <v>Indicator de impact</v>
      </c>
      <c r="F125" s="713" t="str">
        <f>VLOOKUP(T125,Table1[],3,0)</f>
        <v>HIV</v>
      </c>
      <c r="G125" s="264" t="s">
        <v>361</v>
      </c>
      <c r="H125" s="523" t="s">
        <v>515</v>
      </c>
      <c r="I125" s="521"/>
      <c r="J125" s="522"/>
      <c r="K125" s="537"/>
      <c r="L125" s="537"/>
      <c r="M125" s="538"/>
      <c r="N125" s="538"/>
      <c r="O125" s="538"/>
      <c r="P125" s="538"/>
      <c r="Q125" s="538"/>
      <c r="R125" s="538"/>
      <c r="S125" s="524"/>
      <c r="T125" s="480">
        <v>4</v>
      </c>
    </row>
    <row r="126" spans="2:20" ht="16.5" customHeight="1">
      <c r="B126" s="705"/>
      <c r="C126" s="705"/>
      <c r="D126" s="705"/>
      <c r="E126" s="716"/>
      <c r="F126" s="714"/>
      <c r="G126" s="264" t="s">
        <v>362</v>
      </c>
      <c r="H126" s="523" t="s">
        <v>515</v>
      </c>
      <c r="I126" s="523"/>
      <c r="J126" s="522"/>
      <c r="K126" s="537"/>
      <c r="L126" s="537"/>
      <c r="M126" s="538"/>
      <c r="N126" s="538"/>
      <c r="O126" s="538"/>
      <c r="P126" s="538"/>
      <c r="Q126" s="538"/>
      <c r="R126" s="538"/>
      <c r="S126" s="524"/>
      <c r="T126" s="480"/>
    </row>
    <row r="127" spans="2:20" ht="16.5" customHeight="1">
      <c r="B127" s="688" t="str">
        <f>VLOOKUP(T127,Table1[],4,0)</f>
        <v>HIV I-10 (M): Procentul LSC care trăiesc cu HIV</v>
      </c>
      <c r="C127" s="688"/>
      <c r="D127" s="688"/>
      <c r="E127" s="635" t="str">
        <f>VLOOKUP(T127,Table1[],2,0)</f>
        <v>Indicator de impact</v>
      </c>
      <c r="F127" s="637" t="str">
        <f>VLOOKUP(T127,Table1[],3,0)</f>
        <v>HIV</v>
      </c>
      <c r="G127" s="223" t="s">
        <v>361</v>
      </c>
      <c r="H127" s="539" t="s">
        <v>515</v>
      </c>
      <c r="I127" s="539"/>
      <c r="J127" s="539"/>
      <c r="K127" s="540"/>
      <c r="L127" s="540"/>
      <c r="M127" s="540"/>
      <c r="N127" s="540"/>
      <c r="O127" s="540"/>
      <c r="P127" s="540"/>
      <c r="Q127" s="540"/>
      <c r="R127" s="540"/>
      <c r="S127" s="541"/>
      <c r="T127" s="480">
        <v>5</v>
      </c>
    </row>
    <row r="128" spans="2:20" ht="16.5" customHeight="1">
      <c r="B128" s="688"/>
      <c r="C128" s="688"/>
      <c r="D128" s="688"/>
      <c r="E128" s="636"/>
      <c r="F128" s="638"/>
      <c r="G128" s="223" t="s">
        <v>362</v>
      </c>
      <c r="H128" s="539" t="s">
        <v>515</v>
      </c>
      <c r="I128" s="539"/>
      <c r="J128" s="539"/>
      <c r="K128" s="540"/>
      <c r="L128" s="540"/>
      <c r="M128" s="540"/>
      <c r="N128" s="540"/>
      <c r="O128" s="540"/>
      <c r="P128" s="540"/>
      <c r="Q128" s="540"/>
      <c r="R128" s="540"/>
      <c r="S128" s="541"/>
      <c r="T128" s="480"/>
    </row>
    <row r="129" spans="2:20" ht="16.5" customHeight="1">
      <c r="B129" s="629" t="str">
        <f>VLOOKUP(T129,Table1[],4,0)</f>
        <v>HIV I-11 (M): Procentul consumatorilor de droguri injectabile care trăiesc cu HIV</v>
      </c>
      <c r="C129" s="629"/>
      <c r="D129" s="629"/>
      <c r="E129" s="689" t="str">
        <f>VLOOKUP(T129,Table1[],2,0)</f>
        <v>Indicator de impact</v>
      </c>
      <c r="F129" s="717" t="str">
        <f>VLOOKUP(T129,Table1[],3,0)</f>
        <v>HIV</v>
      </c>
      <c r="G129" s="222" t="s">
        <v>361</v>
      </c>
      <c r="H129" s="542" t="s">
        <v>515</v>
      </c>
      <c r="I129" s="542"/>
      <c r="J129" s="543"/>
      <c r="K129" s="544"/>
      <c r="L129" s="537"/>
      <c r="M129" s="538"/>
      <c r="N129" s="538"/>
      <c r="O129" s="538"/>
      <c r="P129" s="538"/>
      <c r="Q129" s="538"/>
      <c r="R129" s="538"/>
      <c r="S129" s="524"/>
      <c r="T129" s="480">
        <v>6</v>
      </c>
    </row>
    <row r="130" spans="2:20" ht="16.5" customHeight="1">
      <c r="B130" s="629"/>
      <c r="C130" s="629"/>
      <c r="D130" s="629"/>
      <c r="E130" s="690"/>
      <c r="F130" s="718"/>
      <c r="G130" s="222" t="s">
        <v>362</v>
      </c>
      <c r="H130" s="542" t="s">
        <v>515</v>
      </c>
      <c r="I130" s="542"/>
      <c r="J130" s="543"/>
      <c r="K130" s="544"/>
      <c r="L130" s="537"/>
      <c r="M130" s="538"/>
      <c r="N130" s="538"/>
      <c r="O130" s="538"/>
      <c r="P130" s="538"/>
      <c r="Q130" s="538"/>
      <c r="R130" s="538"/>
      <c r="S130" s="524"/>
      <c r="T130" s="480"/>
    </row>
    <row r="131" spans="2:20" ht="16.5" customHeight="1">
      <c r="B131" s="634" t="str">
        <f>VLOOKUP(T131,Table1[],4,0)</f>
        <v xml:space="preserve">TB O-4(M): Rata succesului tratamentului pacienților cu RR TB și/sau MDR-TB </v>
      </c>
      <c r="C131" s="634"/>
      <c r="D131" s="634"/>
      <c r="E131" s="701" t="str">
        <f>VLOOKUP(T131,Table1[],2,0)</f>
        <v>Indicator de rezultat</v>
      </c>
      <c r="F131" s="700" t="str">
        <f>VLOOKUP(T131,Table1[],3,0)</f>
        <v>TB</v>
      </c>
      <c r="G131" s="223" t="s">
        <v>361</v>
      </c>
      <c r="H131" s="545">
        <v>0.65049999999999997</v>
      </c>
      <c r="I131" s="546"/>
      <c r="J131" s="546"/>
      <c r="K131" s="547"/>
      <c r="L131" s="547"/>
      <c r="M131" s="548"/>
      <c r="N131" s="548"/>
      <c r="O131" s="548"/>
      <c r="P131" s="548"/>
      <c r="Q131" s="548"/>
      <c r="R131" s="548"/>
      <c r="S131" s="541"/>
      <c r="T131" s="480">
        <v>7</v>
      </c>
    </row>
    <row r="132" spans="2:20" ht="16.5" customHeight="1">
      <c r="B132" s="634"/>
      <c r="C132" s="634"/>
      <c r="D132" s="634"/>
      <c r="E132" s="636"/>
      <c r="F132" s="638"/>
      <c r="G132" s="223" t="s">
        <v>362</v>
      </c>
      <c r="H132" s="549">
        <v>0.52629999999999999</v>
      </c>
      <c r="I132" s="550"/>
      <c r="J132" s="550"/>
      <c r="K132" s="551"/>
      <c r="L132" s="551"/>
      <c r="M132" s="551"/>
      <c r="N132" s="551"/>
      <c r="O132" s="551"/>
      <c r="P132" s="551"/>
      <c r="Q132" s="551"/>
      <c r="R132" s="551"/>
      <c r="S132" s="552"/>
      <c r="T132" s="480"/>
    </row>
    <row r="133" spans="2:20" ht="16.5" customHeight="1">
      <c r="B133" s="629" t="str">
        <f>VLOOKUP(T133,Table1[],4,0)</f>
        <v>TB O-1a: Rata de notificare a cazurilor de tuberculoză (toate formele) per 100,000 populație</v>
      </c>
      <c r="C133" s="629"/>
      <c r="D133" s="629"/>
      <c r="E133" s="630" t="str">
        <f>VLOOKUP(T133,Table1[],2,0)</f>
        <v>Indicator de rezultat</v>
      </c>
      <c r="F133" s="632" t="str">
        <f>VLOOKUP(T133,Table1[],3,0)</f>
        <v>TB</v>
      </c>
      <c r="G133" s="231" t="s">
        <v>361</v>
      </c>
      <c r="H133" s="538">
        <v>103.5</v>
      </c>
      <c r="I133" s="553"/>
      <c r="J133" s="554"/>
      <c r="K133" s="555"/>
      <c r="L133" s="555"/>
      <c r="M133" s="555"/>
      <c r="N133" s="555"/>
      <c r="O133" s="555"/>
      <c r="P133" s="555"/>
      <c r="Q133" s="555"/>
      <c r="R133" s="555"/>
      <c r="S133" s="556"/>
      <c r="T133" s="480">
        <v>8</v>
      </c>
    </row>
    <row r="134" spans="2:20" ht="16.5" customHeight="1">
      <c r="B134" s="629"/>
      <c r="C134" s="629"/>
      <c r="D134" s="629"/>
      <c r="E134" s="631"/>
      <c r="F134" s="633"/>
      <c r="G134" s="231" t="s">
        <v>362</v>
      </c>
      <c r="H134" s="557">
        <v>83.17</v>
      </c>
      <c r="I134" s="558"/>
      <c r="J134" s="558"/>
      <c r="K134" s="558"/>
      <c r="L134" s="558"/>
      <c r="M134" s="558"/>
      <c r="N134" s="558"/>
      <c r="O134" s="558"/>
      <c r="P134" s="558"/>
      <c r="Q134" s="558"/>
      <c r="R134" s="558"/>
      <c r="S134" s="559"/>
      <c r="T134" s="480"/>
    </row>
    <row r="135" spans="2:20" ht="16.5" customHeight="1">
      <c r="B135" s="634" t="str">
        <f>VLOOKUP(T135,Table1[],4,0)</f>
        <v>TB O-5(M): Rata de acoperire cu tratament antituberculos</v>
      </c>
      <c r="C135" s="634"/>
      <c r="D135" s="634"/>
      <c r="E135" s="635" t="str">
        <f>VLOOKUP(T135,Table1[],2,0)</f>
        <v>Indicator de rezultat</v>
      </c>
      <c r="F135" s="637" t="str">
        <f>VLOOKUP(T135,Table1[],3,0)</f>
        <v>TB</v>
      </c>
      <c r="G135" s="223" t="s">
        <v>361</v>
      </c>
      <c r="H135" s="539" t="s">
        <v>515</v>
      </c>
      <c r="I135" s="560"/>
      <c r="J135" s="561"/>
      <c r="K135" s="560"/>
      <c r="L135" s="560"/>
      <c r="M135" s="560"/>
      <c r="N135" s="560"/>
      <c r="O135" s="560"/>
      <c r="P135" s="560"/>
      <c r="Q135" s="560"/>
      <c r="R135" s="560"/>
      <c r="S135" s="562"/>
      <c r="T135" s="480">
        <v>9</v>
      </c>
    </row>
    <row r="136" spans="2:20" ht="16.5" customHeight="1">
      <c r="B136" s="634"/>
      <c r="C136" s="634"/>
      <c r="D136" s="634"/>
      <c r="E136" s="636"/>
      <c r="F136" s="638"/>
      <c r="G136" s="223" t="s">
        <v>362</v>
      </c>
      <c r="H136" s="539" t="s">
        <v>515</v>
      </c>
      <c r="I136" s="560"/>
      <c r="J136" s="561"/>
      <c r="K136" s="560"/>
      <c r="L136" s="560"/>
      <c r="M136" s="560"/>
      <c r="N136" s="560"/>
      <c r="O136" s="560"/>
      <c r="P136" s="560"/>
      <c r="Q136" s="560"/>
      <c r="R136" s="560"/>
      <c r="S136" s="562"/>
      <c r="T136" s="480"/>
    </row>
    <row r="137" spans="2:20" ht="16.5" customHeight="1">
      <c r="B137" s="629" t="str">
        <f>VLOOKUP(T137,Table1[],4,0)</f>
        <v xml:space="preserve">HIV O-1 (M): Procentul adulţilor şi copiilor HIV infectaţi care se află în tratament 12 luni după iniţierea tratamentului antiretroviral </v>
      </c>
      <c r="C137" s="629"/>
      <c r="D137" s="629"/>
      <c r="E137" s="630" t="str">
        <f>VLOOKUP(T137,Table1[],2,0)</f>
        <v>Indicator de rezultat</v>
      </c>
      <c r="F137" s="632" t="str">
        <f>VLOOKUP(T137,Table1[],3,0)</f>
        <v>HIV</v>
      </c>
      <c r="G137" s="231" t="s">
        <v>361</v>
      </c>
      <c r="H137" s="563">
        <v>0.85</v>
      </c>
      <c r="I137" s="553"/>
      <c r="J137" s="554"/>
      <c r="K137" s="555"/>
      <c r="L137" s="555"/>
      <c r="M137" s="555"/>
      <c r="N137" s="555"/>
      <c r="O137" s="555"/>
      <c r="P137" s="555"/>
      <c r="Q137" s="555"/>
      <c r="R137" s="555"/>
      <c r="S137" s="556"/>
      <c r="T137" s="480">
        <v>10</v>
      </c>
    </row>
    <row r="138" spans="2:20" ht="16.5" customHeight="1">
      <c r="B138" s="629"/>
      <c r="C138" s="629"/>
      <c r="D138" s="629"/>
      <c r="E138" s="631"/>
      <c r="F138" s="633"/>
      <c r="G138" s="231" t="s">
        <v>362</v>
      </c>
      <c r="H138" s="564">
        <v>0.83299999999999996</v>
      </c>
      <c r="I138" s="558"/>
      <c r="J138" s="558"/>
      <c r="K138" s="558"/>
      <c r="L138" s="558"/>
      <c r="M138" s="558"/>
      <c r="N138" s="558"/>
      <c r="O138" s="558"/>
      <c r="P138" s="558"/>
      <c r="Q138" s="558"/>
      <c r="R138" s="558"/>
      <c r="S138" s="559"/>
      <c r="T138" s="480"/>
    </row>
    <row r="139" spans="2:20" ht="16.5" customHeight="1">
      <c r="B139" s="634" t="str">
        <f>VLOOKUP(T139,Table1[],4,0)</f>
        <v>HIV O-4a (M): Procentul BSB care raportează utilizarea prezervativului în timpul ultimului act de sex anal cu partenerul de gen masculin</v>
      </c>
      <c r="C139" s="634"/>
      <c r="D139" s="634"/>
      <c r="E139" s="635" t="str">
        <f>VLOOKUP(T139,Table1[],2,0)</f>
        <v>Indicator de rezultat</v>
      </c>
      <c r="F139" s="637" t="str">
        <f>VLOOKUP(T139,Table1[],3,0)</f>
        <v>HIV</v>
      </c>
      <c r="G139" s="223" t="s">
        <v>361</v>
      </c>
      <c r="H139" s="539" t="s">
        <v>515</v>
      </c>
      <c r="I139" s="560"/>
      <c r="J139" s="561"/>
      <c r="K139" s="560"/>
      <c r="L139" s="560"/>
      <c r="M139" s="560"/>
      <c r="N139" s="560"/>
      <c r="O139" s="560"/>
      <c r="P139" s="560"/>
      <c r="Q139" s="560"/>
      <c r="R139" s="560"/>
      <c r="S139" s="562"/>
      <c r="T139" s="480">
        <v>11</v>
      </c>
    </row>
    <row r="140" spans="2:20" ht="16.5" customHeight="1">
      <c r="B140" s="634"/>
      <c r="C140" s="634"/>
      <c r="D140" s="634"/>
      <c r="E140" s="636"/>
      <c r="F140" s="638"/>
      <c r="G140" s="223" t="s">
        <v>362</v>
      </c>
      <c r="H140" s="539" t="s">
        <v>515</v>
      </c>
      <c r="I140" s="560"/>
      <c r="J140" s="561"/>
      <c r="K140" s="560"/>
      <c r="L140" s="560"/>
      <c r="M140" s="560"/>
      <c r="N140" s="560"/>
      <c r="O140" s="560"/>
      <c r="P140" s="560"/>
      <c r="Q140" s="560"/>
      <c r="R140" s="560"/>
      <c r="S140" s="562"/>
      <c r="T140" s="480"/>
    </row>
    <row r="141" spans="2:20" ht="16.5" customHeight="1">
      <c r="B141" s="629" t="str">
        <f>VLOOKUP(T141,Table1[],4,0)</f>
        <v>HIV O-5 (M): Procentul LSC care raportează utilizarea prezervativului cu ultimul lor client</v>
      </c>
      <c r="C141" s="629"/>
      <c r="D141" s="629"/>
      <c r="E141" s="630" t="str">
        <f>VLOOKUP(T141,Table1[],2,0)</f>
        <v>Indicator de rezultat</v>
      </c>
      <c r="F141" s="632" t="str">
        <f>VLOOKUP(T141,Table1[],3,0)</f>
        <v>HIV</v>
      </c>
      <c r="G141" s="231" t="s">
        <v>361</v>
      </c>
      <c r="H141" s="538" t="s">
        <v>515</v>
      </c>
      <c r="I141" s="553"/>
      <c r="J141" s="554"/>
      <c r="K141" s="555"/>
      <c r="L141" s="555"/>
      <c r="M141" s="555"/>
      <c r="N141" s="555"/>
      <c r="O141" s="555"/>
      <c r="P141" s="555"/>
      <c r="Q141" s="555"/>
      <c r="R141" s="555"/>
      <c r="S141" s="556"/>
      <c r="T141" s="480">
        <v>12</v>
      </c>
    </row>
    <row r="142" spans="2:20" ht="16.5" customHeight="1">
      <c r="B142" s="629"/>
      <c r="C142" s="629"/>
      <c r="D142" s="629"/>
      <c r="E142" s="631"/>
      <c r="F142" s="633"/>
      <c r="G142" s="231" t="s">
        <v>362</v>
      </c>
      <c r="H142" s="538" t="s">
        <v>515</v>
      </c>
      <c r="I142" s="555"/>
      <c r="J142" s="554"/>
      <c r="K142" s="555"/>
      <c r="L142" s="555"/>
      <c r="M142" s="555"/>
      <c r="N142" s="555"/>
      <c r="O142" s="555"/>
      <c r="P142" s="555"/>
      <c r="Q142" s="555"/>
      <c r="R142" s="555"/>
      <c r="S142" s="556"/>
      <c r="T142" s="480"/>
    </row>
    <row r="143" spans="2:20" ht="16.5" customHeight="1">
      <c r="B143" s="634" t="str">
        <f>VLOOKUP(T143,Table1[],4,0)</f>
        <v>HIV O-6 (M): Procentul consumatorilor de droguri injectabile care raportează utilizarea setului pentru injectare steril la ultima injectare</v>
      </c>
      <c r="C143" s="634"/>
      <c r="D143" s="634"/>
      <c r="E143" s="635" t="str">
        <f>VLOOKUP(T143,Table1[],2,0)</f>
        <v>Indicator de rezultat</v>
      </c>
      <c r="F143" s="637" t="str">
        <f>VLOOKUP(T143,Table1[],3,0)</f>
        <v>HIV</v>
      </c>
      <c r="G143" s="223" t="s">
        <v>361</v>
      </c>
      <c r="H143" s="539" t="s">
        <v>515</v>
      </c>
      <c r="I143" s="560"/>
      <c r="J143" s="561"/>
      <c r="K143" s="560"/>
      <c r="L143" s="560"/>
      <c r="M143" s="560"/>
      <c r="N143" s="560"/>
      <c r="O143" s="560"/>
      <c r="P143" s="560"/>
      <c r="Q143" s="560"/>
      <c r="R143" s="560"/>
      <c r="S143" s="562"/>
      <c r="T143" s="480">
        <v>13</v>
      </c>
    </row>
    <row r="144" spans="2:20" ht="16.5" customHeight="1">
      <c r="B144" s="634"/>
      <c r="C144" s="634"/>
      <c r="D144" s="634"/>
      <c r="E144" s="636"/>
      <c r="F144" s="638"/>
      <c r="G144" s="223" t="s">
        <v>362</v>
      </c>
      <c r="H144" s="539" t="s">
        <v>515</v>
      </c>
      <c r="I144" s="560"/>
      <c r="J144" s="561"/>
      <c r="K144" s="560"/>
      <c r="L144" s="560"/>
      <c r="M144" s="560"/>
      <c r="N144" s="560"/>
      <c r="O144" s="560"/>
      <c r="P144" s="560"/>
      <c r="Q144" s="560"/>
      <c r="R144" s="560"/>
      <c r="S144" s="562"/>
      <c r="T144" s="480"/>
    </row>
    <row r="145" spans="2:20" ht="16.5" customHeight="1">
      <c r="B145" s="629" t="str">
        <f>VLOOKUP(T145,Table1[],4,0)</f>
        <v>MDR TB-2(M): Numărul cazurilor de TB DR (RR-TB și/sau MDR-TB), confirmate bacteriologic, notificate</v>
      </c>
      <c r="C145" s="629"/>
      <c r="D145" s="629"/>
      <c r="E145" s="630" t="str">
        <f>VLOOKUP(T145,Table1[],2,0)</f>
        <v>Indicator de proces</v>
      </c>
      <c r="F145" s="632" t="str">
        <f>VLOOKUP(T145,Table1[],3,0)</f>
        <v>TB</v>
      </c>
      <c r="G145" s="231" t="s">
        <v>361</v>
      </c>
      <c r="H145" s="565">
        <v>535</v>
      </c>
      <c r="I145" s="553"/>
      <c r="J145" s="554"/>
      <c r="K145" s="555"/>
      <c r="L145" s="555"/>
      <c r="M145" s="555"/>
      <c r="N145" s="555"/>
      <c r="O145" s="555"/>
      <c r="P145" s="555"/>
      <c r="Q145" s="555"/>
      <c r="R145" s="555"/>
      <c r="S145" s="556"/>
      <c r="T145" s="480">
        <v>14</v>
      </c>
    </row>
    <row r="146" spans="2:20" ht="16.5" customHeight="1">
      <c r="B146" s="629"/>
      <c r="C146" s="629"/>
      <c r="D146" s="629"/>
      <c r="E146" s="631"/>
      <c r="F146" s="633"/>
      <c r="G146" s="231" t="s">
        <v>362</v>
      </c>
      <c r="H146" s="566">
        <v>376</v>
      </c>
      <c r="I146" s="558"/>
      <c r="J146" s="558"/>
      <c r="K146" s="558"/>
      <c r="L146" s="558"/>
      <c r="M146" s="558"/>
      <c r="N146" s="558"/>
      <c r="O146" s="558"/>
      <c r="P146" s="558"/>
      <c r="Q146" s="558"/>
      <c r="R146" s="558"/>
      <c r="S146" s="559"/>
      <c r="T146" s="480"/>
    </row>
    <row r="147" spans="2:20" ht="16.5" customHeight="1">
      <c r="B147" s="634" t="str">
        <f>VLOOKUP(T147,Table1[],4,0)</f>
        <v xml:space="preserve">MDR TB-3(M): Numărul cazurilor cu tuberculoză drog-rezistentă (RR-TB și/sau MDR-TB), confirmate bacteriologic, care au demarat tratamentul DOTS-Plus în perioada raportată                </v>
      </c>
      <c r="C147" s="634"/>
      <c r="D147" s="634"/>
      <c r="E147" s="635" t="str">
        <f>VLOOKUP(T147,Table1[],2,0)</f>
        <v>Indicator de proces</v>
      </c>
      <c r="F147" s="637" t="str">
        <f>VLOOKUP(T147,Table1[],3,0)</f>
        <v>TB</v>
      </c>
      <c r="G147" s="223" t="s">
        <v>361</v>
      </c>
      <c r="H147" s="540">
        <v>531</v>
      </c>
      <c r="I147" s="560"/>
      <c r="J147" s="561"/>
      <c r="K147" s="560"/>
      <c r="L147" s="560"/>
      <c r="M147" s="560"/>
      <c r="N147" s="560"/>
      <c r="O147" s="560"/>
      <c r="P147" s="560"/>
      <c r="Q147" s="560"/>
      <c r="R147" s="560"/>
      <c r="S147" s="562"/>
      <c r="T147" s="480">
        <v>15</v>
      </c>
    </row>
    <row r="148" spans="2:20" ht="16.5" customHeight="1">
      <c r="B148" s="634"/>
      <c r="C148" s="634"/>
      <c r="D148" s="634"/>
      <c r="E148" s="636"/>
      <c r="F148" s="638"/>
      <c r="G148" s="223" t="s">
        <v>362</v>
      </c>
      <c r="H148" s="567">
        <v>485</v>
      </c>
      <c r="I148" s="568"/>
      <c r="J148" s="569"/>
      <c r="K148" s="568"/>
      <c r="L148" s="568"/>
      <c r="M148" s="568"/>
      <c r="N148" s="568"/>
      <c r="O148" s="568"/>
      <c r="P148" s="568"/>
      <c r="Q148" s="568"/>
      <c r="R148" s="568"/>
      <c r="S148" s="570"/>
      <c r="T148" s="480"/>
    </row>
    <row r="149" spans="2:20" ht="16.5" customHeight="1">
      <c r="B149" s="629" t="str">
        <f>VLOOKUP(T149,Table1[],4,0)</f>
        <v>MDR TB-4: Rezultatul interimar de abandon al tratamentului cazurilor MDR-TB</v>
      </c>
      <c r="C149" s="629"/>
      <c r="D149" s="629"/>
      <c r="E149" s="630" t="str">
        <f>VLOOKUP(T149,Table1[],2,0)</f>
        <v>Indicator de proces</v>
      </c>
      <c r="F149" s="632" t="str">
        <f>VLOOKUP(T149,Table1[],3,0)</f>
        <v>TB</v>
      </c>
      <c r="G149" s="231" t="s">
        <v>361</v>
      </c>
      <c r="H149" s="563">
        <v>8.6999999999999994E-2</v>
      </c>
      <c r="I149" s="553"/>
      <c r="J149" s="554"/>
      <c r="K149" s="555"/>
      <c r="L149" s="555"/>
      <c r="M149" s="555"/>
      <c r="N149" s="555"/>
      <c r="O149" s="555"/>
      <c r="P149" s="555"/>
      <c r="Q149" s="555"/>
      <c r="R149" s="555"/>
      <c r="S149" s="556"/>
      <c r="T149" s="480">
        <v>16</v>
      </c>
    </row>
    <row r="150" spans="2:20" ht="16.5" customHeight="1">
      <c r="B150" s="629"/>
      <c r="C150" s="629"/>
      <c r="D150" s="629"/>
      <c r="E150" s="631"/>
      <c r="F150" s="633"/>
      <c r="G150" s="231" t="s">
        <v>362</v>
      </c>
      <c r="H150" s="571">
        <v>9.2700000000000005E-2</v>
      </c>
      <c r="I150" s="558"/>
      <c r="J150" s="558"/>
      <c r="K150" s="558"/>
      <c r="L150" s="558"/>
      <c r="M150" s="558"/>
      <c r="N150" s="558"/>
      <c r="O150" s="558"/>
      <c r="P150" s="558"/>
      <c r="Q150" s="558"/>
      <c r="R150" s="558"/>
      <c r="S150" s="559"/>
      <c r="T150" s="480"/>
    </row>
    <row r="151" spans="2:20" ht="16.5" customHeight="1">
      <c r="B151" s="634" t="str">
        <f>VLOOKUP(T151,Table1[],4,0)</f>
        <v>MDR TB-8: Numărul cazurilor de XDR TB incluși în tratament în perioada raportată</v>
      </c>
      <c r="C151" s="634"/>
      <c r="D151" s="634"/>
      <c r="E151" s="635" t="str">
        <f>VLOOKUP(T151,Table1[],2,0)</f>
        <v>Indicator de proces</v>
      </c>
      <c r="F151" s="637" t="str">
        <f>VLOOKUP(T151,Table1[],3,0)</f>
        <v>TB</v>
      </c>
      <c r="G151" s="223" t="s">
        <v>361</v>
      </c>
      <c r="H151" s="539" t="s">
        <v>515</v>
      </c>
      <c r="I151" s="560"/>
      <c r="J151" s="561"/>
      <c r="K151" s="560"/>
      <c r="L151" s="560"/>
      <c r="M151" s="560"/>
      <c r="N151" s="560"/>
      <c r="O151" s="560"/>
      <c r="P151" s="560"/>
      <c r="Q151" s="560"/>
      <c r="R151" s="560"/>
      <c r="S151" s="562"/>
      <c r="T151" s="480">
        <v>17</v>
      </c>
    </row>
    <row r="152" spans="2:20" ht="16.5" customHeight="1">
      <c r="B152" s="634"/>
      <c r="C152" s="634"/>
      <c r="D152" s="634"/>
      <c r="E152" s="636"/>
      <c r="F152" s="638"/>
      <c r="G152" s="223" t="s">
        <v>362</v>
      </c>
      <c r="H152" s="539" t="s">
        <v>515</v>
      </c>
      <c r="I152" s="560"/>
      <c r="J152" s="561"/>
      <c r="K152" s="560"/>
      <c r="L152" s="560"/>
      <c r="M152" s="560"/>
      <c r="N152" s="560"/>
      <c r="O152" s="560"/>
      <c r="P152" s="560"/>
      <c r="Q152" s="560"/>
      <c r="R152" s="560"/>
      <c r="S152" s="562"/>
      <c r="T152" s="480"/>
    </row>
    <row r="153" spans="2:20" ht="16.5" customHeight="1">
      <c r="B153" s="629" t="str">
        <f>VLOOKUP(T153,Table1[],4,0)</f>
        <v xml:space="preserve">KP-1d(M): Procentul consumatorilor de droguri injectabile acoperiți de programele de prevenire HIV - pachet definit de servicii </v>
      </c>
      <c r="C153" s="629"/>
      <c r="D153" s="629"/>
      <c r="E153" s="630" t="str">
        <f>VLOOKUP(T153,Table1[],2,0)</f>
        <v>Indicator de proces</v>
      </c>
      <c r="F153" s="632" t="str">
        <f>VLOOKUP(T153,Table1[],3,0)</f>
        <v>HIV</v>
      </c>
      <c r="G153" s="231" t="s">
        <v>361</v>
      </c>
      <c r="H153" s="538" t="s">
        <v>515</v>
      </c>
      <c r="I153" s="553"/>
      <c r="J153" s="554"/>
      <c r="K153" s="555"/>
      <c r="L153" s="555"/>
      <c r="M153" s="555"/>
      <c r="N153" s="555"/>
      <c r="O153" s="555"/>
      <c r="P153" s="555"/>
      <c r="Q153" s="555"/>
      <c r="R153" s="555"/>
      <c r="S153" s="556"/>
      <c r="T153" s="480">
        <v>18</v>
      </c>
    </row>
    <row r="154" spans="2:20" ht="16.5" customHeight="1">
      <c r="B154" s="629"/>
      <c r="C154" s="629"/>
      <c r="D154" s="629"/>
      <c r="E154" s="631"/>
      <c r="F154" s="633"/>
      <c r="G154" s="231" t="s">
        <v>362</v>
      </c>
      <c r="H154" s="572" t="s">
        <v>515</v>
      </c>
      <c r="I154" s="558"/>
      <c r="J154" s="558"/>
      <c r="K154" s="558"/>
      <c r="L154" s="558"/>
      <c r="M154" s="558"/>
      <c r="N154" s="558"/>
      <c r="O154" s="558"/>
      <c r="P154" s="558"/>
      <c r="Q154" s="558"/>
      <c r="R154" s="558"/>
      <c r="S154" s="559"/>
      <c r="T154" s="480"/>
    </row>
    <row r="155" spans="2:20" ht="16.5" customHeight="1">
      <c r="B155" s="634" t="str">
        <f>VLOOKUP(T155,Table1[],4,0)</f>
        <v>KP-3d(M): Procentul consumatorilor de droguri injectabile care au fost testați pentru HIV în perioada de raportare și își cunosc rezultatele</v>
      </c>
      <c r="C155" s="634"/>
      <c r="D155" s="634"/>
      <c r="E155" s="635" t="str">
        <f>VLOOKUP(T155,Table1[],2,0)</f>
        <v>Indicator de proces</v>
      </c>
      <c r="F155" s="637" t="str">
        <f>VLOOKUP(T155,Table1[],3,0)</f>
        <v>HIV</v>
      </c>
      <c r="G155" s="223" t="s">
        <v>361</v>
      </c>
      <c r="H155" s="539" t="s">
        <v>515</v>
      </c>
      <c r="I155" s="560"/>
      <c r="J155" s="561"/>
      <c r="K155" s="560"/>
      <c r="L155" s="560"/>
      <c r="M155" s="560"/>
      <c r="N155" s="560"/>
      <c r="O155" s="560"/>
      <c r="P155" s="560"/>
      <c r="Q155" s="560"/>
      <c r="R155" s="560"/>
      <c r="S155" s="562"/>
      <c r="T155" s="480">
        <v>19</v>
      </c>
    </row>
    <row r="156" spans="2:20" ht="16.5" customHeight="1">
      <c r="B156" s="634"/>
      <c r="C156" s="634"/>
      <c r="D156" s="634"/>
      <c r="E156" s="636"/>
      <c r="F156" s="638"/>
      <c r="G156" s="223" t="s">
        <v>362</v>
      </c>
      <c r="H156" s="573" t="s">
        <v>515</v>
      </c>
      <c r="I156" s="568"/>
      <c r="J156" s="569"/>
      <c r="K156" s="568"/>
      <c r="L156" s="568"/>
      <c r="M156" s="568"/>
      <c r="N156" s="568"/>
      <c r="O156" s="568"/>
      <c r="P156" s="568"/>
      <c r="Q156" s="568"/>
      <c r="R156" s="568"/>
      <c r="S156" s="570"/>
      <c r="T156" s="480"/>
    </row>
    <row r="157" spans="2:20" ht="16.5" customHeight="1">
      <c r="B157" s="629" t="str">
        <f>VLOOKUP(T157,Table1[],4,0)</f>
        <v xml:space="preserve">KP-1c(M): Procentul LSC acoperiți de programele de prevenire HIV - pachet definit de servicii </v>
      </c>
      <c r="C157" s="629"/>
      <c r="D157" s="629"/>
      <c r="E157" s="630" t="str">
        <f>VLOOKUP(T157,Table1[],2,0)</f>
        <v>Indicator de proces</v>
      </c>
      <c r="F157" s="632" t="str">
        <f>VLOOKUP(T157,Table1[],3,0)</f>
        <v>HIV</v>
      </c>
      <c r="G157" s="231" t="s">
        <v>361</v>
      </c>
      <c r="H157" s="538" t="s">
        <v>515</v>
      </c>
      <c r="I157" s="553"/>
      <c r="J157" s="554"/>
      <c r="K157" s="555"/>
      <c r="L157" s="555"/>
      <c r="M157" s="555"/>
      <c r="N157" s="555"/>
      <c r="O157" s="555"/>
      <c r="P157" s="555"/>
      <c r="Q157" s="555"/>
      <c r="R157" s="555"/>
      <c r="S157" s="556"/>
      <c r="T157" s="480">
        <v>20</v>
      </c>
    </row>
    <row r="158" spans="2:20" ht="16.5" customHeight="1">
      <c r="B158" s="629"/>
      <c r="C158" s="629"/>
      <c r="D158" s="629"/>
      <c r="E158" s="631"/>
      <c r="F158" s="633"/>
      <c r="G158" s="231" t="s">
        <v>362</v>
      </c>
      <c r="H158" s="572" t="s">
        <v>515</v>
      </c>
      <c r="I158" s="558"/>
      <c r="J158" s="558"/>
      <c r="K158" s="558"/>
      <c r="L158" s="558"/>
      <c r="M158" s="558"/>
      <c r="N158" s="558"/>
      <c r="O158" s="558"/>
      <c r="P158" s="558"/>
      <c r="Q158" s="558"/>
      <c r="R158" s="558"/>
      <c r="S158" s="559"/>
      <c r="T158" s="480"/>
    </row>
    <row r="159" spans="2:20" ht="16.5" customHeight="1">
      <c r="B159" s="634" t="str">
        <f>VLOOKUP(T159,Table1[],4,0)</f>
        <v>KP-3c(M): Procentul LSC care au fost testați pentru HIV în perioada de raportare și își cunosc rezultatele</v>
      </c>
      <c r="C159" s="634"/>
      <c r="D159" s="634"/>
      <c r="E159" s="635" t="str">
        <f>VLOOKUP(T159,Table1[],2,0)</f>
        <v>Indicator de proces</v>
      </c>
      <c r="F159" s="637" t="str">
        <f>VLOOKUP(T159,Table1[],3,0)</f>
        <v>HIV</v>
      </c>
      <c r="G159" s="223" t="s">
        <v>361</v>
      </c>
      <c r="H159" s="539" t="s">
        <v>515</v>
      </c>
      <c r="I159" s="560"/>
      <c r="J159" s="561"/>
      <c r="K159" s="560"/>
      <c r="L159" s="560"/>
      <c r="M159" s="560"/>
      <c r="N159" s="560"/>
      <c r="O159" s="560"/>
      <c r="P159" s="560"/>
      <c r="Q159" s="560"/>
      <c r="R159" s="560"/>
      <c r="S159" s="562"/>
      <c r="T159" s="480">
        <v>21</v>
      </c>
    </row>
    <row r="160" spans="2:20" ht="16.5" customHeight="1">
      <c r="B160" s="634"/>
      <c r="C160" s="634"/>
      <c r="D160" s="634"/>
      <c r="E160" s="636"/>
      <c r="F160" s="638"/>
      <c r="G160" s="223" t="s">
        <v>362</v>
      </c>
      <c r="H160" s="573" t="s">
        <v>515</v>
      </c>
      <c r="I160" s="568"/>
      <c r="J160" s="569"/>
      <c r="K160" s="568"/>
      <c r="L160" s="568"/>
      <c r="M160" s="568"/>
      <c r="N160" s="568"/>
      <c r="O160" s="568"/>
      <c r="P160" s="568"/>
      <c r="Q160" s="568"/>
      <c r="R160" s="568"/>
      <c r="S160" s="570"/>
      <c r="T160" s="480"/>
    </row>
    <row r="161" spans="2:21" ht="16.5" customHeight="1">
      <c r="B161" s="629" t="str">
        <f>VLOOKUP(T161,Table1[],4,0)</f>
        <v xml:space="preserve">KP-1a(M): Procentul BSB acoperiți de programele de prevenire HIV - pachet definit de servicii </v>
      </c>
      <c r="C161" s="629"/>
      <c r="D161" s="629"/>
      <c r="E161" s="630" t="str">
        <f>VLOOKUP(T161,Table1[],2,0)</f>
        <v>Indicator de proces</v>
      </c>
      <c r="F161" s="632" t="str">
        <f>VLOOKUP(T161,Table1[],3,0)</f>
        <v>HIV</v>
      </c>
      <c r="G161" s="231" t="s">
        <v>361</v>
      </c>
      <c r="H161" s="538" t="s">
        <v>515</v>
      </c>
      <c r="I161" s="553"/>
      <c r="J161" s="554"/>
      <c r="K161" s="555"/>
      <c r="L161" s="555"/>
      <c r="M161" s="555"/>
      <c r="N161" s="555"/>
      <c r="O161" s="555"/>
      <c r="P161" s="555"/>
      <c r="Q161" s="555"/>
      <c r="R161" s="555"/>
      <c r="S161" s="556"/>
      <c r="T161" s="480">
        <v>22</v>
      </c>
    </row>
    <row r="162" spans="2:21" ht="16.5" customHeight="1">
      <c r="B162" s="629"/>
      <c r="C162" s="629"/>
      <c r="D162" s="629"/>
      <c r="E162" s="631"/>
      <c r="F162" s="633"/>
      <c r="G162" s="231" t="s">
        <v>362</v>
      </c>
      <c r="H162" s="572" t="s">
        <v>515</v>
      </c>
      <c r="I162" s="558"/>
      <c r="J162" s="558"/>
      <c r="K162" s="558"/>
      <c r="L162" s="558"/>
      <c r="M162" s="558"/>
      <c r="N162" s="558"/>
      <c r="O162" s="558"/>
      <c r="P162" s="558"/>
      <c r="Q162" s="558"/>
      <c r="R162" s="558"/>
      <c r="S162" s="559"/>
      <c r="T162" s="480"/>
    </row>
    <row r="163" spans="2:21" ht="16.5" customHeight="1">
      <c r="B163" s="634" t="str">
        <f>VLOOKUP(T163,Table1[],4,0)</f>
        <v>KP-3a(M): Procentul BSB care au fost testați pentru HIV în perioada de raportare și își cunosc rezultatele</v>
      </c>
      <c r="C163" s="634"/>
      <c r="D163" s="634"/>
      <c r="E163" s="635" t="str">
        <f>VLOOKUP(T163,Table1[],2,0)</f>
        <v>Indicator de proces</v>
      </c>
      <c r="F163" s="637" t="str">
        <f>VLOOKUP(T163,Table1[],3,0)</f>
        <v>HIV</v>
      </c>
      <c r="G163" s="223" t="s">
        <v>361</v>
      </c>
      <c r="H163" s="539" t="s">
        <v>515</v>
      </c>
      <c r="I163" s="560"/>
      <c r="J163" s="561"/>
      <c r="K163" s="560"/>
      <c r="L163" s="560"/>
      <c r="M163" s="560"/>
      <c r="N163" s="560"/>
      <c r="O163" s="560"/>
      <c r="P163" s="560"/>
      <c r="Q163" s="560"/>
      <c r="R163" s="560"/>
      <c r="S163" s="562"/>
      <c r="T163" s="480">
        <v>23</v>
      </c>
    </row>
    <row r="164" spans="2:21" ht="16.5" customHeight="1">
      <c r="B164" s="634"/>
      <c r="C164" s="634"/>
      <c r="D164" s="634"/>
      <c r="E164" s="636"/>
      <c r="F164" s="638"/>
      <c r="G164" s="223" t="s">
        <v>362</v>
      </c>
      <c r="H164" s="573" t="s">
        <v>515</v>
      </c>
      <c r="I164" s="568"/>
      <c r="J164" s="569"/>
      <c r="K164" s="568"/>
      <c r="L164" s="568"/>
      <c r="M164" s="568"/>
      <c r="N164" s="568"/>
      <c r="O164" s="568"/>
      <c r="P164" s="568"/>
      <c r="Q164" s="568"/>
      <c r="R164" s="568"/>
      <c r="S164" s="570"/>
      <c r="T164" s="480"/>
    </row>
    <row r="165" spans="2:21" ht="16.5" customHeight="1">
      <c r="B165" s="629" t="str">
        <f>VLOOKUP(T165,Table1[],4,0)</f>
        <v xml:space="preserve">TCS-1 (M): Procentul adulţilor şi copiilor care trăiesc cu HIV și urmează tratament antiretroviral </v>
      </c>
      <c r="C165" s="629"/>
      <c r="D165" s="629"/>
      <c r="E165" s="630" t="str">
        <f>VLOOKUP(T165,Table1[],2,0)</f>
        <v>Indicator de proces</v>
      </c>
      <c r="F165" s="632" t="str">
        <f>VLOOKUP(T165,Table1[],3,0)</f>
        <v>HIV</v>
      </c>
      <c r="G165" s="231" t="s">
        <v>361</v>
      </c>
      <c r="H165" s="538" t="s">
        <v>515</v>
      </c>
      <c r="I165" s="553"/>
      <c r="J165" s="554"/>
      <c r="K165" s="555"/>
      <c r="L165" s="555"/>
      <c r="M165" s="555"/>
      <c r="N165" s="555"/>
      <c r="O165" s="555"/>
      <c r="P165" s="555"/>
      <c r="Q165" s="555"/>
      <c r="R165" s="555"/>
      <c r="S165" s="556"/>
      <c r="T165" s="480">
        <v>24</v>
      </c>
    </row>
    <row r="166" spans="2:21" ht="16.5" customHeight="1">
      <c r="B166" s="629"/>
      <c r="C166" s="629"/>
      <c r="D166" s="629"/>
      <c r="E166" s="631"/>
      <c r="F166" s="633"/>
      <c r="G166" s="231" t="s">
        <v>362</v>
      </c>
      <c r="H166" s="572" t="s">
        <v>515</v>
      </c>
      <c r="I166" s="558"/>
      <c r="J166" s="558"/>
      <c r="K166" s="558"/>
      <c r="L166" s="558"/>
      <c r="M166" s="558"/>
      <c r="N166" s="558"/>
      <c r="O166" s="558"/>
      <c r="P166" s="558"/>
      <c r="Q166" s="558"/>
      <c r="R166" s="558"/>
      <c r="S166" s="559"/>
      <c r="T166" s="480"/>
    </row>
    <row r="167" spans="2:21">
      <c r="G167" s="2"/>
      <c r="N167" s="3"/>
      <c r="O167" s="3"/>
      <c r="R167" s="238"/>
      <c r="S167" s="238"/>
    </row>
    <row r="168" spans="2:21" ht="16.5" thickBot="1">
      <c r="B168" s="178"/>
      <c r="G168" s="2"/>
      <c r="N168" s="3"/>
      <c r="O168" s="3"/>
      <c r="R168" s="238"/>
      <c r="S168" s="238"/>
    </row>
    <row r="169" spans="2:21" ht="41.25" hidden="1" customHeight="1">
      <c r="B169" s="3" t="s">
        <v>411</v>
      </c>
      <c r="E169" s="177" t="s">
        <v>364</v>
      </c>
      <c r="F169" s="234" t="s">
        <v>365</v>
      </c>
      <c r="G169" s="139"/>
      <c r="H169" s="478" t="str">
        <f t="shared" ref="H169:S169" si="11">C30</f>
        <v>P1</v>
      </c>
      <c r="I169" s="478" t="str">
        <f t="shared" si="11"/>
        <v>P2</v>
      </c>
      <c r="J169" s="478" t="str">
        <f t="shared" si="11"/>
        <v>P3</v>
      </c>
      <c r="K169" s="478" t="str">
        <f t="shared" si="11"/>
        <v>P4</v>
      </c>
      <c r="L169" s="478" t="str">
        <f t="shared" si="11"/>
        <v>P5</v>
      </c>
      <c r="M169" s="478" t="str">
        <f t="shared" si="11"/>
        <v>P6</v>
      </c>
      <c r="N169" s="478" t="str">
        <f t="shared" si="11"/>
        <v>P7</v>
      </c>
      <c r="O169" s="478" t="str">
        <f t="shared" si="11"/>
        <v>P8</v>
      </c>
      <c r="P169" s="478" t="str">
        <f t="shared" si="11"/>
        <v>P9</v>
      </c>
      <c r="Q169" s="478" t="str">
        <f t="shared" si="11"/>
        <v>P10</v>
      </c>
      <c r="R169" s="478" t="str">
        <f t="shared" si="11"/>
        <v>P11</v>
      </c>
      <c r="S169" s="479" t="str">
        <f t="shared" si="11"/>
        <v>P12</v>
      </c>
      <c r="T169" s="238"/>
      <c r="U169" s="238"/>
    </row>
    <row r="170" spans="2:21" ht="25.5" hidden="1" customHeight="1">
      <c r="B170" s="675" t="str">
        <f>IF(ISBLANK(B119),"",(B119))</f>
        <v>TB I-3(M): Rata mortalităţii  - Numărul estimat de decese cauzate de TB (toate formele) pe an, la 100,000 persoane</v>
      </c>
      <c r="C170" s="691"/>
      <c r="D170" s="692"/>
      <c r="E170" s="704" t="str">
        <f>IF(ISBLANK(E119),"",(E119))</f>
        <v>Indicator de impact</v>
      </c>
      <c r="F170" s="703" t="str">
        <f>IF(ISBLANK(F119),"",(F119))</f>
        <v>TB</v>
      </c>
      <c r="G170" s="230" t="s">
        <v>361</v>
      </c>
      <c r="H170" s="320">
        <f t="shared" ref="H170:L175" si="12">H119</f>
        <v>8.6999999999999993</v>
      </c>
      <c r="I170" s="320">
        <f t="shared" si="12"/>
        <v>0</v>
      </c>
      <c r="J170" s="320">
        <f t="shared" si="12"/>
        <v>0</v>
      </c>
      <c r="K170" s="320">
        <f t="shared" si="12"/>
        <v>0</v>
      </c>
      <c r="L170" s="320">
        <f t="shared" si="12"/>
        <v>0</v>
      </c>
      <c r="M170" s="320">
        <f t="shared" ref="M170:S175" si="13">M119</f>
        <v>0</v>
      </c>
      <c r="N170" s="320">
        <f t="shared" si="13"/>
        <v>0</v>
      </c>
      <c r="O170" s="320">
        <f t="shared" si="13"/>
        <v>0</v>
      </c>
      <c r="P170" s="320">
        <f t="shared" si="13"/>
        <v>0</v>
      </c>
      <c r="Q170" s="320">
        <f t="shared" si="13"/>
        <v>0</v>
      </c>
      <c r="R170" s="320">
        <f t="shared" si="13"/>
        <v>0</v>
      </c>
      <c r="S170" s="321">
        <f t="shared" si="13"/>
        <v>0</v>
      </c>
      <c r="T170" s="238"/>
      <c r="U170" s="238"/>
    </row>
    <row r="171" spans="2:21" ht="25.5" hidden="1" customHeight="1">
      <c r="B171" s="693"/>
      <c r="C171" s="694"/>
      <c r="D171" s="695"/>
      <c r="E171" s="704"/>
      <c r="F171" s="703"/>
      <c r="G171" s="230" t="s">
        <v>362</v>
      </c>
      <c r="H171" s="322">
        <f t="shared" si="12"/>
        <v>7.94</v>
      </c>
      <c r="I171" s="322">
        <f t="shared" si="12"/>
        <v>0</v>
      </c>
      <c r="J171" s="322">
        <f t="shared" si="12"/>
        <v>0</v>
      </c>
      <c r="K171" s="322">
        <f t="shared" si="12"/>
        <v>0</v>
      </c>
      <c r="L171" s="322">
        <f t="shared" si="12"/>
        <v>0</v>
      </c>
      <c r="M171" s="320">
        <f t="shared" si="13"/>
        <v>0</v>
      </c>
      <c r="N171" s="320">
        <f t="shared" si="13"/>
        <v>0</v>
      </c>
      <c r="O171" s="320">
        <f t="shared" si="13"/>
        <v>0</v>
      </c>
      <c r="P171" s="320">
        <f t="shared" si="13"/>
        <v>0</v>
      </c>
      <c r="Q171" s="320">
        <f t="shared" si="13"/>
        <v>0</v>
      </c>
      <c r="R171" s="320">
        <f t="shared" si="13"/>
        <v>0</v>
      </c>
      <c r="S171" s="321">
        <f t="shared" si="13"/>
        <v>0</v>
      </c>
      <c r="T171" s="238"/>
      <c r="U171" s="238"/>
    </row>
    <row r="172" spans="2:21" ht="26.25" hidden="1" customHeight="1">
      <c r="B172" s="682" t="str">
        <f>IF(ISBLANK(B121),"",(B121))</f>
        <v xml:space="preserve">TB I-4(M): Prevalența TB MDR printre cazurile noi de tuberculoză </v>
      </c>
      <c r="C172" s="683"/>
      <c r="D172" s="684"/>
      <c r="E172" s="681" t="str">
        <f>IF(ISBLANK(E121),"",(E121))</f>
        <v>Indicator de impact</v>
      </c>
      <c r="F172" s="702" t="str">
        <f>IF(ISBLANK(F121),"",(F121))</f>
        <v>TB</v>
      </c>
      <c r="G172" s="231" t="s">
        <v>361</v>
      </c>
      <c r="H172" s="323">
        <f t="shared" si="12"/>
        <v>0.20499999999999999</v>
      </c>
      <c r="I172" s="323">
        <f t="shared" si="12"/>
        <v>0</v>
      </c>
      <c r="J172" s="323">
        <f t="shared" si="12"/>
        <v>0</v>
      </c>
      <c r="K172" s="323">
        <f t="shared" si="12"/>
        <v>0</v>
      </c>
      <c r="L172" s="323">
        <f t="shared" si="12"/>
        <v>0</v>
      </c>
      <c r="M172" s="323">
        <f t="shared" si="13"/>
        <v>0</v>
      </c>
      <c r="N172" s="323">
        <f t="shared" si="13"/>
        <v>0</v>
      </c>
      <c r="O172" s="323">
        <f t="shared" si="13"/>
        <v>0</v>
      </c>
      <c r="P172" s="323">
        <f t="shared" si="13"/>
        <v>0</v>
      </c>
      <c r="Q172" s="323">
        <f t="shared" si="13"/>
        <v>0</v>
      </c>
      <c r="R172" s="323">
        <f t="shared" si="13"/>
        <v>0</v>
      </c>
      <c r="S172" s="324">
        <f t="shared" si="13"/>
        <v>0</v>
      </c>
      <c r="T172" s="238"/>
      <c r="U172" s="238"/>
    </row>
    <row r="173" spans="2:21" ht="28.5" hidden="1" customHeight="1">
      <c r="B173" s="685"/>
      <c r="C173" s="686"/>
      <c r="D173" s="687"/>
      <c r="E173" s="681"/>
      <c r="F173" s="702"/>
      <c r="G173" s="231" t="s">
        <v>362</v>
      </c>
      <c r="H173" s="323">
        <f t="shared" si="12"/>
        <v>0.26600000000000001</v>
      </c>
      <c r="I173" s="323">
        <f t="shared" si="12"/>
        <v>0</v>
      </c>
      <c r="J173" s="323">
        <f t="shared" si="12"/>
        <v>0</v>
      </c>
      <c r="K173" s="323">
        <f t="shared" si="12"/>
        <v>0</v>
      </c>
      <c r="L173" s="323">
        <f t="shared" si="12"/>
        <v>0</v>
      </c>
      <c r="M173" s="323">
        <f t="shared" si="13"/>
        <v>0</v>
      </c>
      <c r="N173" s="323">
        <f t="shared" si="13"/>
        <v>0</v>
      </c>
      <c r="O173" s="323">
        <f t="shared" si="13"/>
        <v>0</v>
      </c>
      <c r="P173" s="323">
        <f t="shared" si="13"/>
        <v>0</v>
      </c>
      <c r="Q173" s="323">
        <f t="shared" si="13"/>
        <v>0</v>
      </c>
      <c r="R173" s="323">
        <f t="shared" si="13"/>
        <v>0</v>
      </c>
      <c r="S173" s="324">
        <f t="shared" si="13"/>
        <v>0</v>
      </c>
      <c r="T173" s="238"/>
      <c r="U173" s="238"/>
    </row>
    <row r="174" spans="2:21" ht="31.5" hidden="1" customHeight="1">
      <c r="B174" s="675" t="str">
        <f>IF(ISBLANK(B123),"",(B123))</f>
        <v>HIV I-4: Mortalitatea asociată cu SIDA la 100,000 populaţie</v>
      </c>
      <c r="C174" s="676"/>
      <c r="D174" s="677"/>
      <c r="E174" s="698" t="str">
        <f>IF(ISBLANK(E123),"",(E123))</f>
        <v>Indicator de impact</v>
      </c>
      <c r="F174" s="696" t="str">
        <f>IF(ISBLANK(F123),"",(F123))</f>
        <v>HIV</v>
      </c>
      <c r="G174" s="230" t="s">
        <v>361</v>
      </c>
      <c r="H174" s="320">
        <f t="shared" si="12"/>
        <v>3.0599999999999999E-2</v>
      </c>
      <c r="I174" s="320">
        <f t="shared" ref="I174:L174" si="14">I123</f>
        <v>0</v>
      </c>
      <c r="J174" s="320">
        <f t="shared" si="14"/>
        <v>0</v>
      </c>
      <c r="K174" s="320">
        <f t="shared" si="14"/>
        <v>0</v>
      </c>
      <c r="L174" s="320">
        <f t="shared" si="14"/>
        <v>0</v>
      </c>
      <c r="M174" s="320">
        <f t="shared" si="13"/>
        <v>0</v>
      </c>
      <c r="N174" s="320">
        <f t="shared" si="13"/>
        <v>0</v>
      </c>
      <c r="O174" s="320">
        <f t="shared" si="13"/>
        <v>0</v>
      </c>
      <c r="P174" s="320">
        <f t="shared" si="13"/>
        <v>0</v>
      </c>
      <c r="Q174" s="320">
        <f t="shared" si="13"/>
        <v>0</v>
      </c>
      <c r="R174" s="320">
        <f t="shared" si="13"/>
        <v>0</v>
      </c>
      <c r="S174" s="321">
        <f t="shared" si="13"/>
        <v>0</v>
      </c>
      <c r="T174" s="238"/>
      <c r="U174" s="238"/>
    </row>
    <row r="175" spans="2:21" ht="30.75" hidden="1" customHeight="1" thickBot="1">
      <c r="B175" s="678"/>
      <c r="C175" s="679"/>
      <c r="D175" s="680"/>
      <c r="E175" s="699"/>
      <c r="F175" s="697"/>
      <c r="G175" s="235" t="s">
        <v>362</v>
      </c>
      <c r="H175" s="325">
        <f t="shared" si="12"/>
        <v>3.5999999999999997E-2</v>
      </c>
      <c r="I175" s="325">
        <f t="shared" ref="I175:L175" si="15">I124</f>
        <v>0</v>
      </c>
      <c r="J175" s="325">
        <f t="shared" si="15"/>
        <v>0</v>
      </c>
      <c r="K175" s="325">
        <f t="shared" si="15"/>
        <v>0</v>
      </c>
      <c r="L175" s="325">
        <f t="shared" si="15"/>
        <v>0</v>
      </c>
      <c r="M175" s="325">
        <f t="shared" si="13"/>
        <v>0</v>
      </c>
      <c r="N175" s="325">
        <f t="shared" si="13"/>
        <v>0</v>
      </c>
      <c r="O175" s="325">
        <f t="shared" si="13"/>
        <v>0</v>
      </c>
      <c r="P175" s="325">
        <f t="shared" si="13"/>
        <v>0</v>
      </c>
      <c r="Q175" s="325">
        <f t="shared" si="13"/>
        <v>0</v>
      </c>
      <c r="R175" s="325">
        <f t="shared" si="13"/>
        <v>0</v>
      </c>
      <c r="S175" s="326">
        <f t="shared" si="13"/>
        <v>0</v>
      </c>
      <c r="T175" s="238"/>
      <c r="U175" s="238"/>
    </row>
    <row r="176" spans="2:21">
      <c r="N176" s="3"/>
      <c r="O176" s="3"/>
      <c r="P176" s="238"/>
      <c r="Q176" s="238"/>
      <c r="S176" s="481"/>
    </row>
    <row r="177" spans="14:17">
      <c r="N177" s="3"/>
      <c r="O177" s="3"/>
      <c r="P177" s="238"/>
      <c r="Q177" s="238"/>
    </row>
    <row r="178" spans="14:17">
      <c r="N178" s="3"/>
      <c r="O178" s="3"/>
      <c r="P178" s="238"/>
      <c r="Q178" s="238"/>
    </row>
    <row r="179" spans="14:17">
      <c r="N179" s="3"/>
      <c r="O179" s="3"/>
      <c r="P179" s="238"/>
      <c r="Q179" s="238"/>
    </row>
  </sheetData>
  <sheetProtection sheet="1" objects="1" scenarios="1"/>
  <dataConsolidate link="1"/>
  <mergeCells count="113">
    <mergeCell ref="E137:E138"/>
    <mergeCell ref="F137:F138"/>
    <mergeCell ref="B139:D140"/>
    <mergeCell ref="E139:E140"/>
    <mergeCell ref="F139:F140"/>
    <mergeCell ref="B125:D126"/>
    <mergeCell ref="O31:O34"/>
    <mergeCell ref="E119:E120"/>
    <mergeCell ref="F119:F120"/>
    <mergeCell ref="F121:F122"/>
    <mergeCell ref="E121:E122"/>
    <mergeCell ref="F129:F130"/>
    <mergeCell ref="B119:D120"/>
    <mergeCell ref="F123:F124"/>
    <mergeCell ref="B121:D122"/>
    <mergeCell ref="B75:C75"/>
    <mergeCell ref="E125:E126"/>
    <mergeCell ref="F125:F126"/>
    <mergeCell ref="E123:E124"/>
    <mergeCell ref="B73:C73"/>
    <mergeCell ref="F127:F128"/>
    <mergeCell ref="B110:B113"/>
    <mergeCell ref="E10:F10"/>
    <mergeCell ref="B174:D175"/>
    <mergeCell ref="E172:E173"/>
    <mergeCell ref="B172:D173"/>
    <mergeCell ref="B127:D128"/>
    <mergeCell ref="B129:D130"/>
    <mergeCell ref="B133:D134"/>
    <mergeCell ref="E127:E128"/>
    <mergeCell ref="E129:E130"/>
    <mergeCell ref="B135:D136"/>
    <mergeCell ref="B170:D171"/>
    <mergeCell ref="E135:E136"/>
    <mergeCell ref="B131:D132"/>
    <mergeCell ref="F174:F175"/>
    <mergeCell ref="E174:E175"/>
    <mergeCell ref="F133:F134"/>
    <mergeCell ref="E133:E134"/>
    <mergeCell ref="F131:F132"/>
    <mergeCell ref="E131:E132"/>
    <mergeCell ref="F172:F173"/>
    <mergeCell ref="F170:F171"/>
    <mergeCell ref="F135:F136"/>
    <mergeCell ref="E170:E171"/>
    <mergeCell ref="B137:D138"/>
    <mergeCell ref="B26:C26"/>
    <mergeCell ref="D24:E24"/>
    <mergeCell ref="B29:N29"/>
    <mergeCell ref="B62:D62"/>
    <mergeCell ref="G24:H24"/>
    <mergeCell ref="I24:J24"/>
    <mergeCell ref="B123:D124"/>
    <mergeCell ref="B18:C18"/>
    <mergeCell ref="D18:F18"/>
    <mergeCell ref="B21:J21"/>
    <mergeCell ref="B141:D142"/>
    <mergeCell ref="E141:E142"/>
    <mergeCell ref="F141:F142"/>
    <mergeCell ref="B143:D144"/>
    <mergeCell ref="E143:E144"/>
    <mergeCell ref="F143:F144"/>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4:C74"/>
    <mergeCell ref="B118:D118"/>
    <mergeCell ref="B145:D146"/>
    <mergeCell ref="E145:E146"/>
    <mergeCell ref="F145:F146"/>
    <mergeCell ref="B147:D148"/>
    <mergeCell ref="E147:E148"/>
    <mergeCell ref="F147:F148"/>
    <mergeCell ref="E155:E156"/>
    <mergeCell ref="F155:F156"/>
    <mergeCell ref="B149:D150"/>
    <mergeCell ref="E149:E150"/>
    <mergeCell ref="F149:F150"/>
    <mergeCell ref="B151:D152"/>
    <mergeCell ref="E151:E152"/>
    <mergeCell ref="F151:F152"/>
    <mergeCell ref="B157:D158"/>
    <mergeCell ref="E157:E158"/>
    <mergeCell ref="F157:F158"/>
    <mergeCell ref="B159:D160"/>
    <mergeCell ref="E159:E160"/>
    <mergeCell ref="F159:F160"/>
    <mergeCell ref="B153:D154"/>
    <mergeCell ref="B165:D166"/>
    <mergeCell ref="E165:E166"/>
    <mergeCell ref="F165:F166"/>
    <mergeCell ref="B161:D162"/>
    <mergeCell ref="E161:E162"/>
    <mergeCell ref="F161:F162"/>
    <mergeCell ref="B163:D164"/>
    <mergeCell ref="E163:E164"/>
    <mergeCell ref="F163:F164"/>
    <mergeCell ref="E153:E154"/>
    <mergeCell ref="F153:F154"/>
    <mergeCell ref="B155:D156"/>
  </mergeCells>
  <phoneticPr fontId="23" type="noConversion"/>
  <conditionalFormatting sqref="B34 B32 E32:H32 D33:N33">
    <cfRule type="expression" dxfId="57" priority="6" stopIfTrue="1">
      <formula>+AND(B31&gt;=#REF!,B31&lt;=#REF!)</formula>
    </cfRule>
  </conditionalFormatting>
  <conditionalFormatting sqref="D34:N34">
    <cfRule type="expression" dxfId="56" priority="7" stopIfTrue="1">
      <formula>+AND(D32&gt;=#REF!,D32&lt;=#REF!)</formula>
    </cfRule>
  </conditionalFormatting>
  <conditionalFormatting sqref="C30:N30 C96:N96">
    <cfRule type="cellIs" dxfId="55" priority="10" stopIfTrue="1" operator="equal">
      <formula>$C$16</formula>
    </cfRule>
  </conditionalFormatting>
  <conditionalFormatting sqref="C12:D12">
    <cfRule type="cellIs" dxfId="54" priority="12" stopIfTrue="1" operator="equal">
      <formula>"C"</formula>
    </cfRule>
    <cfRule type="cellIs" dxfId="53" priority="13" stopIfTrue="1" operator="equal">
      <formula>"B2"</formula>
    </cfRule>
    <cfRule type="cellIs" dxfId="52" priority="14" stopIfTrue="1" operator="equal">
      <formula>"B1"</formula>
    </cfRule>
  </conditionalFormatting>
  <conditionalFormatting sqref="H169:S169 H118:S118">
    <cfRule type="cellIs" dxfId="51" priority="21" stopIfTrue="1" operator="equal">
      <formula>$C$16</formula>
    </cfRule>
  </conditionalFormatting>
  <conditionalFormatting sqref="C34">
    <cfRule type="expression" dxfId="50" priority="1" stopIfTrue="1">
      <formula>+AND(C32&gt;=#REF!,C32&lt;=#REF!)</formula>
    </cfRule>
  </conditionalFormatting>
  <dataValidations count="9">
    <dataValidation type="list" allowBlank="1" showInputMessage="1" showErrorMessage="1" sqref="B110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0:C113"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0" max="16383" man="1"/>
    <brk id="106" max="14" man="1"/>
  </rowBreaks>
  <ignoredErrors>
    <ignoredError sqref="H169:S169 E17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D5" sqref="D5"/>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149"/>
      <c r="H1" s="2"/>
      <c r="I1" s="2"/>
      <c r="J1" s="2"/>
    </row>
    <row r="2" spans="1:24" ht="25.5" customHeight="1"/>
    <row r="3" spans="1:24" ht="36">
      <c r="B3" s="728" t="str">
        <f>+"Tabel Programatic de Evaluare: "&amp;" "&amp;+IF('Introducerea datelor'!C4="Please Select","",'Introducerea datelor'!C4&amp;" - ")&amp;+IF('Introducerea datelor'!G6="Please Select","",'Introducerea datelor'!G6)</f>
        <v>Tabel Programatic de Evaluare:  Moldova - HIVAIDS / TB</v>
      </c>
      <c r="C3" s="728"/>
      <c r="D3" s="728"/>
      <c r="E3" s="728"/>
      <c r="F3" s="728"/>
      <c r="G3" s="728"/>
      <c r="H3" s="728"/>
      <c r="I3" s="728"/>
      <c r="J3" s="72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424" t="s">
        <v>279</v>
      </c>
      <c r="B6" s="730" t="str">
        <f>+IF('Introducerea datelor'!C4="Please Select","",'Introducerea datelor'!C4)</f>
        <v>Moldova</v>
      </c>
      <c r="C6" s="730"/>
      <c r="D6" s="734" t="s">
        <v>283</v>
      </c>
      <c r="E6" s="734"/>
      <c r="F6" s="735" t="str">
        <f>+'Introducerea datelor'!G4</f>
        <v>Consolidarea controlului tuberculozei și reducerea SIDA și a mortalității aferente în Republica Moldova</v>
      </c>
      <c r="G6" s="735"/>
      <c r="H6" s="735"/>
      <c r="I6" s="735"/>
      <c r="J6" s="735"/>
      <c r="K6" s="32"/>
      <c r="L6" s="53"/>
      <c r="M6" s="32"/>
      <c r="N6" s="32"/>
      <c r="O6" s="32"/>
      <c r="P6" s="33"/>
      <c r="Q6" s="17"/>
      <c r="R6" s="17"/>
      <c r="S6" s="17"/>
      <c r="T6" s="17"/>
      <c r="U6" s="17"/>
    </row>
    <row r="7" spans="1:24" ht="8.25" customHeight="1">
      <c r="B7" s="6"/>
      <c r="C7" s="7"/>
      <c r="D7" s="7"/>
      <c r="E7" s="8"/>
      <c r="F7" s="8"/>
      <c r="G7" s="9"/>
      <c r="H7" s="9"/>
      <c r="K7" s="32"/>
      <c r="L7" s="32"/>
      <c r="M7" s="32"/>
      <c r="N7" s="32"/>
      <c r="O7" s="32"/>
      <c r="P7" s="33"/>
      <c r="Q7" s="17"/>
      <c r="R7" s="17"/>
      <c r="S7" s="17"/>
      <c r="T7" s="17"/>
      <c r="U7" s="17"/>
    </row>
    <row r="8" spans="1:24" ht="3.75" customHeight="1">
      <c r="C8" s="10"/>
      <c r="D8" s="10"/>
      <c r="E8" s="10"/>
      <c r="F8" s="10"/>
      <c r="G8" s="10"/>
      <c r="H8" s="10"/>
      <c r="I8" s="10"/>
      <c r="J8" s="10"/>
      <c r="K8" s="32"/>
      <c r="L8" s="32"/>
      <c r="M8" s="32"/>
      <c r="N8" s="32"/>
      <c r="O8" s="34"/>
      <c r="P8" s="33"/>
      <c r="Q8" s="34"/>
      <c r="R8" s="35"/>
      <c r="S8" s="17"/>
      <c r="T8" s="17"/>
      <c r="U8" s="17"/>
    </row>
    <row r="9" spans="1:24" ht="25.5" customHeight="1">
      <c r="A9" s="423" t="s">
        <v>284</v>
      </c>
      <c r="B9" s="190" t="str">
        <f>+IF('Introducerea datelor'!G6="Please Select","",'Introducerea datelor'!G6)</f>
        <v>HIVAIDS / TB</v>
      </c>
      <c r="C9" s="131" t="s">
        <v>246</v>
      </c>
      <c r="D9" s="191" t="str">
        <f>+'Introducerea datelor'!C6</f>
        <v>MDA-C-PCIMU</v>
      </c>
      <c r="E9" s="732" t="s">
        <v>367</v>
      </c>
      <c r="F9" s="732"/>
      <c r="G9" s="244">
        <f>+IF(ISBLANK('Introducerea datelor'!C10),"",'Introducerea datelor'!C10)</f>
        <v>43101</v>
      </c>
      <c r="H9" s="423" t="s">
        <v>285</v>
      </c>
      <c r="I9" s="731">
        <f>+IF(ISBLANK('Introducerea datelor'!I6),"",'Introducerea datelor'!I6)</f>
        <v>11931624</v>
      </c>
      <c r="J9" s="731"/>
      <c r="K9" s="32"/>
      <c r="L9" s="32"/>
      <c r="M9" s="32"/>
      <c r="N9" s="32"/>
      <c r="O9" s="34"/>
      <c r="P9" s="33"/>
      <c r="Q9" s="34"/>
      <c r="R9" s="35"/>
      <c r="S9" s="17"/>
      <c r="T9" s="11"/>
      <c r="U9" s="11"/>
      <c r="V9" s="10"/>
      <c r="W9" s="10"/>
      <c r="X9" s="10"/>
    </row>
    <row r="10" spans="1:24" ht="25.5" customHeight="1">
      <c r="A10" s="423" t="s">
        <v>286</v>
      </c>
      <c r="B10" s="192" t="str">
        <f>+IF('Introducerea datelor'!G8="Please Select","",'Introducerea datelor'!G8)</f>
        <v/>
      </c>
      <c r="C10" s="131" t="s">
        <v>287</v>
      </c>
      <c r="D10" s="193" t="str">
        <f>+IF('Introducerea datelor'!I8="Please Select","",'Introducerea datelor'!I8)</f>
        <v>Period 1</v>
      </c>
      <c r="E10" s="733" t="s">
        <v>368</v>
      </c>
      <c r="F10" s="733"/>
      <c r="G10" s="729" t="str">
        <f>+'Introducerea datelor'!C8</f>
        <v>IP UCIMP DS</v>
      </c>
      <c r="H10" s="729"/>
      <c r="I10" s="729"/>
      <c r="J10" s="729"/>
      <c r="K10" s="36"/>
      <c r="L10" s="36"/>
      <c r="M10" s="32"/>
      <c r="N10" s="36"/>
      <c r="O10" s="34"/>
      <c r="P10" s="33"/>
      <c r="Q10" s="11"/>
      <c r="R10" s="35"/>
      <c r="S10" s="17"/>
      <c r="T10" s="11"/>
      <c r="U10" s="11"/>
    </row>
    <row r="11" spans="1:24" ht="25.5" customHeight="1">
      <c r="A11" s="423" t="s">
        <v>290</v>
      </c>
      <c r="B11" s="422" t="str">
        <f>+'Introducerea datelor'!C16</f>
        <v>P1</v>
      </c>
      <c r="C11" s="181" t="s">
        <v>291</v>
      </c>
      <c r="D11" s="425">
        <f>+IF(ISBLANK('Introducerea datelor'!E16),"",'Introducerea datelor'!E16)</f>
        <v>43101</v>
      </c>
      <c r="E11" s="732" t="s">
        <v>292</v>
      </c>
      <c r="F11" s="732"/>
      <c r="G11" s="425">
        <f>+IF(ISBLANK('Introducerea datelor'!G16),"",'Introducerea datelor'!G16)</f>
        <v>43281</v>
      </c>
      <c r="H11" s="423" t="s">
        <v>282</v>
      </c>
      <c r="I11" s="736" t="str">
        <f>+IF('Introducerea datelor'!C12="Please Select","",'Introducerea datelor'!C12)</f>
        <v/>
      </c>
      <c r="J11" s="736"/>
      <c r="K11" s="148"/>
      <c r="L11" s="36"/>
      <c r="M11" s="32"/>
      <c r="N11" s="36"/>
      <c r="O11" s="36"/>
      <c r="P11" s="33"/>
      <c r="Q11" s="11"/>
      <c r="R11" s="35"/>
      <c r="S11" s="17"/>
      <c r="T11" s="12"/>
      <c r="U11" s="11"/>
    </row>
    <row r="12" spans="1:24" ht="25.5" customHeight="1">
      <c r="A12" s="423" t="s">
        <v>288</v>
      </c>
      <c r="B12" s="729" t="str">
        <f>+IF('Introducerea datelor'!G10="Please Select","",'Introducerea datelor'!G10)</f>
        <v>PwC (PricewaterhouseCoopers)</v>
      </c>
      <c r="C12" s="729"/>
      <c r="D12" s="729"/>
      <c r="E12" s="733" t="s">
        <v>231</v>
      </c>
      <c r="F12" s="733"/>
      <c r="G12" s="729" t="str">
        <f>+'Introducerea datelor'!G12</f>
        <v>Tsovinar Sakanyan</v>
      </c>
      <c r="H12" s="729"/>
      <c r="I12" s="729"/>
      <c r="J12" s="729"/>
      <c r="K12" s="36"/>
      <c r="L12" s="36"/>
      <c r="M12" s="32"/>
      <c r="N12" s="36"/>
      <c r="O12" s="17"/>
      <c r="P12" s="33"/>
      <c r="Q12" s="11"/>
      <c r="R12" s="35"/>
      <c r="S12" s="17"/>
      <c r="T12" s="11"/>
      <c r="U12" s="37"/>
      <c r="V12" s="11"/>
      <c r="W12" s="12"/>
      <c r="X12" s="11"/>
    </row>
    <row r="13" spans="1:24" ht="30.75" customHeight="1">
      <c r="A13" s="423" t="s">
        <v>369</v>
      </c>
      <c r="B13" s="729" t="str">
        <f>+'Introducerea datelor'!D18</f>
        <v>IP UCIMP DS</v>
      </c>
      <c r="C13" s="729"/>
      <c r="D13" s="729"/>
      <c r="E13" s="737" t="s">
        <v>370</v>
      </c>
      <c r="F13" s="737"/>
      <c r="G13" s="738">
        <f>+IF(ISBLANK('Introducerea datelor'!J16),"",'Introducerea datelor'!J16)</f>
        <v>43353</v>
      </c>
      <c r="H13" s="739"/>
      <c r="I13" s="739"/>
      <c r="J13" s="739"/>
      <c r="K13" s="17"/>
      <c r="L13" s="18"/>
      <c r="M13" s="18"/>
      <c r="N13" s="18"/>
      <c r="O13" s="17"/>
      <c r="P13" s="18"/>
      <c r="Q13" s="18"/>
      <c r="R13" s="35"/>
      <c r="S13" s="17"/>
      <c r="T13" s="18"/>
      <c r="U13" s="38"/>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34"/>
      <c r="D16" s="16"/>
      <c r="E16" s="20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sheet="1" objects="1" scenarios="1"/>
  <dataConsolidate link="1"/>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49" priority="1" stopIfTrue="1" operator="equal">
      <formula>"C"</formula>
    </cfRule>
    <cfRule type="cellIs" dxfId="48" priority="2" stopIfTrue="1" operator="equal">
      <formula>"B2"</formula>
    </cfRule>
    <cfRule type="cellIs" dxfId="4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zoomScale="55" zoomScaleNormal="55" zoomScaleSheetLayoutView="100" workbookViewId="0">
      <selection activeCell="I8" activeCellId="5" sqref="C8:F8 C16:F16 C27:F27 I27:L27 I16:L16 I8:L8"/>
    </sheetView>
  </sheetViews>
  <sheetFormatPr defaultColWidth="11" defaultRowHeight="15"/>
  <cols>
    <col min="1" max="1" width="3.28515625" style="3" customWidth="1"/>
    <col min="2" max="2" width="10.42578125" style="3" customWidth="1"/>
    <col min="3" max="3" width="12.42578125" style="3" customWidth="1"/>
    <col min="4" max="4" width="13.140625" style="3" customWidth="1"/>
    <col min="5" max="5" width="11.42578125" style="3" customWidth="1"/>
    <col min="6" max="6" width="17" style="3" customWidth="1"/>
    <col min="7" max="7" width="3.85546875" style="3" customWidth="1"/>
    <col min="8" max="8" width="9.85546875" style="3" customWidth="1"/>
    <col min="9" max="9" width="13" style="3" customWidth="1"/>
    <col min="10" max="10" width="13.7109375" style="3" customWidth="1"/>
    <col min="11" max="11" width="13.5703125" style="3" customWidth="1"/>
    <col min="12" max="12" width="14.140625" style="3" customWidth="1"/>
    <col min="13" max="16384" width="11" style="3"/>
  </cols>
  <sheetData>
    <row r="1" spans="1:16" ht="28.5" customHeight="1">
      <c r="C1" s="574"/>
      <c r="E1" s="575"/>
    </row>
    <row r="2" spans="1:16" ht="27.75" customHeight="1">
      <c r="B2" s="756" t="str">
        <f>+"Tabel Programatic de Evaluare:  "&amp;"  "&amp;IF(+'Introducerea datelor'!C4="Please Select","",'Introducerea datelor'!C4&amp;" - ")&amp;IF('Introducerea datelor'!G6="Please Select","",'Introducerea datelor'!G6)</f>
        <v>Tabel Programatic de Evaluare:    Moldova - HIVAIDS / TB</v>
      </c>
      <c r="C2" s="756"/>
      <c r="D2" s="756"/>
      <c r="E2" s="756"/>
      <c r="F2" s="756"/>
      <c r="G2" s="756"/>
      <c r="H2" s="756"/>
      <c r="I2" s="756"/>
      <c r="J2" s="756"/>
      <c r="K2" s="756"/>
      <c r="L2" s="756"/>
      <c r="M2" s="576"/>
      <c r="N2" s="576"/>
      <c r="O2" s="576"/>
      <c r="P2" s="576"/>
    </row>
    <row r="3" spans="1:16">
      <c r="B3" s="426" t="str">
        <f>+IF('Introducerea datelor'!G8="Please Select","",'Introducerea datelor'!G8)</f>
        <v/>
      </c>
      <c r="C3" s="761" t="str">
        <f>+IF('Introducerea datelor'!I8="Please Select","",'Introducerea datelor'!I8)</f>
        <v>Period 1</v>
      </c>
      <c r="D3" s="761"/>
      <c r="E3" s="759"/>
      <c r="F3" s="759"/>
      <c r="G3" s="759"/>
      <c r="H3" s="759"/>
      <c r="I3" s="759"/>
      <c r="J3" s="760" t="str">
        <f>+'Introducerea datelor'!B16</f>
        <v>Perioada de Raportare:</v>
      </c>
      <c r="K3" s="760"/>
      <c r="L3" s="120" t="str">
        <f>+'Introducerea datelor'!C16</f>
        <v>P1</v>
      </c>
    </row>
    <row r="4" spans="1:16">
      <c r="B4" s="426" t="str">
        <f>+'Introducerea datelor'!B12</f>
        <v>Ultimul Rating:</v>
      </c>
      <c r="C4" s="757" t="str">
        <f>+IF('Introducerea datelor'!C12="Please Select","",'Introducerea datelor'!C12)</f>
        <v/>
      </c>
      <c r="D4" s="757"/>
      <c r="E4" s="759" t="str">
        <f>+'Introducerea datelor'!C8</f>
        <v>IP UCIMP DS</v>
      </c>
      <c r="F4" s="759"/>
      <c r="G4" s="759"/>
      <c r="H4" s="759"/>
      <c r="I4" s="759"/>
      <c r="J4" s="760" t="str">
        <f>+'Introducerea datelor'!D16</f>
        <v>De la:</v>
      </c>
      <c r="K4" s="762"/>
      <c r="L4" s="263">
        <f>+IF(ISBLANK('Introducerea datelor'!E16),"",'Introducerea datelor'!E16)</f>
        <v>43101</v>
      </c>
    </row>
    <row r="5" spans="1:16" ht="27.75" customHeight="1">
      <c r="B5" s="426"/>
      <c r="C5" s="426"/>
      <c r="D5" s="753" t="str">
        <f>+'Introducerea datelor'!G4</f>
        <v>Consolidarea controlului tuberculozei și reducerea SIDA și a mortalității aferente în Republica Moldova</v>
      </c>
      <c r="E5" s="753"/>
      <c r="F5" s="753"/>
      <c r="G5" s="753"/>
      <c r="H5" s="753"/>
      <c r="I5" s="753"/>
      <c r="J5" s="753"/>
      <c r="K5" s="426" t="str">
        <f>+'Introducerea datelor'!F16</f>
        <v>Pînă la:</v>
      </c>
      <c r="L5" s="263">
        <f>+IF(ISBLANK('Introducerea datelor'!G16),"",'Introducerea datelor'!G16)</f>
        <v>43281</v>
      </c>
    </row>
    <row r="6" spans="1:16" ht="18.75">
      <c r="B6" s="99"/>
      <c r="C6" s="426"/>
      <c r="D6" s="97"/>
      <c r="E6" s="758" t="s">
        <v>375</v>
      </c>
      <c r="F6" s="758"/>
      <c r="G6" s="758"/>
      <c r="H6" s="758"/>
      <c r="I6" s="758"/>
    </row>
    <row r="7" spans="1:16" ht="26.25" customHeight="1">
      <c r="B7" s="742" t="str">
        <f>+'Introducerea datelor'!B71&amp;"                "&amp;+J3&amp;" "&amp;+L3</f>
        <v>M1: Statutul Condițiilor Precedente și a Acțiunilor Prestabilite în Timp                 Perioada de Raportare: P1</v>
      </c>
      <c r="C7" s="743"/>
      <c r="D7" s="743"/>
      <c r="E7" s="743"/>
      <c r="F7" s="743"/>
      <c r="H7" s="742" t="str">
        <f>+'Introducerea datelor'!B78&amp;"                                                                             "&amp;+J3&amp;"  "&amp;+L3</f>
        <v>M2: Statutul pozițiilor cheie a RP                                                                              Perioada de Raportare:  P1</v>
      </c>
      <c r="I7" s="743"/>
      <c r="J7" s="743"/>
      <c r="K7" s="743"/>
      <c r="L7" s="743"/>
    </row>
    <row r="8" spans="1:16" ht="96.75" customHeight="1">
      <c r="B8" s="577" t="s">
        <v>374</v>
      </c>
      <c r="C8" s="745" t="s">
        <v>529</v>
      </c>
      <c r="D8" s="748"/>
      <c r="E8" s="748"/>
      <c r="F8" s="749"/>
      <c r="G8" s="578"/>
      <c r="H8" s="577" t="s">
        <v>374</v>
      </c>
      <c r="I8" s="745" t="s">
        <v>528</v>
      </c>
      <c r="J8" s="746"/>
      <c r="K8" s="746"/>
      <c r="L8" s="747"/>
    </row>
    <row r="9" spans="1:16" ht="22.5" customHeight="1">
      <c r="B9" s="2"/>
      <c r="C9" s="2"/>
      <c r="D9" s="2"/>
      <c r="E9" s="2"/>
      <c r="F9" s="2"/>
      <c r="G9" s="2"/>
      <c r="H9" s="2"/>
    </row>
    <row r="10" spans="1:16" ht="21" customHeight="1">
      <c r="A10" s="579"/>
      <c r="B10" s="2"/>
      <c r="C10" s="2"/>
      <c r="D10" s="755"/>
      <c r="E10" s="754"/>
      <c r="F10" s="754"/>
      <c r="G10" s="580"/>
      <c r="H10" s="2"/>
      <c r="N10" s="581"/>
      <c r="O10" s="581"/>
      <c r="P10" s="416"/>
    </row>
    <row r="11" spans="1:16">
      <c r="B11" s="2"/>
      <c r="C11" s="79"/>
      <c r="D11" s="755"/>
      <c r="E11" s="79"/>
      <c r="F11" s="79"/>
      <c r="G11" s="79"/>
      <c r="H11" s="79"/>
      <c r="N11" s="2"/>
      <c r="O11" s="2"/>
    </row>
    <row r="12" spans="1:16">
      <c r="B12" s="79"/>
      <c r="C12" s="582"/>
      <c r="D12" s="583"/>
      <c r="E12" s="583"/>
      <c r="F12" s="583"/>
      <c r="G12" s="583"/>
      <c r="H12" s="584"/>
      <c r="N12" s="585"/>
    </row>
    <row r="13" spans="1:16">
      <c r="B13" s="79"/>
      <c r="C13" s="582"/>
      <c r="D13" s="583"/>
      <c r="E13" s="583"/>
      <c r="F13" s="583"/>
      <c r="G13" s="583"/>
      <c r="H13" s="584"/>
    </row>
    <row r="14" spans="1:16" ht="27" customHeight="1"/>
    <row r="15" spans="1:16" ht="35.25" customHeight="1">
      <c r="B15" s="742" t="str">
        <f>+'Introducerea datelor'!B83&amp;"                                                                                                 "&amp;+J3&amp;" "&amp;+L3</f>
        <v>M3: Aranjamente contractuale (SR)                                                                                                  Perioada de Raportare: P1</v>
      </c>
      <c r="C15" s="743"/>
      <c r="D15" s="743"/>
      <c r="E15" s="743"/>
      <c r="F15" s="743"/>
      <c r="G15" s="743"/>
      <c r="H15" s="742" t="str">
        <f>+'Introducerea datelor'!B88&amp;"                        "&amp;+J3&amp;" "&amp;+L3</f>
        <v>M4: Numărul rapoartelor complete recepționate la timp                        Perioada de Raportare: P1</v>
      </c>
      <c r="I15" s="743"/>
      <c r="J15" s="743"/>
      <c r="K15" s="743"/>
      <c r="L15" s="743"/>
    </row>
    <row r="16" spans="1:16" ht="79.5" customHeight="1">
      <c r="B16" s="577" t="s">
        <v>374</v>
      </c>
      <c r="C16" s="745" t="s">
        <v>508</v>
      </c>
      <c r="D16" s="746"/>
      <c r="E16" s="746"/>
      <c r="F16" s="747"/>
      <c r="G16" s="578"/>
      <c r="H16" s="577" t="s">
        <v>374</v>
      </c>
      <c r="I16" s="745" t="s">
        <v>509</v>
      </c>
      <c r="J16" s="748"/>
      <c r="K16" s="748"/>
      <c r="L16" s="749"/>
    </row>
    <row r="17" spans="2:13">
      <c r="B17" s="586"/>
      <c r="H17" s="587"/>
    </row>
    <row r="18" spans="2:13">
      <c r="M18" s="588"/>
    </row>
    <row r="26" spans="2:13" ht="40.5" customHeight="1">
      <c r="B26" s="740" t="str">
        <f>+'Introducerea datelor'!B94</f>
        <v xml:space="preserve">M5: Bugetul și Procurarea produselor medicale, echipamentului medical, medicamentelor și produselor farmaceutice </v>
      </c>
      <c r="C26" s="741"/>
      <c r="D26" s="741"/>
      <c r="E26" s="741"/>
      <c r="F26" s="741"/>
      <c r="H26" s="742" t="str">
        <f>+'Introducerea datelor'!B107&amp;"                                                                "&amp;+J3&amp;"  "&amp;+L3</f>
        <v>M6: Diferență între stocul curent și stocul de siguranță                                                                Perioada de Raportare:  P1</v>
      </c>
      <c r="I26" s="743"/>
      <c r="J26" s="743"/>
      <c r="K26" s="743"/>
      <c r="L26" s="743"/>
    </row>
    <row r="27" spans="2:13" ht="54.75" customHeight="1">
      <c r="B27" s="577" t="s">
        <v>374</v>
      </c>
      <c r="C27" s="745" t="s">
        <v>527</v>
      </c>
      <c r="D27" s="746"/>
      <c r="E27" s="746"/>
      <c r="F27" s="747"/>
      <c r="G27" s="578"/>
      <c r="H27" s="577" t="s">
        <v>1</v>
      </c>
      <c r="I27" s="745" t="s">
        <v>510</v>
      </c>
      <c r="J27" s="748"/>
      <c r="K27" s="748"/>
      <c r="L27" s="749"/>
    </row>
    <row r="28" spans="2:13" ht="15.75" thickBot="1"/>
    <row r="29" spans="2:13" ht="59.25" customHeight="1">
      <c r="F29" s="183"/>
      <c r="G29" s="183"/>
      <c r="H29" s="237" t="s">
        <v>351</v>
      </c>
      <c r="I29" s="236" t="s">
        <v>376</v>
      </c>
      <c r="J29" s="195" t="s">
        <v>378</v>
      </c>
      <c r="K29" s="128" t="s">
        <v>379</v>
      </c>
      <c r="L29" s="182" t="s">
        <v>380</v>
      </c>
    </row>
    <row r="30" spans="2:13" ht="15" customHeight="1">
      <c r="F30" s="183"/>
      <c r="G30" s="183"/>
      <c r="H30" s="750" t="str">
        <f>+'Introducerea datelor'!B110</f>
        <v>Please Select</v>
      </c>
      <c r="I30" s="431" t="str">
        <f>+'Introducerea datelor'!C110</f>
        <v>Please Select</v>
      </c>
      <c r="J30" s="432" t="str">
        <f>+'Introducerea datelor'!I110</f>
        <v/>
      </c>
      <c r="K30" s="433">
        <f>+'Introducerea datelor'!J110</f>
        <v>0</v>
      </c>
      <c r="L30" s="434" t="str">
        <f>+'Introducerea datelor'!K110</f>
        <v/>
      </c>
    </row>
    <row r="31" spans="2:13">
      <c r="F31" s="183"/>
      <c r="G31" s="183"/>
      <c r="H31" s="751"/>
      <c r="I31" s="431" t="str">
        <f>+'Introducerea datelor'!C111</f>
        <v>Please Select</v>
      </c>
      <c r="J31" s="432" t="str">
        <f>+'Introducerea datelor'!I111</f>
        <v/>
      </c>
      <c r="K31" s="433">
        <f>+'Introducerea datelor'!J111</f>
        <v>0</v>
      </c>
      <c r="L31" s="435" t="str">
        <f>+'Introducerea datelor'!K111</f>
        <v/>
      </c>
    </row>
    <row r="32" spans="2:13">
      <c r="F32" s="183"/>
      <c r="G32" s="183"/>
      <c r="H32" s="751"/>
      <c r="I32" s="431" t="str">
        <f>+'Introducerea datelor'!C112</f>
        <v>Please Select</v>
      </c>
      <c r="J32" s="432" t="str">
        <f>+'Introducerea datelor'!I112</f>
        <v/>
      </c>
      <c r="K32" s="433">
        <f>+'Introducerea datelor'!J112</f>
        <v>0</v>
      </c>
      <c r="L32" s="434" t="str">
        <f>+'Introducerea datelor'!K112</f>
        <v/>
      </c>
    </row>
    <row r="33" spans="2:12" ht="30" customHeight="1" thickBot="1">
      <c r="F33" s="183"/>
      <c r="G33" s="183"/>
      <c r="H33" s="752"/>
      <c r="I33" s="436" t="str">
        <f>+'Introducerea datelor'!C113</f>
        <v>Please Select</v>
      </c>
      <c r="J33" s="437" t="str">
        <f>+'Introducerea datelor'!I113</f>
        <v/>
      </c>
      <c r="K33" s="438">
        <f>+'Introducerea datelor'!J113</f>
        <v>0</v>
      </c>
      <c r="L33" s="434" t="str">
        <f>+'Introducerea datelor'!K113</f>
        <v/>
      </c>
    </row>
    <row r="34" spans="2:12" ht="22.5" customHeight="1">
      <c r="B34" s="744" t="str">
        <f>+'Introducerea datelor'!B104</f>
        <v>* Include numai AFR categoriile 4,5 și 6  (Produse medicale și Echipamente medicale &amp; Medicamente și Produse farmaceutice)</v>
      </c>
      <c r="C34" s="744"/>
      <c r="D34" s="744"/>
      <c r="E34" s="744"/>
      <c r="F34" s="2"/>
      <c r="G34" s="2"/>
      <c r="H34" s="589"/>
      <c r="I34" s="590"/>
      <c r="J34" s="591"/>
      <c r="K34" s="580"/>
      <c r="L34" s="15"/>
    </row>
    <row r="35" spans="2:12">
      <c r="F35" s="2"/>
      <c r="G35" s="2"/>
      <c r="H35" s="2"/>
      <c r="I35" s="2"/>
      <c r="J35" s="2"/>
      <c r="K35" s="2"/>
      <c r="L35" s="2"/>
    </row>
  </sheetData>
  <sheetProtection sheet="1" objects="1" scenarios="1"/>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46" priority="1" stopIfTrue="1" operator="greaterThan">
      <formula>0</formula>
    </cfRule>
  </conditionalFormatting>
  <conditionalFormatting sqref="E12:E13">
    <cfRule type="cellIs" dxfId="45" priority="2" stopIfTrue="1" operator="greaterThan">
      <formula>0</formula>
    </cfRule>
  </conditionalFormatting>
  <conditionalFormatting sqref="F12:G13">
    <cfRule type="cellIs" dxfId="44" priority="3" stopIfTrue="1" operator="greaterThan">
      <formula>0</formula>
    </cfRule>
  </conditionalFormatting>
  <conditionalFormatting sqref="C4:D4">
    <cfRule type="cellIs" dxfId="43" priority="4" stopIfTrue="1" operator="equal">
      <formula>"C"</formula>
    </cfRule>
    <cfRule type="cellIs" dxfId="42" priority="5" stopIfTrue="1" operator="equal">
      <formula>"B2"</formula>
    </cfRule>
    <cfRule type="cellIs" dxfId="41" priority="6" stopIfTrue="1" operator="equal">
      <formula>"B1"</formula>
    </cfRule>
  </conditionalFormatting>
  <conditionalFormatting sqref="L30 L32:L33">
    <cfRule type="cellIs" dxfId="40" priority="13" stopIfTrue="1" operator="lessThan">
      <formula>1</formula>
    </cfRule>
    <cfRule type="cellIs" dxfId="39" priority="14" stopIfTrue="1" operator="between">
      <formula>3</formula>
      <formula>17</formula>
    </cfRule>
    <cfRule type="cellIs" dxfId="38" priority="15" stopIfTrue="1" operator="between">
      <formula>1</formula>
      <formula>3</formula>
    </cfRule>
  </conditionalFormatting>
  <conditionalFormatting sqref="L31">
    <cfRule type="cellIs" dxfId="37" priority="16" stopIfTrue="1" operator="lessThan">
      <formula>1</formula>
    </cfRule>
    <cfRule type="cellIs" dxfId="36" priority="17" stopIfTrue="1" operator="between">
      <formula>3</formula>
      <formula>100</formula>
    </cfRule>
    <cfRule type="cellIs" dxfId="35"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view="pageBreakPreview" zoomScale="85" zoomScaleNormal="100" zoomScaleSheetLayoutView="85" workbookViewId="0">
      <selection activeCell="D5" sqref="D5:I5"/>
    </sheetView>
  </sheetViews>
  <sheetFormatPr defaultColWidth="11" defaultRowHeight="15"/>
  <cols>
    <col min="1" max="6" width="19.42578125" style="3" customWidth="1"/>
    <col min="7" max="7" width="3.85546875" style="3" customWidth="1"/>
    <col min="8" max="11" width="24.28515625" style="3" customWidth="1"/>
    <col min="12" max="16384" width="11" style="3"/>
  </cols>
  <sheetData>
    <row r="1" spans="2:15" ht="30.75" customHeight="1"/>
    <row r="2" spans="2:15" ht="27.75" customHeight="1">
      <c r="B2" s="783" t="str">
        <f>+"Tabel Programatic de Evaluare:  "&amp;"  "&amp;IF(+'Introducerea datelor'!C4="Please Select","",'Introducerea datelor'!C4&amp;" - ")&amp;IF('Introducerea datelor'!G6="Please Select","",'Introducerea datelor'!G6)</f>
        <v>Tabel Programatic de Evaluare:    Moldova - HIVAIDS / TB</v>
      </c>
      <c r="C2" s="783"/>
      <c r="D2" s="783"/>
      <c r="E2" s="783"/>
      <c r="F2" s="783"/>
      <c r="G2" s="783"/>
      <c r="H2" s="783"/>
      <c r="I2" s="783"/>
      <c r="J2" s="783"/>
      <c r="K2" s="783"/>
      <c r="L2" s="592"/>
      <c r="M2" s="592"/>
      <c r="N2" s="592"/>
      <c r="O2" s="592"/>
    </row>
    <row r="3" spans="2:15">
      <c r="B3" s="426" t="str">
        <f>+IF('Introducerea datelor'!G8="Please Select","",'Introducerea datelor'!G8)</f>
        <v/>
      </c>
      <c r="C3" s="761" t="str">
        <f>+IF('Introducerea datelor'!I8="Please Select","",'Introducerea datelor'!I8)</f>
        <v>Period 1</v>
      </c>
      <c r="D3" s="761"/>
      <c r="E3" s="759"/>
      <c r="F3" s="759"/>
      <c r="G3" s="759"/>
      <c r="H3" s="759"/>
      <c r="I3" s="760" t="str">
        <f>+'Introducerea datelor'!B16</f>
        <v>Perioada de Raportare:</v>
      </c>
      <c r="J3" s="760"/>
      <c r="K3" s="120" t="str">
        <f>+'Introducerea datelor'!C16</f>
        <v>P1</v>
      </c>
      <c r="L3" s="588"/>
    </row>
    <row r="4" spans="2:15">
      <c r="B4" s="426" t="str">
        <f>+'Introducerea datelor'!B12</f>
        <v>Ultimul Rating:</v>
      </c>
      <c r="C4" s="757" t="str">
        <f>+IF('Introducerea datelor'!C12="Please Select","",'Introducerea datelor'!C12)</f>
        <v/>
      </c>
      <c r="D4" s="757"/>
      <c r="E4" s="759" t="str">
        <f>+'Introducerea datelor'!C8</f>
        <v>IP UCIMP DS</v>
      </c>
      <c r="F4" s="759"/>
      <c r="G4" s="759"/>
      <c r="H4" s="759"/>
      <c r="I4" s="760" t="str">
        <f>+'Introducerea datelor'!D16</f>
        <v>De la:</v>
      </c>
      <c r="J4" s="762"/>
      <c r="K4" s="263">
        <f>+IF(ISBLANK('Introducerea datelor'!E16),"",'Introducerea datelor'!E16)</f>
        <v>43101</v>
      </c>
    </row>
    <row r="5" spans="2:15" ht="18.75" customHeight="1">
      <c r="B5" s="426"/>
      <c r="C5" s="426"/>
      <c r="D5" s="753" t="str">
        <f>+'Introducerea datelor'!G4</f>
        <v>Consolidarea controlului tuberculozei și reducerea SIDA și a mortalității aferente în Republica Moldova</v>
      </c>
      <c r="E5" s="753"/>
      <c r="F5" s="753"/>
      <c r="G5" s="753"/>
      <c r="H5" s="753"/>
      <c r="I5" s="753"/>
      <c r="J5" s="426" t="str">
        <f>+'Introducerea datelor'!F16</f>
        <v>Pînă la:</v>
      </c>
      <c r="K5" s="263">
        <f>+IF(ISBLANK('Introducerea datelor'!G16),"",'Introducerea datelor'!G16)</f>
        <v>43281</v>
      </c>
    </row>
    <row r="6" spans="2:15" ht="18.75">
      <c r="B6" s="99"/>
      <c r="C6" s="426"/>
      <c r="D6" s="97"/>
      <c r="E6" s="758" t="s">
        <v>373</v>
      </c>
      <c r="F6" s="758"/>
      <c r="G6" s="758"/>
      <c r="H6" s="758"/>
      <c r="K6" s="198"/>
    </row>
    <row r="7" spans="2:15" ht="10.5" customHeight="1">
      <c r="B7" s="100"/>
      <c r="C7" s="101"/>
      <c r="D7" s="102"/>
      <c r="E7" s="103"/>
      <c r="F7" s="103"/>
      <c r="G7" s="104"/>
      <c r="H7" s="104"/>
      <c r="I7" s="427"/>
      <c r="J7" s="427"/>
      <c r="K7" s="98"/>
      <c r="O7" s="3" t="s">
        <v>372</v>
      </c>
    </row>
    <row r="8" spans="2:15" ht="26.25" customHeight="1">
      <c r="B8" s="771" t="str">
        <f>+'Introducerea datelor'!B27&amp; " - in ("&amp;'Introducerea datelor'!D26&amp;")  "&amp;+I3&amp;" "&amp;+K3</f>
        <v>F1: Bugetul și debursările de către Fondul Global - in (€)  Perioada de Raportare: P1</v>
      </c>
      <c r="C8" s="743"/>
      <c r="D8" s="743"/>
      <c r="E8" s="743"/>
      <c r="F8" s="743"/>
      <c r="H8" s="125" t="str">
        <f>+'Introducerea datelor'!B51&amp; " - in ("&amp;'Introducerea datelor'!D26&amp;")         "&amp;+I3&amp;" "&amp;+K3</f>
        <v>F3: Debursări și cheltuieli - in (€)         Perioada de Raportare: P1</v>
      </c>
    </row>
    <row r="9" spans="2:15" ht="28.5" customHeight="1">
      <c r="B9" s="577" t="s">
        <v>374</v>
      </c>
      <c r="C9" s="772"/>
      <c r="D9" s="778"/>
      <c r="E9" s="778"/>
      <c r="F9" s="779"/>
      <c r="G9" s="593"/>
      <c r="H9" s="594" t="s">
        <v>374</v>
      </c>
      <c r="I9" s="772"/>
      <c r="J9" s="778"/>
      <c r="K9" s="779"/>
    </row>
    <row r="10" spans="2:15">
      <c r="B10" s="2"/>
      <c r="C10" s="2"/>
      <c r="D10" s="2"/>
      <c r="E10" s="2"/>
      <c r="F10" s="2"/>
    </row>
    <row r="11" spans="2:15">
      <c r="B11" s="2"/>
      <c r="C11" s="2"/>
      <c r="D11" s="2"/>
      <c r="E11" s="2"/>
      <c r="F11" s="2"/>
    </row>
    <row r="12" spans="2:15">
      <c r="B12" s="2"/>
      <c r="C12" s="2"/>
      <c r="D12" s="2"/>
      <c r="E12" s="2"/>
      <c r="F12" s="2"/>
    </row>
    <row r="13" spans="2:15">
      <c r="B13" s="2"/>
      <c r="C13" s="2"/>
      <c r="D13" s="2"/>
      <c r="E13" s="2"/>
      <c r="F13" s="2"/>
    </row>
    <row r="14" spans="2:15">
      <c r="B14" s="2"/>
      <c r="C14" s="2"/>
      <c r="D14" s="2"/>
      <c r="E14" s="2"/>
      <c r="F14" s="2"/>
    </row>
    <row r="15" spans="2:15">
      <c r="B15" s="2"/>
      <c r="C15" s="2"/>
      <c r="D15" s="2"/>
      <c r="E15" s="2"/>
      <c r="F15" s="2"/>
    </row>
    <row r="16" spans="2:15">
      <c r="B16" s="2"/>
      <c r="C16" s="2"/>
      <c r="D16" s="2"/>
      <c r="E16" s="2"/>
      <c r="F16" s="2"/>
    </row>
    <row r="17" spans="1:13">
      <c r="B17" s="2"/>
      <c r="C17" s="2"/>
      <c r="D17" s="2"/>
      <c r="E17" s="2"/>
      <c r="F17" s="2"/>
    </row>
    <row r="18" spans="1:13">
      <c r="B18" s="2"/>
      <c r="C18" s="2"/>
      <c r="D18" s="2"/>
      <c r="E18" s="2"/>
      <c r="F18" s="2"/>
    </row>
    <row r="19" spans="1:13">
      <c r="B19" s="2"/>
      <c r="C19" s="2"/>
      <c r="D19" s="2"/>
      <c r="E19" s="2"/>
      <c r="F19" s="2"/>
    </row>
    <row r="20" spans="1:13">
      <c r="B20" s="2"/>
      <c r="C20" s="2"/>
      <c r="D20" s="2"/>
      <c r="E20" s="2"/>
      <c r="F20" s="2"/>
    </row>
    <row r="21" spans="1:13">
      <c r="A21" s="2"/>
      <c r="B21" s="2"/>
      <c r="C21" s="2"/>
      <c r="D21" s="2"/>
      <c r="E21" s="2"/>
      <c r="F21" s="2"/>
      <c r="G21" s="2"/>
      <c r="H21" s="2"/>
      <c r="I21" s="2"/>
      <c r="J21" s="2"/>
      <c r="K21" s="2"/>
      <c r="M21" s="595"/>
    </row>
    <row r="22" spans="1:13" ht="24" customHeight="1">
      <c r="B22" s="767" t="str">
        <f>+'Introducerea datelor'!B36&amp; " - in ("&amp;'Introducerea datelor'!D26&amp;")  "&amp;+I3&amp;" "&amp;+K3</f>
        <v>F2: Bugetul și cheltuielile actuale după Obiectivele Grantului - in (€)  Perioada de Raportare: P1</v>
      </c>
      <c r="C22" s="768"/>
      <c r="D22" s="768"/>
      <c r="E22" s="768"/>
      <c r="F22" s="768"/>
      <c r="G22" s="160"/>
      <c r="H22" s="767" t="str">
        <f>+'Introducerea datelor'!B60&amp;"      "&amp;+I3&amp;" "&amp;+K3</f>
        <v>F4: Ultima perioadă de raportare și debursare a RP       Perioada de Raportare: P1</v>
      </c>
      <c r="I22" s="743"/>
      <c r="J22" s="743"/>
      <c r="K22" s="743"/>
    </row>
    <row r="23" spans="1:13" ht="86.25" customHeight="1">
      <c r="B23" s="577" t="s">
        <v>374</v>
      </c>
      <c r="C23" s="780" t="s">
        <v>526</v>
      </c>
      <c r="D23" s="781"/>
      <c r="E23" s="781"/>
      <c r="F23" s="782"/>
      <c r="G23" s="596"/>
      <c r="H23" s="594" t="s">
        <v>374</v>
      </c>
      <c r="I23" s="772"/>
      <c r="J23" s="773"/>
      <c r="K23" s="774"/>
    </row>
    <row r="24" spans="1:13" ht="15.75" thickBot="1">
      <c r="B24" s="597"/>
      <c r="C24" s="597"/>
      <c r="D24" s="597"/>
      <c r="E24" s="597"/>
      <c r="F24" s="597"/>
      <c r="G24" s="597"/>
      <c r="H24" s="598"/>
      <c r="I24" s="598"/>
      <c r="J24" s="597"/>
      <c r="K24" s="597"/>
    </row>
    <row r="25" spans="1:13" ht="29.25" customHeight="1" thickBot="1">
      <c r="G25" s="179"/>
      <c r="H25" s="775" t="s">
        <v>413</v>
      </c>
      <c r="I25" s="776"/>
      <c r="J25" s="776"/>
      <c r="K25" s="777"/>
    </row>
    <row r="26" spans="1:13">
      <c r="G26" s="159"/>
      <c r="H26" s="763"/>
      <c r="I26" s="764"/>
      <c r="J26" s="169" t="s">
        <v>314</v>
      </c>
      <c r="K26" s="170" t="s">
        <v>315</v>
      </c>
    </row>
    <row r="27" spans="1:13" ht="23.25" customHeight="1">
      <c r="G27" s="180"/>
      <c r="H27" s="769" t="str">
        <f>'Introducerea datelor'!B64</f>
        <v>Zile necesare pentru remiterea PU/DR final către ALF</v>
      </c>
      <c r="I27" s="770"/>
      <c r="J27" s="242">
        <f>+'Introducerea datelor'!C64</f>
        <v>60</v>
      </c>
      <c r="K27" s="262">
        <f>+'Introducerea datelor'!D64</f>
        <v>60</v>
      </c>
    </row>
    <row r="28" spans="1:13" ht="25.5" customHeight="1">
      <c r="G28" s="180"/>
      <c r="H28" s="769" t="str">
        <f>'Introducerea datelor'!B65</f>
        <v>Zile necesare pentru debursare către RP</v>
      </c>
      <c r="I28" s="770"/>
      <c r="J28" s="242">
        <f>+'Introducerea datelor'!C65</f>
        <v>5</v>
      </c>
      <c r="K28" s="262">
        <f>+'Introducerea datelor'!D65</f>
        <v>5</v>
      </c>
    </row>
    <row r="29" spans="1:13" ht="24.75" customHeight="1" thickBot="1">
      <c r="G29" s="180"/>
      <c r="H29" s="765" t="str">
        <f>'Introducerea datelor'!B66</f>
        <v>Zile necesare pentru debursare către SR</v>
      </c>
      <c r="I29" s="766"/>
      <c r="J29" s="243">
        <f>+'Introducerea datelor'!C66</f>
        <v>5</v>
      </c>
      <c r="K29" s="309">
        <f>+'Introducerea datelor'!D66</f>
        <v>5</v>
      </c>
    </row>
    <row r="31" spans="1:13">
      <c r="C31" s="15"/>
      <c r="D31" s="135"/>
    </row>
    <row r="32" spans="1:13">
      <c r="C32" s="15"/>
      <c r="D32" s="135"/>
    </row>
    <row r="34" spans="5:5">
      <c r="E34" s="2"/>
    </row>
  </sheetData>
  <sheetProtection sheet="1" objects="1" scenarios="1"/>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34" priority="4" stopIfTrue="1" operator="greaterThan">
      <formula>J27</formula>
    </cfRule>
    <cfRule type="cellIs" dxfId="33" priority="5" stopIfTrue="1" operator="between">
      <formula>J27</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B51" zoomScaleNormal="100" zoomScaleSheetLayoutView="100" workbookViewId="0">
      <selection activeCell="M58" sqref="M58:R58"/>
    </sheetView>
  </sheetViews>
  <sheetFormatPr defaultColWidth="11" defaultRowHeight="15"/>
  <cols>
    <col min="1" max="1" width="6" style="599" hidden="1" customWidth="1"/>
    <col min="2" max="2" width="17.140625" style="240" bestFit="1" customWidth="1"/>
    <col min="3" max="3" width="14" style="3" bestFit="1" customWidth="1"/>
    <col min="4" max="4" width="14.140625" style="3" customWidth="1"/>
    <col min="5" max="5" width="14.85546875" style="3" customWidth="1"/>
    <col min="6" max="6" width="11.7109375" style="241" customWidth="1"/>
    <col min="7" max="7" width="11" style="241" bestFit="1" customWidth="1"/>
    <col min="8" max="10" width="6" style="3" customWidth="1"/>
    <col min="11" max="11" width="14.140625" style="3" customWidth="1"/>
    <col min="12" max="12" width="5.28515625" style="3" bestFit="1" customWidth="1"/>
    <col min="13" max="13" width="17.140625" style="3" customWidth="1"/>
    <col min="14" max="14" width="5" style="3" customWidth="1"/>
    <col min="15" max="15" width="6.5703125" style="3" customWidth="1"/>
    <col min="16" max="16" width="4.140625" style="3" customWidth="1"/>
    <col min="17" max="17" width="8" style="3" bestFit="1" customWidth="1"/>
    <col min="18" max="18" width="27.7109375" style="3" customWidth="1"/>
    <col min="19" max="19" width="6.5703125" style="3" customWidth="1"/>
    <col min="20" max="20" width="4.85546875" style="600" bestFit="1" customWidth="1"/>
    <col min="21" max="21" width="9.28515625" style="600" bestFit="1" customWidth="1"/>
    <col min="22" max="23" width="11" style="600"/>
    <col min="24" max="24" width="9.28515625" style="600" bestFit="1" customWidth="1"/>
    <col min="25" max="25" width="7.7109375" style="600" bestFit="1" customWidth="1"/>
    <col min="26" max="26" width="11" style="600"/>
    <col min="27" max="27" width="6.5703125" style="600" bestFit="1" customWidth="1"/>
    <col min="28" max="28" width="7.140625" style="600" bestFit="1" customWidth="1"/>
    <col min="29" max="29" width="9.28515625" style="600" bestFit="1" customWidth="1"/>
    <col min="30" max="32" width="11" style="600"/>
    <col min="33" max="33" width="9.28515625" style="600" bestFit="1" customWidth="1"/>
    <col min="34" max="16384" width="11" style="3"/>
  </cols>
  <sheetData>
    <row r="2" spans="1:36" ht="18.75">
      <c r="C2" s="756" t="str">
        <f>+"Tabel Programatic de Evaluare:  "&amp;"  "&amp;IF(+'Introducerea datelor'!C4="Please Select","",'Introducerea datelor'!C4&amp;" - ")&amp;IF('Introducerea datelor'!G6="Please Select","",'Introducerea datelor'!G6)</f>
        <v>Tabel Programatic de Evaluare:    Moldova - HIVAIDS / TB</v>
      </c>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row>
    <row r="3" spans="1:36" ht="18.75">
      <c r="C3" s="426" t="str">
        <f>+IF('Introducerea datelor'!G8="Please Select","",'Introducerea datelor'!G8)</f>
        <v/>
      </c>
      <c r="D3" s="761" t="str">
        <f>+IF('Introducerea datelor'!I8="Please Select","",'Introducerea datelor'!I8)</f>
        <v>Period 1</v>
      </c>
      <c r="E3" s="761"/>
      <c r="F3" s="759"/>
      <c r="G3" s="759"/>
      <c r="H3" s="759"/>
      <c r="I3" s="759"/>
      <c r="J3" s="792"/>
      <c r="K3" s="792"/>
      <c r="L3" s="792"/>
      <c r="O3" s="801" t="str">
        <f>+'Introducerea datelor'!B16</f>
        <v>Perioada de Raportare:</v>
      </c>
      <c r="P3" s="743"/>
      <c r="Q3" s="743"/>
      <c r="R3" s="121" t="str">
        <f>+'Introducerea datelor'!C16</f>
        <v>P1</v>
      </c>
    </row>
    <row r="4" spans="1:36">
      <c r="C4" s="426" t="str">
        <f>+'Introducerea datelor'!B12</f>
        <v>Ultimul Rating:</v>
      </c>
      <c r="D4" s="793" t="str">
        <f>+IF('Introducerea datelor'!C12="Please Select","",'Introducerea datelor'!C12)</f>
        <v/>
      </c>
      <c r="E4" s="793"/>
      <c r="F4" s="759" t="str">
        <f>+'Introducerea datelor'!C8</f>
        <v>IP UCIMP DS</v>
      </c>
      <c r="G4" s="759"/>
      <c r="H4" s="759"/>
      <c r="I4" s="759"/>
      <c r="J4" s="759"/>
      <c r="K4" s="759"/>
      <c r="L4" s="759"/>
      <c r="M4" s="759"/>
      <c r="P4" s="185"/>
      <c r="Q4" s="426" t="str">
        <f>+'Introducerea datelor'!D16</f>
        <v>De la:</v>
      </c>
      <c r="R4" s="601">
        <f>+IF(ISBLANK('Introducerea datelor'!E16),"",'Introducerea datelor'!E16)</f>
        <v>43101</v>
      </c>
      <c r="Z4" s="5"/>
      <c r="AA4" s="5"/>
      <c r="AB4" s="5"/>
      <c r="AC4" s="5"/>
      <c r="AD4" s="5"/>
    </row>
    <row r="5" spans="1:36">
      <c r="C5" s="426"/>
      <c r="D5" s="426"/>
      <c r="E5" s="759" t="str">
        <f>+'Introducerea datelor'!G4</f>
        <v>Consolidarea controlului tuberculozei și reducerea SIDA și a mortalității aferente în Republica Moldova</v>
      </c>
      <c r="F5" s="759"/>
      <c r="G5" s="759"/>
      <c r="H5" s="759"/>
      <c r="I5" s="759"/>
      <c r="J5" s="759"/>
      <c r="K5" s="759"/>
      <c r="L5" s="759"/>
      <c r="M5" s="759"/>
      <c r="N5" s="759"/>
      <c r="O5" s="759"/>
      <c r="Q5" s="426" t="str">
        <f>+'Introducerea datelor'!F16</f>
        <v>Pînă la:</v>
      </c>
      <c r="R5" s="601">
        <f>+IF(ISBLANK('Introducerea datelor'!G16),"",'Introducerea datelor'!G16)</f>
        <v>43281</v>
      </c>
      <c r="T5" s="5"/>
      <c r="U5" s="5"/>
      <c r="V5" s="5"/>
      <c r="W5" s="5"/>
      <c r="X5" s="5"/>
      <c r="Y5" s="5"/>
      <c r="Z5" s="5"/>
      <c r="AA5" s="5"/>
      <c r="AB5" s="5" t="s">
        <v>23</v>
      </c>
      <c r="AC5" s="5"/>
      <c r="AD5" s="5" t="s">
        <v>212</v>
      </c>
      <c r="AE5" s="5"/>
      <c r="AF5" s="5"/>
      <c r="AG5" s="5"/>
      <c r="AH5" s="602"/>
      <c r="AI5" s="602"/>
      <c r="AJ5" s="602"/>
    </row>
    <row r="6" spans="1:36" ht="18.75">
      <c r="C6" s="426"/>
      <c r="D6" s="426"/>
      <c r="E6" s="428"/>
      <c r="F6" s="428"/>
      <c r="G6" s="791" t="s">
        <v>386</v>
      </c>
      <c r="H6" s="791"/>
      <c r="I6" s="791"/>
      <c r="J6" s="791"/>
      <c r="K6" s="791"/>
      <c r="L6" s="791"/>
      <c r="M6" s="428"/>
      <c r="P6" s="123"/>
      <c r="Q6" s="144"/>
      <c r="T6" s="5"/>
      <c r="U6" s="5"/>
      <c r="V6" s="5"/>
      <c r="W6" s="5"/>
      <c r="X6" s="5"/>
      <c r="Y6" s="5"/>
      <c r="Z6" s="5"/>
      <c r="AA6" s="5"/>
      <c r="AB6" s="5"/>
      <c r="AC6" s="5"/>
      <c r="AD6" s="5"/>
      <c r="AE6" s="5"/>
      <c r="AF6" s="5"/>
      <c r="AG6" s="5"/>
      <c r="AH6" s="602"/>
      <c r="AI6" s="602"/>
      <c r="AJ6" s="602"/>
    </row>
    <row r="7" spans="1:36">
      <c r="C7" s="426"/>
      <c r="D7" s="426"/>
      <c r="E7" s="428"/>
      <c r="F7" s="428"/>
      <c r="G7" s="428"/>
      <c r="H7" s="428"/>
      <c r="I7" s="428"/>
      <c r="J7" s="428"/>
      <c r="K7" s="428"/>
      <c r="L7" s="428"/>
      <c r="M7" s="428"/>
      <c r="P7" s="123"/>
      <c r="Q7" s="122"/>
      <c r="R7" s="122"/>
      <c r="T7" s="5"/>
      <c r="U7" s="5"/>
      <c r="V7" s="5"/>
      <c r="W7" s="5"/>
      <c r="X7" s="5"/>
      <c r="Y7" s="5"/>
      <c r="Z7" s="5"/>
      <c r="AA7" s="5"/>
      <c r="AB7" s="5"/>
      <c r="AC7" s="5"/>
      <c r="AD7" s="5"/>
      <c r="AE7" s="5"/>
      <c r="AF7" s="5"/>
      <c r="AG7" s="5"/>
      <c r="AH7" s="602"/>
      <c r="AI7" s="602"/>
      <c r="AJ7" s="602"/>
    </row>
    <row r="8" spans="1:36" s="604" customFormat="1" ht="42" customHeight="1">
      <c r="A8" s="603"/>
      <c r="B8" s="407"/>
      <c r="D8" s="784" t="str">
        <f>+'Introducerea datelor'!B119</f>
        <v>TB I-3(M): Rata mortalităţii  - Numărul estimat de decese cauzate de TB (toate formele) pe an, la 100,000 persoane</v>
      </c>
      <c r="E8" s="784"/>
      <c r="F8" s="784"/>
      <c r="G8" s="605"/>
      <c r="H8" s="784" t="str">
        <f>+'Introducerea datelor'!B121</f>
        <v xml:space="preserve">TB I-4(M): Prevalența TB MDR printre cazurile noi de tuberculoză </v>
      </c>
      <c r="I8" s="784"/>
      <c r="J8" s="784"/>
      <c r="K8" s="784"/>
      <c r="L8" s="784"/>
      <c r="M8" s="606"/>
      <c r="N8" s="785" t="str">
        <f>+'Introducerea datelor'!B123</f>
        <v>HIV I-4: Mortalitatea asociată cu SIDA la 100,000 populaţie</v>
      </c>
      <c r="O8" s="785"/>
      <c r="P8" s="785"/>
      <c r="Q8" s="785"/>
      <c r="R8" s="785"/>
      <c r="T8" s="607"/>
      <c r="U8" s="607"/>
      <c r="V8" s="607"/>
      <c r="W8" s="607"/>
      <c r="X8" s="607"/>
      <c r="Y8" s="607"/>
      <c r="Z8" s="607"/>
      <c r="AA8" s="607"/>
      <c r="AB8" s="607"/>
      <c r="AC8" s="607"/>
      <c r="AD8" s="607"/>
      <c r="AE8" s="607"/>
      <c r="AF8" s="607"/>
      <c r="AG8" s="607"/>
    </row>
    <row r="9" spans="1:36" ht="144.75" customHeight="1">
      <c r="C9" s="608" t="s">
        <v>381</v>
      </c>
      <c r="D9" s="786" t="s">
        <v>511</v>
      </c>
      <c r="E9" s="789"/>
      <c r="F9" s="790"/>
      <c r="G9" s="609" t="s">
        <v>382</v>
      </c>
      <c r="H9" s="786" t="s">
        <v>512</v>
      </c>
      <c r="I9" s="789"/>
      <c r="J9" s="789"/>
      <c r="K9" s="789"/>
      <c r="L9" s="790"/>
      <c r="M9" s="609" t="s">
        <v>383</v>
      </c>
      <c r="N9" s="786" t="s">
        <v>530</v>
      </c>
      <c r="O9" s="787"/>
      <c r="P9" s="787"/>
      <c r="Q9" s="787"/>
      <c r="R9" s="788"/>
    </row>
    <row r="10" spans="1:36">
      <c r="C10" s="426"/>
      <c r="D10" s="426"/>
      <c r="E10" s="428"/>
      <c r="F10" s="428"/>
      <c r="G10" s="428"/>
      <c r="H10" s="428"/>
      <c r="I10" s="428"/>
      <c r="J10" s="428"/>
      <c r="K10" s="428"/>
      <c r="L10" s="428"/>
      <c r="M10" s="428"/>
      <c r="P10" s="123"/>
      <c r="Q10" s="122"/>
    </row>
    <row r="11" spans="1:36">
      <c r="C11" s="426"/>
      <c r="D11" s="426"/>
      <c r="E11" s="428"/>
      <c r="F11" s="428"/>
      <c r="G11" s="428"/>
      <c r="H11" s="428"/>
      <c r="I11" s="428"/>
      <c r="J11" s="428"/>
      <c r="K11" s="428"/>
      <c r="L11" s="428"/>
      <c r="M11" s="428"/>
      <c r="P11" s="123"/>
      <c r="Q11" s="122"/>
    </row>
    <row r="12" spans="1:36">
      <c r="C12" s="426"/>
      <c r="D12" s="426"/>
      <c r="E12" s="428"/>
      <c r="F12" s="428"/>
      <c r="G12" s="428"/>
      <c r="H12" s="428"/>
      <c r="I12" s="428"/>
      <c r="J12" s="428"/>
      <c r="K12" s="428"/>
      <c r="L12" s="428"/>
      <c r="M12" s="428"/>
      <c r="P12" s="123"/>
      <c r="Q12" s="122"/>
    </row>
    <row r="13" spans="1:36">
      <c r="C13" s="426"/>
      <c r="D13" s="426"/>
      <c r="E13" s="428"/>
      <c r="F13" s="428"/>
      <c r="G13" s="428"/>
      <c r="H13" s="428"/>
      <c r="I13" s="428"/>
      <c r="J13" s="428"/>
      <c r="K13" s="428"/>
      <c r="L13" s="428"/>
      <c r="M13" s="428"/>
      <c r="P13" s="123"/>
      <c r="Q13" s="122"/>
    </row>
    <row r="14" spans="1:36">
      <c r="C14" s="426"/>
      <c r="D14" s="426"/>
      <c r="E14" s="428"/>
      <c r="F14" s="428"/>
      <c r="G14" s="428"/>
      <c r="H14" s="428"/>
      <c r="I14" s="428"/>
      <c r="J14" s="428"/>
      <c r="K14" s="428"/>
      <c r="L14" s="428"/>
      <c r="M14" s="428"/>
      <c r="P14" s="123"/>
      <c r="Q14" s="122"/>
    </row>
    <row r="15" spans="1:36">
      <c r="C15" s="426"/>
      <c r="D15" s="426"/>
      <c r="E15" s="428"/>
      <c r="F15" s="428"/>
      <c r="G15" s="428"/>
      <c r="H15" s="428"/>
      <c r="I15" s="428"/>
      <c r="J15" s="428"/>
      <c r="K15" s="428"/>
      <c r="L15" s="428"/>
      <c r="M15" s="428"/>
      <c r="P15" s="123"/>
      <c r="Q15" s="122"/>
    </row>
    <row r="16" spans="1:36">
      <c r="C16" s="426"/>
      <c r="D16" s="426"/>
      <c r="E16" s="428"/>
      <c r="F16" s="428"/>
      <c r="G16" s="428"/>
      <c r="H16" s="428"/>
      <c r="I16" s="428"/>
      <c r="J16" s="428"/>
      <c r="K16" s="428"/>
      <c r="L16" s="428"/>
      <c r="M16" s="428"/>
      <c r="P16" s="123"/>
      <c r="Q16" s="122"/>
    </row>
    <row r="17" spans="1:36">
      <c r="C17" s="426"/>
      <c r="D17" s="426"/>
      <c r="E17" s="428"/>
      <c r="F17" s="428"/>
      <c r="G17" s="428"/>
      <c r="H17" s="428"/>
      <c r="I17" s="428"/>
      <c r="J17" s="428"/>
      <c r="K17" s="428"/>
      <c r="L17" s="428"/>
      <c r="M17" s="428"/>
      <c r="P17" s="123"/>
      <c r="Q17" s="122"/>
      <c r="T17" s="5"/>
      <c r="U17" s="5"/>
      <c r="V17" s="5"/>
      <c r="W17" s="5"/>
      <c r="X17" s="5"/>
      <c r="Y17" s="5"/>
      <c r="Z17" s="5"/>
      <c r="AA17" s="5"/>
      <c r="AB17" s="5"/>
      <c r="AC17" s="5"/>
      <c r="AD17" s="5"/>
      <c r="AE17" s="5"/>
      <c r="AF17" s="5"/>
      <c r="AG17" s="5"/>
      <c r="AH17" s="602"/>
      <c r="AI17" s="602"/>
      <c r="AJ17" s="602"/>
    </row>
    <row r="18" spans="1:36">
      <c r="A18" s="3"/>
      <c r="B18" s="3"/>
      <c r="F18" s="3"/>
      <c r="G18" s="3"/>
    </row>
    <row r="19" spans="1:36" s="604" customFormat="1" ht="50.25" customHeight="1">
      <c r="D19" s="784" t="str">
        <f>+'Introducerea datelor'!B125</f>
        <v xml:space="preserve">HIV I-9a (M): Procentul BSB care trăiesc cu HIV </v>
      </c>
      <c r="E19" s="784"/>
      <c r="F19" s="784"/>
      <c r="G19" s="605"/>
      <c r="H19" s="784" t="str">
        <f>+'Introducerea datelor'!B127</f>
        <v>HIV I-10 (M): Procentul LSC care trăiesc cu HIV</v>
      </c>
      <c r="I19" s="784"/>
      <c r="J19" s="784"/>
      <c r="K19" s="784"/>
      <c r="L19" s="784"/>
      <c r="M19" s="606"/>
      <c r="N19" s="785" t="str">
        <f>+'Introducerea datelor'!B129</f>
        <v>HIV I-11 (M): Procentul consumatorilor de droguri injectabile care trăiesc cu HIV</v>
      </c>
      <c r="O19" s="785"/>
      <c r="P19" s="785"/>
      <c r="Q19" s="785"/>
      <c r="R19" s="785"/>
      <c r="T19" s="607"/>
      <c r="U19" s="607"/>
      <c r="V19" s="607"/>
      <c r="W19" s="607"/>
      <c r="X19" s="607"/>
      <c r="Y19" s="607"/>
      <c r="Z19" s="607"/>
      <c r="AA19" s="607"/>
      <c r="AB19" s="607"/>
      <c r="AC19" s="607"/>
      <c r="AD19" s="607"/>
      <c r="AE19" s="607"/>
      <c r="AF19" s="607"/>
      <c r="AG19" s="607"/>
    </row>
    <row r="20" spans="1:36" ht="117.75" customHeight="1">
      <c r="A20" s="3"/>
      <c r="B20" s="3"/>
      <c r="C20" s="608" t="s">
        <v>381</v>
      </c>
      <c r="D20" s="786" t="s">
        <v>519</v>
      </c>
      <c r="E20" s="789"/>
      <c r="F20" s="790"/>
      <c r="G20" s="609" t="s">
        <v>382</v>
      </c>
      <c r="H20" s="786" t="s">
        <v>519</v>
      </c>
      <c r="I20" s="789"/>
      <c r="J20" s="789"/>
      <c r="K20" s="789"/>
      <c r="L20" s="790"/>
      <c r="M20" s="609" t="s">
        <v>383</v>
      </c>
      <c r="N20" s="786" t="s">
        <v>519</v>
      </c>
      <c r="O20" s="787"/>
      <c r="P20" s="787"/>
      <c r="Q20" s="787"/>
      <c r="R20" s="788"/>
    </row>
    <row r="21" spans="1:36">
      <c r="A21" s="3"/>
      <c r="B21" s="3"/>
      <c r="C21" s="426"/>
      <c r="D21" s="426"/>
      <c r="E21" s="428"/>
      <c r="F21" s="428"/>
      <c r="G21" s="428"/>
      <c r="H21" s="428"/>
      <c r="I21" s="428"/>
      <c r="J21" s="428"/>
      <c r="K21" s="428"/>
      <c r="L21" s="428"/>
      <c r="M21" s="428"/>
      <c r="P21" s="123"/>
      <c r="Q21" s="122"/>
    </row>
    <row r="22" spans="1:36">
      <c r="A22" s="3"/>
      <c r="B22" s="3"/>
      <c r="C22" s="426"/>
      <c r="D22" s="426"/>
      <c r="E22" s="428"/>
      <c r="F22" s="428"/>
      <c r="G22" s="428"/>
      <c r="H22" s="428"/>
      <c r="I22" s="428"/>
      <c r="J22" s="428"/>
      <c r="K22" s="428"/>
      <c r="L22" s="428"/>
      <c r="M22" s="428"/>
      <c r="P22" s="123"/>
      <c r="Q22" s="122"/>
    </row>
    <row r="23" spans="1:36">
      <c r="A23" s="3"/>
      <c r="B23" s="3"/>
      <c r="C23" s="426"/>
      <c r="D23" s="426"/>
      <c r="E23" s="428"/>
      <c r="F23" s="428"/>
      <c r="G23" s="428"/>
      <c r="H23" s="428"/>
      <c r="I23" s="428"/>
      <c r="J23" s="428"/>
      <c r="K23" s="428"/>
      <c r="L23" s="428"/>
      <c r="M23" s="428"/>
      <c r="P23" s="123"/>
      <c r="Q23" s="122"/>
    </row>
    <row r="24" spans="1:36">
      <c r="A24" s="3"/>
      <c r="B24" s="3"/>
      <c r="C24" s="426"/>
      <c r="D24" s="426"/>
      <c r="E24" s="428"/>
      <c r="F24" s="428"/>
      <c r="G24" s="428"/>
      <c r="H24" s="428"/>
      <c r="I24" s="428"/>
      <c r="J24" s="428"/>
      <c r="K24" s="428"/>
      <c r="L24" s="428"/>
      <c r="M24" s="428"/>
      <c r="P24" s="123"/>
      <c r="Q24" s="122"/>
    </row>
    <row r="25" spans="1:36">
      <c r="A25" s="3"/>
      <c r="B25" s="3"/>
      <c r="C25" s="426"/>
      <c r="D25" s="426"/>
      <c r="E25" s="428"/>
      <c r="F25" s="428"/>
      <c r="G25" s="428"/>
      <c r="H25" s="428"/>
      <c r="I25" s="428"/>
      <c r="J25" s="428"/>
      <c r="K25" s="428"/>
      <c r="L25" s="428"/>
      <c r="M25" s="428"/>
      <c r="P25" s="123"/>
      <c r="Q25" s="122"/>
    </row>
    <row r="26" spans="1:36">
      <c r="A26" s="3"/>
      <c r="B26" s="3"/>
      <c r="C26" s="426"/>
      <c r="D26" s="426"/>
      <c r="E26" s="428"/>
      <c r="F26" s="428"/>
      <c r="G26" s="428"/>
      <c r="H26" s="428"/>
      <c r="I26" s="428"/>
      <c r="J26" s="428"/>
      <c r="K26" s="428"/>
      <c r="L26" s="428"/>
      <c r="M26" s="428"/>
      <c r="P26" s="123"/>
      <c r="Q26" s="122"/>
    </row>
    <row r="27" spans="1:36">
      <c r="A27" s="3"/>
      <c r="B27" s="3"/>
      <c r="C27" s="426"/>
      <c r="D27" s="426"/>
      <c r="E27" s="428"/>
      <c r="F27" s="428"/>
      <c r="G27" s="428"/>
      <c r="H27" s="428"/>
      <c r="I27" s="428"/>
      <c r="J27" s="428"/>
      <c r="K27" s="428"/>
      <c r="L27" s="428"/>
      <c r="M27" s="428"/>
      <c r="P27" s="123"/>
      <c r="Q27" s="122"/>
    </row>
    <row r="28" spans="1:36">
      <c r="A28" s="3"/>
      <c r="B28" s="3"/>
      <c r="C28" s="426"/>
      <c r="D28" s="426"/>
      <c r="E28" s="428"/>
      <c r="F28" s="428"/>
      <c r="G28" s="428"/>
      <c r="H28" s="428"/>
      <c r="I28" s="428"/>
      <c r="J28" s="428"/>
      <c r="K28" s="428"/>
      <c r="L28" s="428"/>
      <c r="M28" s="428"/>
      <c r="P28" s="123"/>
      <c r="Q28" s="122"/>
    </row>
    <row r="29" spans="1:36">
      <c r="F29" s="3"/>
      <c r="G29" s="3"/>
      <c r="T29" s="5"/>
      <c r="U29" s="5"/>
      <c r="V29" s="5"/>
      <c r="W29" s="5"/>
      <c r="X29" s="5"/>
      <c r="Y29" s="5"/>
      <c r="Z29" s="5"/>
      <c r="AA29" s="5"/>
      <c r="AB29" s="5"/>
      <c r="AC29" s="5"/>
      <c r="AD29" s="5"/>
      <c r="AE29" s="5"/>
      <c r="AF29" s="5"/>
      <c r="AG29" s="5"/>
      <c r="AH29" s="602"/>
      <c r="AI29" s="602"/>
      <c r="AJ29" s="602"/>
    </row>
    <row r="30" spans="1:36">
      <c r="C30" s="426"/>
      <c r="D30" s="426"/>
      <c r="E30" s="428"/>
      <c r="F30" s="428"/>
      <c r="G30" s="428"/>
      <c r="H30" s="428"/>
      <c r="I30" s="428"/>
      <c r="J30" s="428"/>
      <c r="K30" s="428"/>
      <c r="L30" s="428"/>
      <c r="M30" s="428"/>
      <c r="P30" s="123"/>
      <c r="Q30" s="122"/>
      <c r="T30" s="5"/>
      <c r="U30" s="5"/>
      <c r="V30" s="5"/>
      <c r="W30" s="5"/>
      <c r="X30" s="5"/>
      <c r="Y30" s="5"/>
      <c r="Z30" s="5"/>
      <c r="AA30" s="5"/>
      <c r="AB30" s="5"/>
      <c r="AC30" s="5"/>
      <c r="AD30" s="5"/>
      <c r="AE30" s="5"/>
      <c r="AF30" s="5"/>
      <c r="AG30" s="5"/>
      <c r="AH30" s="602"/>
      <c r="AI30" s="602"/>
      <c r="AJ30" s="602"/>
    </row>
    <row r="31" spans="1:36">
      <c r="C31" s="426"/>
      <c r="D31" s="426"/>
      <c r="E31" s="428"/>
      <c r="F31" s="428"/>
      <c r="G31" s="428"/>
      <c r="H31" s="428"/>
      <c r="I31" s="428"/>
      <c r="J31" s="428"/>
      <c r="K31" s="428"/>
      <c r="L31" s="428"/>
      <c r="M31" s="428"/>
      <c r="P31" s="123"/>
      <c r="Q31" s="122"/>
      <c r="T31" s="5"/>
      <c r="U31" s="5"/>
      <c r="V31" s="5"/>
      <c r="W31" s="5"/>
      <c r="X31" s="5"/>
      <c r="Y31" s="5"/>
      <c r="Z31" s="5"/>
      <c r="AA31" s="5"/>
      <c r="AB31" s="5"/>
      <c r="AC31" s="5"/>
      <c r="AD31" s="5"/>
      <c r="AE31" s="5"/>
      <c r="AF31" s="5"/>
      <c r="AG31" s="5"/>
      <c r="AH31" s="602"/>
      <c r="AI31" s="602"/>
      <c r="AJ31" s="602"/>
    </row>
    <row r="32" spans="1:36">
      <c r="C32" s="426"/>
      <c r="D32" s="426"/>
      <c r="E32" s="428"/>
      <c r="F32" s="428"/>
      <c r="G32" s="428"/>
      <c r="H32" s="428"/>
      <c r="I32" s="428"/>
      <c r="J32" s="428"/>
      <c r="K32" s="428"/>
      <c r="L32" s="428"/>
      <c r="M32" s="428"/>
      <c r="P32" s="123"/>
      <c r="Q32" s="122"/>
      <c r="T32" s="5"/>
      <c r="U32" s="5"/>
      <c r="V32" s="5"/>
      <c r="W32" s="5"/>
      <c r="X32" s="5"/>
      <c r="Y32" s="5"/>
      <c r="Z32" s="5"/>
      <c r="AA32" s="5"/>
      <c r="AB32" s="5"/>
      <c r="AC32" s="5"/>
      <c r="AD32" s="5"/>
      <c r="AE32" s="5"/>
      <c r="AF32" s="5"/>
      <c r="AG32" s="5"/>
      <c r="AH32" s="602"/>
      <c r="AI32" s="602"/>
      <c r="AJ32" s="602"/>
    </row>
    <row r="33" spans="1:38" ht="18.75">
      <c r="C33" s="99"/>
      <c r="D33" s="426"/>
      <c r="E33" s="97"/>
      <c r="F33" s="802"/>
      <c r="G33" s="802"/>
      <c r="H33" s="802"/>
      <c r="I33" s="802"/>
      <c r="J33" s="802"/>
      <c r="K33" s="802"/>
      <c r="L33" s="802"/>
      <c r="T33" s="5"/>
      <c r="U33" s="5"/>
      <c r="V33" s="5"/>
      <c r="W33" s="5"/>
      <c r="X33" s="5"/>
      <c r="Y33" s="5"/>
      <c r="Z33" s="5"/>
      <c r="AA33" s="5"/>
      <c r="AB33" s="5"/>
      <c r="AC33" s="5"/>
      <c r="AD33" s="5"/>
      <c r="AE33" s="5"/>
      <c r="AF33" s="5"/>
      <c r="AG33" s="5"/>
      <c r="AH33" s="602"/>
      <c r="AI33" s="602"/>
      <c r="AJ33" s="602"/>
    </row>
    <row r="34" spans="1:38" ht="43.5" customHeight="1">
      <c r="C34" s="803" t="s">
        <v>384</v>
      </c>
      <c r="D34" s="803"/>
      <c r="E34" s="803"/>
      <c r="F34" s="429" t="s">
        <v>361</v>
      </c>
      <c r="G34" s="429" t="s">
        <v>362</v>
      </c>
      <c r="H34" s="809" t="s">
        <v>247</v>
      </c>
      <c r="I34" s="810"/>
      <c r="J34" s="811" t="s">
        <v>248</v>
      </c>
      <c r="K34" s="812"/>
      <c r="L34" s="184" t="s">
        <v>249</v>
      </c>
      <c r="M34" s="804" t="s">
        <v>385</v>
      </c>
      <c r="N34" s="805"/>
      <c r="O34" s="805"/>
      <c r="P34" s="805"/>
      <c r="Q34" s="805"/>
      <c r="R34" s="806"/>
      <c r="T34" s="610" t="s">
        <v>53</v>
      </c>
      <c r="U34" s="611">
        <v>0</v>
      </c>
      <c r="V34" s="612">
        <v>0.3</v>
      </c>
      <c r="W34" s="612">
        <v>0.6</v>
      </c>
      <c r="X34" s="612">
        <v>0.9</v>
      </c>
      <c r="Y34" s="612">
        <v>1</v>
      </c>
      <c r="Z34" s="613"/>
      <c r="AA34" s="613"/>
      <c r="AB34" s="610" t="s">
        <v>53</v>
      </c>
      <c r="AC34" s="611">
        <v>0</v>
      </c>
      <c r="AD34" s="612">
        <v>0.2</v>
      </c>
      <c r="AE34" s="612">
        <v>0.4</v>
      </c>
      <c r="AF34" s="612">
        <v>0.6</v>
      </c>
      <c r="AG34" s="612">
        <v>0.8</v>
      </c>
      <c r="AH34" s="613"/>
      <c r="AI34" s="613"/>
      <c r="AJ34" s="613"/>
      <c r="AK34" s="614"/>
      <c r="AL34" s="614"/>
    </row>
    <row r="35" spans="1:38" ht="107.25" customHeight="1">
      <c r="A35" s="615">
        <v>1</v>
      </c>
      <c r="B35" s="308" t="str">
        <f>VLOOKUP(A35,Table1[],2,0)</f>
        <v>Indicator de impact</v>
      </c>
      <c r="C35" s="794" t="str">
        <f>VLOOKUP(A35,Table1[],4,0)</f>
        <v>TB I-3(M): Rata mortalităţii  - Numărul estimat de decese cauzate de TB (toate formele) pe an, la 100,000 persoane</v>
      </c>
      <c r="D35" s="794"/>
      <c r="E35" s="794"/>
      <c r="F35" s="265">
        <f t="shared" ref="F35:F58" si="0">HLOOKUP($R$3,Indicatori,A35*2,0)</f>
        <v>8.6999999999999993</v>
      </c>
      <c r="G35" s="265">
        <f t="shared" ref="G35:G58" si="1">HLOOKUP($R$3,Indicatori,A35*2+1,0)</f>
        <v>7.94</v>
      </c>
      <c r="H35" s="795">
        <f>+IF(ISERROR(G35/F35),0,F35/G35)</f>
        <v>1.0957178841309823</v>
      </c>
      <c r="I35" s="796"/>
      <c r="J35" s="796"/>
      <c r="K35" s="796"/>
      <c r="L35" s="797"/>
      <c r="M35" s="798" t="s">
        <v>513</v>
      </c>
      <c r="N35" s="814"/>
      <c r="O35" s="814"/>
      <c r="P35" s="814"/>
      <c r="Q35" s="814"/>
      <c r="R35" s="815"/>
      <c r="S35" s="600"/>
      <c r="T35" s="610" t="s">
        <v>54</v>
      </c>
      <c r="U35" s="616">
        <v>0.3</v>
      </c>
      <c r="V35" s="612">
        <v>0.6</v>
      </c>
      <c r="W35" s="612">
        <v>0.9</v>
      </c>
      <c r="X35" s="612">
        <v>1</v>
      </c>
      <c r="Y35" s="612">
        <v>2</v>
      </c>
      <c r="Z35" s="613"/>
      <c r="AA35" s="613"/>
      <c r="AB35" s="610" t="s">
        <v>54</v>
      </c>
      <c r="AC35" s="616">
        <v>0.2</v>
      </c>
      <c r="AD35" s="612">
        <v>0.4</v>
      </c>
      <c r="AE35" s="612">
        <v>0.6</v>
      </c>
      <c r="AF35" s="612">
        <v>0.8</v>
      </c>
      <c r="AG35" s="612">
        <v>1</v>
      </c>
      <c r="AH35" s="613"/>
      <c r="AI35" s="613"/>
      <c r="AJ35" s="613"/>
      <c r="AK35" s="614"/>
      <c r="AL35" s="614"/>
    </row>
    <row r="36" spans="1:38" ht="78" customHeight="1">
      <c r="A36" s="615">
        <v>2</v>
      </c>
      <c r="B36" s="308" t="str">
        <f>VLOOKUP(A36,Table1[],2,0)</f>
        <v>Indicator de impact</v>
      </c>
      <c r="C36" s="794" t="str">
        <f>VLOOKUP(A36,Table1[],4,0)</f>
        <v xml:space="preserve">TB I-4(M): Prevalența TB MDR printre cazurile noi de tuberculoză </v>
      </c>
      <c r="D36" s="794"/>
      <c r="E36" s="794"/>
      <c r="F36" s="418">
        <f t="shared" si="0"/>
        <v>0.20499999999999999</v>
      </c>
      <c r="G36" s="418">
        <f t="shared" si="1"/>
        <v>0.26600000000000001</v>
      </c>
      <c r="H36" s="795">
        <f>+IF(ISERROR(F36/G36),0,F36/G36)</f>
        <v>0.77067669172932318</v>
      </c>
      <c r="I36" s="796"/>
      <c r="J36" s="796"/>
      <c r="K36" s="796"/>
      <c r="L36" s="797"/>
      <c r="M36" s="798" t="s">
        <v>514</v>
      </c>
      <c r="N36" s="816"/>
      <c r="O36" s="816"/>
      <c r="P36" s="816"/>
      <c r="Q36" s="816"/>
      <c r="R36" s="817"/>
      <c r="S36" s="600"/>
      <c r="T36" s="617"/>
      <c r="U36" s="618" t="str">
        <f>"de "&amp;U34&amp;" a "&amp;U35</f>
        <v>de 0 a 0,3</v>
      </c>
      <c r="V36" s="618" t="str">
        <f>"de "&amp;V34&amp;" a "&amp;V35</f>
        <v>de 0,3 a 0,6</v>
      </c>
      <c r="W36" s="618" t="str">
        <f>"de "&amp;W34&amp;" a "&amp;W35</f>
        <v>de 0,6 a 0,9</v>
      </c>
      <c r="X36" s="618" t="str">
        <f>"de "&amp;X34&amp;" a "&amp;X35</f>
        <v>de 0,9 a 1</v>
      </c>
      <c r="Y36" s="618" t="str">
        <f>"de "&amp;Y34&amp;" a "&amp;Y35</f>
        <v>de 1 a 2</v>
      </c>
      <c r="Z36" s="613"/>
      <c r="AA36" s="613" t="s">
        <v>213</v>
      </c>
      <c r="AB36" s="617" t="s">
        <v>212</v>
      </c>
      <c r="AC36" s="618" t="str">
        <f>"de "&amp;AC34&amp;" a "&amp;AC35</f>
        <v>de 0 a 0,2</v>
      </c>
      <c r="AD36" s="618" t="str">
        <f>"de "&amp;AD34&amp;" a "&amp;AD35</f>
        <v>de 0,2 a 0,4</v>
      </c>
      <c r="AE36" s="618" t="str">
        <f>"de "&amp;AE34&amp;" a "&amp;AE35</f>
        <v>de 0,4 a 0,6</v>
      </c>
      <c r="AF36" s="618" t="str">
        <f>"de "&amp;AF34&amp;" a "&amp;AF35</f>
        <v>de 0,6 a 0,8</v>
      </c>
      <c r="AG36" s="618" t="str">
        <f>"de "&amp;AG34&amp;" a "&amp;AG35</f>
        <v>de 0,8 a 1</v>
      </c>
      <c r="AH36" s="613"/>
      <c r="AI36" s="613"/>
      <c r="AJ36" s="613"/>
      <c r="AK36" s="614"/>
      <c r="AL36" s="614"/>
    </row>
    <row r="37" spans="1:38" ht="57.75" customHeight="1">
      <c r="A37" s="615">
        <v>3</v>
      </c>
      <c r="B37" s="308" t="str">
        <f>VLOOKUP(A37,Table1[],2,0)</f>
        <v>Indicator de impact</v>
      </c>
      <c r="C37" s="794" t="str">
        <f>VLOOKUP(A37,Table1[],4,0)</f>
        <v>HIV I-4: Mortalitatea asociată cu SIDA la 100,000 populaţie</v>
      </c>
      <c r="D37" s="794"/>
      <c r="E37" s="794"/>
      <c r="F37" s="418">
        <f t="shared" si="0"/>
        <v>3.0599999999999999E-2</v>
      </c>
      <c r="G37" s="418">
        <f t="shared" si="1"/>
        <v>3.5999999999999997E-2</v>
      </c>
      <c r="H37" s="795">
        <f>+IF(ISERROR(G37/F37),0,F37/G37)</f>
        <v>0.85</v>
      </c>
      <c r="I37" s="796"/>
      <c r="J37" s="796"/>
      <c r="K37" s="796"/>
      <c r="L37" s="797"/>
      <c r="M37" s="798" t="s">
        <v>531</v>
      </c>
      <c r="N37" s="799"/>
      <c r="O37" s="799"/>
      <c r="P37" s="799"/>
      <c r="Q37" s="799"/>
      <c r="R37" s="800"/>
      <c r="S37" s="600"/>
      <c r="T37" s="617"/>
      <c r="U37" s="612" t="e">
        <f t="shared" ref="U37:X53" si="2">IF($L35&gt;U$34,IF($L35&lt;=U$35,$L35,NA()),NA())</f>
        <v>#N/A</v>
      </c>
      <c r="V37" s="612" t="e">
        <f t="shared" si="2"/>
        <v>#N/A</v>
      </c>
      <c r="W37" s="612" t="e">
        <f t="shared" si="2"/>
        <v>#N/A</v>
      </c>
      <c r="X37" s="612" t="e">
        <f t="shared" si="2"/>
        <v>#N/A</v>
      </c>
      <c r="Y37" s="612" t="e">
        <f>IF($L35&gt;Y$34,IF($L35&lt;=Y$35,1,NA()),NA())</f>
        <v>#N/A</v>
      </c>
      <c r="Z37" s="613"/>
      <c r="AA37" s="619" t="e">
        <f>+'Detail despre Grant'!#REF!</f>
        <v>#REF!</v>
      </c>
      <c r="AB37" s="612" t="e">
        <f>+IF(AA37="A1",1,IF(AA37="A2",0.8,IF(AA37="B1",0.6,IF(AA37="B2",0.4,0.2))))</f>
        <v>#REF!</v>
      </c>
      <c r="AC37" s="612" t="e">
        <f>IF($AB37&gt;AC$34,IF($AB37&lt;=AC$35,$AB37,NA()),NA())</f>
        <v>#REF!</v>
      </c>
      <c r="AD37" s="612" t="e">
        <f t="shared" ref="AD37:AG47" si="3">IF($AB37&gt;AD$34,IF($AB37&lt;=AD$35,$AB37,NA()),NA())</f>
        <v>#REF!</v>
      </c>
      <c r="AE37" s="612" t="e">
        <f t="shared" si="3"/>
        <v>#REF!</v>
      </c>
      <c r="AF37" s="612" t="e">
        <f t="shared" si="3"/>
        <v>#REF!</v>
      </c>
      <c r="AG37" s="612" t="e">
        <f t="shared" si="3"/>
        <v>#REF!</v>
      </c>
      <c r="AH37" s="613"/>
      <c r="AI37" s="613"/>
      <c r="AJ37" s="613"/>
      <c r="AK37" s="614"/>
      <c r="AL37" s="614"/>
    </row>
    <row r="38" spans="1:38" ht="43.5" customHeight="1">
      <c r="A38" s="615">
        <v>4</v>
      </c>
      <c r="B38" s="308" t="str">
        <f>VLOOKUP(A38,Table1[],2,0)</f>
        <v>Indicator de impact</v>
      </c>
      <c r="C38" s="794" t="str">
        <f>VLOOKUP(A38,Table1[],4,0)</f>
        <v xml:space="preserve">HIV I-9a (M): Procentul BSB care trăiesc cu HIV </v>
      </c>
      <c r="D38" s="794"/>
      <c r="E38" s="794"/>
      <c r="F38" s="418" t="str">
        <f t="shared" si="0"/>
        <v>n/a</v>
      </c>
      <c r="G38" s="418" t="str">
        <f t="shared" si="1"/>
        <v>n/a</v>
      </c>
      <c r="H38" s="795">
        <f>+IF(ISERROR(F38/G38),0,G38/F38)</f>
        <v>0</v>
      </c>
      <c r="I38" s="796"/>
      <c r="J38" s="796"/>
      <c r="K38" s="796"/>
      <c r="L38" s="797"/>
      <c r="M38" s="798" t="s">
        <v>519</v>
      </c>
      <c r="N38" s="799"/>
      <c r="O38" s="799"/>
      <c r="P38" s="799"/>
      <c r="Q38" s="799"/>
      <c r="R38" s="800"/>
      <c r="S38" s="600"/>
      <c r="T38" s="617"/>
      <c r="U38" s="612"/>
      <c r="V38" s="612"/>
      <c r="W38" s="612"/>
      <c r="X38" s="612"/>
      <c r="Y38" s="612"/>
      <c r="Z38" s="613"/>
      <c r="AA38" s="619"/>
      <c r="AB38" s="612"/>
      <c r="AC38" s="612"/>
      <c r="AD38" s="612"/>
      <c r="AE38" s="612"/>
      <c r="AF38" s="612"/>
      <c r="AG38" s="612"/>
      <c r="AH38" s="613"/>
      <c r="AI38" s="613"/>
      <c r="AJ38" s="613"/>
      <c r="AK38" s="614"/>
      <c r="AL38" s="614"/>
    </row>
    <row r="39" spans="1:38" ht="43.5" customHeight="1">
      <c r="A39" s="615">
        <v>5</v>
      </c>
      <c r="B39" s="308" t="str">
        <f>VLOOKUP(A39,Table1[],2,0)</f>
        <v>Indicator de impact</v>
      </c>
      <c r="C39" s="794" t="str">
        <f>VLOOKUP(A39,Table1[],4,0)</f>
        <v>HIV I-10 (M): Procentul LSC care trăiesc cu HIV</v>
      </c>
      <c r="D39" s="794"/>
      <c r="E39" s="794"/>
      <c r="F39" s="418" t="str">
        <f t="shared" si="0"/>
        <v>n/a</v>
      </c>
      <c r="G39" s="418" t="str">
        <f t="shared" si="1"/>
        <v>n/a</v>
      </c>
      <c r="H39" s="795">
        <f t="shared" ref="H39:H45" si="4">+IF(ISERROR(F39/G39),0,G39/F39)</f>
        <v>0</v>
      </c>
      <c r="I39" s="796"/>
      <c r="J39" s="796"/>
      <c r="K39" s="796"/>
      <c r="L39" s="797"/>
      <c r="M39" s="798" t="s">
        <v>519</v>
      </c>
      <c r="N39" s="799"/>
      <c r="O39" s="799"/>
      <c r="P39" s="799"/>
      <c r="Q39" s="799"/>
      <c r="R39" s="800"/>
      <c r="S39" s="600"/>
      <c r="T39" s="617"/>
      <c r="U39" s="612"/>
      <c r="V39" s="612"/>
      <c r="W39" s="612"/>
      <c r="X39" s="612"/>
      <c r="Y39" s="612"/>
      <c r="Z39" s="613"/>
      <c r="AA39" s="619"/>
      <c r="AB39" s="612"/>
      <c r="AC39" s="612"/>
      <c r="AD39" s="612"/>
      <c r="AE39" s="612"/>
      <c r="AF39" s="612"/>
      <c r="AG39" s="612"/>
      <c r="AH39" s="613"/>
      <c r="AI39" s="613"/>
      <c r="AJ39" s="613"/>
      <c r="AK39" s="614"/>
      <c r="AL39" s="614"/>
    </row>
    <row r="40" spans="1:38" ht="43.5" customHeight="1">
      <c r="A40" s="615">
        <v>6</v>
      </c>
      <c r="B40" s="308" t="str">
        <f>VLOOKUP(A40,Table1[],2,0)</f>
        <v>Indicator de impact</v>
      </c>
      <c r="C40" s="794" t="str">
        <f>VLOOKUP(A40,Table1[],4,0)</f>
        <v>HIV I-11 (M): Procentul consumatorilor de droguri injectabile care trăiesc cu HIV</v>
      </c>
      <c r="D40" s="794"/>
      <c r="E40" s="794"/>
      <c r="F40" s="418" t="str">
        <f t="shared" si="0"/>
        <v>n/a</v>
      </c>
      <c r="G40" s="418" t="str">
        <f t="shared" si="1"/>
        <v>n/a</v>
      </c>
      <c r="H40" s="795">
        <f t="shared" si="4"/>
        <v>0</v>
      </c>
      <c r="I40" s="796"/>
      <c r="J40" s="796"/>
      <c r="K40" s="796"/>
      <c r="L40" s="797"/>
      <c r="M40" s="798" t="s">
        <v>519</v>
      </c>
      <c r="N40" s="799"/>
      <c r="O40" s="799"/>
      <c r="P40" s="799"/>
      <c r="Q40" s="799"/>
      <c r="R40" s="800"/>
      <c r="S40" s="600"/>
      <c r="T40" s="617"/>
      <c r="U40" s="612"/>
      <c r="V40" s="612"/>
      <c r="W40" s="612"/>
      <c r="X40" s="612"/>
      <c r="Y40" s="612"/>
      <c r="Z40" s="613"/>
      <c r="AA40" s="619"/>
      <c r="AB40" s="612"/>
      <c r="AC40" s="612"/>
      <c r="AD40" s="612"/>
      <c r="AE40" s="612"/>
      <c r="AF40" s="612"/>
      <c r="AG40" s="612"/>
      <c r="AH40" s="613"/>
      <c r="AI40" s="613"/>
      <c r="AJ40" s="613"/>
      <c r="AK40" s="614"/>
      <c r="AL40" s="614"/>
    </row>
    <row r="41" spans="1:38" ht="43.5" customHeight="1">
      <c r="A41" s="615">
        <v>7</v>
      </c>
      <c r="B41" s="308" t="str">
        <f>VLOOKUP(A41,Table1[],2,0)</f>
        <v>Indicator de rezultat</v>
      </c>
      <c r="C41" s="794" t="str">
        <f>VLOOKUP(A41,Table1[],4,0)</f>
        <v xml:space="preserve">TB O-4(M): Rata succesului tratamentului pacienților cu RR TB și/sau MDR-TB </v>
      </c>
      <c r="D41" s="794"/>
      <c r="E41" s="794"/>
      <c r="F41" s="417">
        <f t="shared" si="0"/>
        <v>0.65049999999999997</v>
      </c>
      <c r="G41" s="417">
        <f t="shared" si="1"/>
        <v>0.52629999999999999</v>
      </c>
      <c r="H41" s="795">
        <f>+IF(ISERROR(F41/G41),0,G41/F41)</f>
        <v>0.80906994619523442</v>
      </c>
      <c r="I41" s="796"/>
      <c r="J41" s="796"/>
      <c r="K41" s="796"/>
      <c r="L41" s="797"/>
      <c r="M41" s="798" t="s">
        <v>520</v>
      </c>
      <c r="N41" s="799"/>
      <c r="O41" s="799"/>
      <c r="P41" s="799"/>
      <c r="Q41" s="799"/>
      <c r="R41" s="800"/>
      <c r="S41" s="600"/>
      <c r="T41" s="620"/>
      <c r="U41" s="612"/>
      <c r="V41" s="612"/>
      <c r="W41" s="612"/>
      <c r="X41" s="612"/>
      <c r="Y41" s="612"/>
      <c r="Z41" s="613"/>
      <c r="AA41" s="619"/>
      <c r="AB41" s="612"/>
      <c r="AC41" s="612"/>
      <c r="AD41" s="612"/>
      <c r="AE41" s="612"/>
      <c r="AF41" s="612"/>
      <c r="AG41" s="621"/>
      <c r="AH41" s="17"/>
      <c r="AI41" s="17"/>
      <c r="AJ41" s="17"/>
    </row>
    <row r="42" spans="1:38" ht="72.75" customHeight="1">
      <c r="A42" s="615">
        <v>8</v>
      </c>
      <c r="B42" s="308" t="str">
        <f>VLOOKUP(A42,Table1[],2,0)</f>
        <v>Indicator de rezultat</v>
      </c>
      <c r="C42" s="794" t="str">
        <f>VLOOKUP(A42,Table1[],4,0)</f>
        <v>TB O-1a: Rata de notificare a cazurilor de tuberculoză (toate formele) per 100,000 populație</v>
      </c>
      <c r="D42" s="794"/>
      <c r="E42" s="794"/>
      <c r="F42" s="265">
        <f t="shared" si="0"/>
        <v>103.5</v>
      </c>
      <c r="G42" s="265">
        <f t="shared" si="1"/>
        <v>83.17</v>
      </c>
      <c r="H42" s="795">
        <f>+IF(ISERROR(G42/F42),0,F42/G42)</f>
        <v>1.2444391006372491</v>
      </c>
      <c r="I42" s="796"/>
      <c r="J42" s="796"/>
      <c r="K42" s="796"/>
      <c r="L42" s="797"/>
      <c r="M42" s="798" t="s">
        <v>521</v>
      </c>
      <c r="N42" s="799"/>
      <c r="O42" s="799"/>
      <c r="P42" s="799"/>
      <c r="Q42" s="799"/>
      <c r="R42" s="800"/>
      <c r="S42" s="600"/>
      <c r="T42" s="620"/>
      <c r="U42" s="612"/>
      <c r="V42" s="612"/>
      <c r="W42" s="612"/>
      <c r="X42" s="612"/>
      <c r="Y42" s="612"/>
      <c r="Z42" s="613"/>
      <c r="AA42" s="619"/>
      <c r="AB42" s="612"/>
      <c r="AC42" s="612"/>
      <c r="AD42" s="612"/>
      <c r="AE42" s="612"/>
      <c r="AF42" s="612"/>
      <c r="AG42" s="621"/>
      <c r="AH42" s="17"/>
      <c r="AI42" s="17"/>
      <c r="AJ42" s="17"/>
    </row>
    <row r="43" spans="1:38" ht="43.5" customHeight="1">
      <c r="A43" s="615">
        <v>9</v>
      </c>
      <c r="B43" s="308" t="str">
        <f>VLOOKUP(A43,Table1[],2,0)</f>
        <v>Indicator de rezultat</v>
      </c>
      <c r="C43" s="794" t="str">
        <f>VLOOKUP(A43,Table1[],4,0)</f>
        <v>TB O-5(M): Rata de acoperire cu tratament antituberculos</v>
      </c>
      <c r="D43" s="794"/>
      <c r="E43" s="794"/>
      <c r="F43" s="417" t="str">
        <f t="shared" si="0"/>
        <v>n/a</v>
      </c>
      <c r="G43" s="417" t="str">
        <f t="shared" si="1"/>
        <v>n/a</v>
      </c>
      <c r="H43" s="795">
        <f t="shared" si="4"/>
        <v>0</v>
      </c>
      <c r="I43" s="796"/>
      <c r="J43" s="796"/>
      <c r="K43" s="796"/>
      <c r="L43" s="797"/>
      <c r="M43" s="798" t="s">
        <v>522</v>
      </c>
      <c r="N43" s="799"/>
      <c r="O43" s="799"/>
      <c r="P43" s="799"/>
      <c r="Q43" s="799"/>
      <c r="R43" s="800"/>
      <c r="S43" s="600"/>
      <c r="T43" s="620"/>
      <c r="U43" s="612"/>
      <c r="V43" s="612"/>
      <c r="W43" s="612"/>
      <c r="X43" s="612"/>
      <c r="Y43" s="612"/>
      <c r="Z43" s="613"/>
      <c r="AA43" s="619"/>
      <c r="AB43" s="612"/>
      <c r="AC43" s="612"/>
      <c r="AD43" s="612"/>
      <c r="AE43" s="612"/>
      <c r="AF43" s="612"/>
      <c r="AG43" s="621"/>
      <c r="AH43" s="17"/>
      <c r="AI43" s="17"/>
      <c r="AJ43" s="17"/>
    </row>
    <row r="44" spans="1:38" ht="54" customHeight="1">
      <c r="A44" s="615">
        <v>10</v>
      </c>
      <c r="B44" s="308" t="str">
        <f>VLOOKUP(A44,Table1[],2,0)</f>
        <v>Indicator de rezultat</v>
      </c>
      <c r="C44" s="794" t="str">
        <f>VLOOKUP(A44,Table1[],4,0)</f>
        <v xml:space="preserve">HIV O-1 (M): Procentul adulţilor şi copiilor HIV infectaţi care se află în tratament 12 luni după iniţierea tratamentului antiretroviral </v>
      </c>
      <c r="D44" s="794"/>
      <c r="E44" s="794"/>
      <c r="F44" s="417">
        <f t="shared" si="0"/>
        <v>0.85</v>
      </c>
      <c r="G44" s="417">
        <f t="shared" si="1"/>
        <v>0.83299999999999996</v>
      </c>
      <c r="H44" s="795">
        <f t="shared" si="4"/>
        <v>0.98</v>
      </c>
      <c r="I44" s="796"/>
      <c r="J44" s="796"/>
      <c r="K44" s="796"/>
      <c r="L44" s="797"/>
      <c r="M44" s="798" t="s">
        <v>532</v>
      </c>
      <c r="N44" s="799"/>
      <c r="O44" s="799"/>
      <c r="P44" s="799"/>
      <c r="Q44" s="799"/>
      <c r="R44" s="800"/>
      <c r="S44" s="600"/>
      <c r="T44" s="620"/>
      <c r="U44" s="612"/>
      <c r="V44" s="612"/>
      <c r="W44" s="612"/>
      <c r="X44" s="612"/>
      <c r="Y44" s="612"/>
      <c r="Z44" s="613"/>
      <c r="AA44" s="619"/>
      <c r="AB44" s="612"/>
      <c r="AC44" s="612"/>
      <c r="AD44" s="612"/>
      <c r="AE44" s="612"/>
      <c r="AF44" s="612"/>
      <c r="AG44" s="621"/>
      <c r="AH44" s="17"/>
      <c r="AI44" s="17"/>
      <c r="AJ44" s="17"/>
    </row>
    <row r="45" spans="1:38" ht="43.5" customHeight="1">
      <c r="A45" s="615">
        <v>11</v>
      </c>
      <c r="B45" s="308" t="str">
        <f>VLOOKUP(A45,Table1[],2,0)</f>
        <v>Indicator de rezultat</v>
      </c>
      <c r="C45" s="794" t="str">
        <f>VLOOKUP(A45,Table1[],4,0)</f>
        <v>HIV O-4a (M): Procentul BSB care raportează utilizarea prezervativului în timpul ultimului act de sex anal cu partenerul de gen masculin</v>
      </c>
      <c r="D45" s="794"/>
      <c r="E45" s="794"/>
      <c r="F45" s="417" t="str">
        <f t="shared" si="0"/>
        <v>n/a</v>
      </c>
      <c r="G45" s="417" t="str">
        <f t="shared" si="1"/>
        <v>n/a</v>
      </c>
      <c r="H45" s="795">
        <f t="shared" si="4"/>
        <v>0</v>
      </c>
      <c r="I45" s="796"/>
      <c r="J45" s="796"/>
      <c r="K45" s="796"/>
      <c r="L45" s="797"/>
      <c r="M45" s="798" t="s">
        <v>519</v>
      </c>
      <c r="N45" s="799"/>
      <c r="O45" s="799"/>
      <c r="P45" s="799"/>
      <c r="Q45" s="799"/>
      <c r="R45" s="800"/>
      <c r="S45" s="600"/>
      <c r="T45" s="620"/>
      <c r="U45" s="612"/>
      <c r="V45" s="612"/>
      <c r="W45" s="612"/>
      <c r="X45" s="612"/>
      <c r="Y45" s="612"/>
      <c r="Z45" s="613"/>
      <c r="AA45" s="619"/>
      <c r="AB45" s="612"/>
      <c r="AC45" s="612"/>
      <c r="AD45" s="612"/>
      <c r="AE45" s="612"/>
      <c r="AF45" s="612"/>
      <c r="AG45" s="621"/>
      <c r="AH45" s="17"/>
      <c r="AI45" s="17"/>
      <c r="AJ45" s="17"/>
    </row>
    <row r="46" spans="1:38" ht="43.5" customHeight="1">
      <c r="A46" s="615">
        <v>12</v>
      </c>
      <c r="B46" s="308" t="str">
        <f>VLOOKUP(A46,Table1[],2,0)</f>
        <v>Indicator de rezultat</v>
      </c>
      <c r="C46" s="794" t="str">
        <f>VLOOKUP(A46,Table1[],4,0)</f>
        <v>HIV O-5 (M): Procentul LSC care raportează utilizarea prezervativului cu ultimul lor client</v>
      </c>
      <c r="D46" s="794"/>
      <c r="E46" s="794"/>
      <c r="F46" s="417" t="str">
        <f t="shared" si="0"/>
        <v>n/a</v>
      </c>
      <c r="G46" s="417" t="str">
        <f t="shared" si="1"/>
        <v>n/a</v>
      </c>
      <c r="H46" s="795">
        <f>+IF(ISERROR(G46/F46),0,G46/F46)</f>
        <v>0</v>
      </c>
      <c r="I46" s="796"/>
      <c r="J46" s="796"/>
      <c r="K46" s="796"/>
      <c r="L46" s="797"/>
      <c r="M46" s="798" t="s">
        <v>519</v>
      </c>
      <c r="N46" s="799"/>
      <c r="O46" s="799"/>
      <c r="P46" s="799"/>
      <c r="Q46" s="799"/>
      <c r="R46" s="800"/>
      <c r="S46" s="600"/>
      <c r="T46" s="620"/>
      <c r="U46" s="612" t="e">
        <f t="shared" ref="U46:X47" si="5">IF($L36&gt;U$34,IF($L36&lt;=U$35,$L36,NA()),NA())</f>
        <v>#N/A</v>
      </c>
      <c r="V46" s="612" t="e">
        <f t="shared" si="5"/>
        <v>#N/A</v>
      </c>
      <c r="W46" s="612" t="e">
        <f t="shared" si="5"/>
        <v>#N/A</v>
      </c>
      <c r="X46" s="612" t="e">
        <f t="shared" si="5"/>
        <v>#N/A</v>
      </c>
      <c r="Y46" s="612" t="e">
        <f>IF($L36&gt;Y$34,IF($L36&lt;=Y$35,1,1),NA())</f>
        <v>#N/A</v>
      </c>
      <c r="Z46" s="613"/>
      <c r="AA46" s="619" t="e">
        <f>+'Detail despre Grant'!#REF!</f>
        <v>#REF!</v>
      </c>
      <c r="AB46" s="612" t="e">
        <f>+IF(AA46="A1",1,IF(AA46="A2",0.8,IF(AA46="B1",0.6,IF(AA46="B2",0.4,0.2))))</f>
        <v>#REF!</v>
      </c>
      <c r="AC46" s="612" t="e">
        <f>IF($AB46&gt;AC$34,IF($AB46&lt;=AC$35,$AB46,NA()),NA())</f>
        <v>#REF!</v>
      </c>
      <c r="AD46" s="612" t="e">
        <f t="shared" si="3"/>
        <v>#REF!</v>
      </c>
      <c r="AE46" s="612" t="e">
        <f t="shared" si="3"/>
        <v>#REF!</v>
      </c>
      <c r="AF46" s="612" t="e">
        <f t="shared" si="3"/>
        <v>#REF!</v>
      </c>
      <c r="AG46" s="621" t="e">
        <f t="shared" si="3"/>
        <v>#REF!</v>
      </c>
      <c r="AH46" s="17"/>
      <c r="AI46" s="17"/>
      <c r="AJ46" s="17"/>
    </row>
    <row r="47" spans="1:38" ht="43.5" customHeight="1">
      <c r="A47" s="615">
        <v>13</v>
      </c>
      <c r="B47" s="308" t="str">
        <f>VLOOKUP(A47,Table1[],2,0)</f>
        <v>Indicator de rezultat</v>
      </c>
      <c r="C47" s="794" t="str">
        <f>VLOOKUP(A47,Table1[],4,0)</f>
        <v>HIV O-6 (M): Procentul consumatorilor de droguri injectabile care raportează utilizarea setului pentru injectare steril la ultima injectare</v>
      </c>
      <c r="D47" s="794"/>
      <c r="E47" s="794"/>
      <c r="F47" s="417" t="str">
        <f t="shared" si="0"/>
        <v>n/a</v>
      </c>
      <c r="G47" s="417" t="str">
        <f t="shared" si="1"/>
        <v>n/a</v>
      </c>
      <c r="H47" s="795">
        <f>+IF(ISERROR(G47/F47),0,G47/F47)</f>
        <v>0</v>
      </c>
      <c r="I47" s="796"/>
      <c r="J47" s="796"/>
      <c r="K47" s="796"/>
      <c r="L47" s="797"/>
      <c r="M47" s="798" t="s">
        <v>519</v>
      </c>
      <c r="N47" s="799"/>
      <c r="O47" s="799"/>
      <c r="P47" s="799"/>
      <c r="Q47" s="799"/>
      <c r="R47" s="800"/>
      <c r="S47" s="600"/>
      <c r="T47" s="620"/>
      <c r="U47" s="612" t="e">
        <f t="shared" si="5"/>
        <v>#N/A</v>
      </c>
      <c r="V47" s="612" t="e">
        <f t="shared" si="5"/>
        <v>#N/A</v>
      </c>
      <c r="W47" s="612" t="e">
        <f t="shared" si="5"/>
        <v>#N/A</v>
      </c>
      <c r="X47" s="612" t="e">
        <f t="shared" si="5"/>
        <v>#N/A</v>
      </c>
      <c r="Y47" s="612" t="e">
        <f>IF($L37&gt;Y$34,IF($L37&lt;=Y$35,1,NA()),NA())</f>
        <v>#N/A</v>
      </c>
      <c r="Z47" s="613"/>
      <c r="AA47" s="619" t="e">
        <f>+'Detail despre Grant'!#REF!</f>
        <v>#REF!</v>
      </c>
      <c r="AB47" s="612" t="e">
        <f>+IF(AA47="A1",1,IF(AA47="A2",0.8,IF(AA47="B1",0.6,IF(AA47="B2",0.4,0.2))))</f>
        <v>#REF!</v>
      </c>
      <c r="AC47" s="612" t="e">
        <f>IF($AB47&gt;AC$34,IF($AB47&lt;=AC$35,$AB47,NA()),NA())</f>
        <v>#REF!</v>
      </c>
      <c r="AD47" s="612" t="e">
        <f t="shared" si="3"/>
        <v>#REF!</v>
      </c>
      <c r="AE47" s="612" t="e">
        <f t="shared" si="3"/>
        <v>#REF!</v>
      </c>
      <c r="AF47" s="612" t="e">
        <f t="shared" si="3"/>
        <v>#REF!</v>
      </c>
      <c r="AG47" s="621" t="e">
        <f t="shared" si="3"/>
        <v>#REF!</v>
      </c>
      <c r="AH47" s="17"/>
      <c r="AI47" s="17"/>
      <c r="AJ47" s="17"/>
    </row>
    <row r="48" spans="1:38" ht="43.5" customHeight="1">
      <c r="A48" s="615">
        <v>14</v>
      </c>
      <c r="B48" s="308" t="str">
        <f>VLOOKUP(A48,Table1[],2,0)</f>
        <v>Indicator de proces</v>
      </c>
      <c r="C48" s="794" t="str">
        <f>VLOOKUP(A48,Table1[],4,0)</f>
        <v>MDR TB-2(M): Numărul cazurilor de TB DR (RR-TB și/sau MDR-TB), confirmate bacteriologic, notificate</v>
      </c>
      <c r="D48" s="794"/>
      <c r="E48" s="794"/>
      <c r="F48" s="265">
        <f t="shared" si="0"/>
        <v>535</v>
      </c>
      <c r="G48" s="265">
        <f t="shared" si="1"/>
        <v>376</v>
      </c>
      <c r="H48" s="795">
        <f>+IF(ISERROR(G48/F48),0,G48/F48)</f>
        <v>0.702803738317757</v>
      </c>
      <c r="I48" s="796"/>
      <c r="J48" s="796"/>
      <c r="K48" s="796"/>
      <c r="L48" s="797"/>
      <c r="M48" s="813" t="s">
        <v>523</v>
      </c>
      <c r="N48" s="813"/>
      <c r="O48" s="813"/>
      <c r="P48" s="813"/>
      <c r="Q48" s="813"/>
      <c r="R48" s="813"/>
      <c r="S48" s="600"/>
      <c r="T48" s="620"/>
      <c r="U48" s="612"/>
      <c r="V48" s="612"/>
      <c r="W48" s="612"/>
      <c r="X48" s="612"/>
      <c r="Y48" s="612"/>
      <c r="Z48" s="613"/>
      <c r="AA48" s="613"/>
      <c r="AB48" s="613"/>
      <c r="AC48" s="613"/>
      <c r="AD48" s="613"/>
      <c r="AE48" s="613"/>
      <c r="AF48" s="613"/>
      <c r="AG48" s="5"/>
      <c r="AH48" s="17"/>
      <c r="AI48" s="17"/>
      <c r="AJ48" s="17"/>
    </row>
    <row r="49" spans="1:36" ht="55.5" customHeight="1">
      <c r="A49" s="615">
        <v>15</v>
      </c>
      <c r="B49" s="308" t="str">
        <f>VLOOKUP(A49,Table1[],2,0)</f>
        <v>Indicator de proces</v>
      </c>
      <c r="C49" s="794" t="str">
        <f>VLOOKUP(A49,Table1[],4,0)</f>
        <v xml:space="preserve">MDR TB-3(M): Numărul cazurilor cu tuberculoză drog-rezistentă (RR-TB și/sau MDR-TB), confirmate bacteriologic, care au demarat tratamentul DOTS-Plus în perioada raportată                </v>
      </c>
      <c r="D49" s="794"/>
      <c r="E49" s="794"/>
      <c r="F49" s="265">
        <f t="shared" si="0"/>
        <v>531</v>
      </c>
      <c r="G49" s="265">
        <f t="shared" si="1"/>
        <v>485</v>
      </c>
      <c r="H49" s="795">
        <f>+IF(ISERROR(G49/F49),0,G49/F49)</f>
        <v>0.91337099811676081</v>
      </c>
      <c r="I49" s="796"/>
      <c r="J49" s="796"/>
      <c r="K49" s="796"/>
      <c r="L49" s="797"/>
      <c r="M49" s="807" t="s">
        <v>524</v>
      </c>
      <c r="N49" s="808"/>
      <c r="O49" s="808"/>
      <c r="P49" s="808"/>
      <c r="Q49" s="808"/>
      <c r="R49" s="808"/>
      <c r="S49" s="600"/>
      <c r="T49" s="620"/>
      <c r="U49" s="612" t="e">
        <f>IF($L47&gt;U$34,IF($L47&lt;=U$35,$L47,NA()),NA())</f>
        <v>#N/A</v>
      </c>
      <c r="V49" s="612" t="e">
        <f>IF($L47&gt;V$34,IF($L47&lt;=V$35,$L47,NA()),NA())</f>
        <v>#N/A</v>
      </c>
      <c r="W49" s="612" t="e">
        <f>IF($L47&gt;W$34,IF($L47&lt;=W$35,$L47,NA()),NA())</f>
        <v>#N/A</v>
      </c>
      <c r="X49" s="612" t="e">
        <f>IF($L47&gt;X$34,IF($L47&lt;=X$35,$L47,NA()),NA())</f>
        <v>#N/A</v>
      </c>
      <c r="Y49" s="612" t="e">
        <f>IF($L47&gt;Y$34,IF($L47&lt;=Y$35,1,NA()),NA())</f>
        <v>#N/A</v>
      </c>
      <c r="Z49" s="613"/>
      <c r="AA49" s="613"/>
      <c r="AB49" s="613"/>
      <c r="AC49" s="613"/>
      <c r="AD49" s="613"/>
      <c r="AE49" s="613"/>
      <c r="AF49" s="613"/>
      <c r="AG49" s="5"/>
      <c r="AH49" s="17"/>
      <c r="AI49" s="17"/>
      <c r="AJ49" s="17"/>
    </row>
    <row r="50" spans="1:36" ht="43.5" customHeight="1">
      <c r="A50" s="615">
        <v>16</v>
      </c>
      <c r="B50" s="308" t="str">
        <f>VLOOKUP(A50,Table1[],2,0)</f>
        <v>Indicator de proces</v>
      </c>
      <c r="C50" s="794" t="str">
        <f>VLOOKUP(A50,Table1[],4,0)</f>
        <v>MDR TB-4: Rezultatul interimar de abandon al tratamentului cazurilor MDR-TB</v>
      </c>
      <c r="D50" s="794"/>
      <c r="E50" s="794"/>
      <c r="F50" s="417">
        <f t="shared" si="0"/>
        <v>8.6999999999999994E-2</v>
      </c>
      <c r="G50" s="417">
        <f t="shared" si="1"/>
        <v>9.2700000000000005E-2</v>
      </c>
      <c r="H50" s="795">
        <f>+IF(ISERROR(G50/F50),0,F50/G50)</f>
        <v>0.93851132686084127</v>
      </c>
      <c r="I50" s="796"/>
      <c r="J50" s="796"/>
      <c r="K50" s="796"/>
      <c r="L50" s="797"/>
      <c r="M50" s="807" t="s">
        <v>525</v>
      </c>
      <c r="N50" s="808"/>
      <c r="O50" s="808"/>
      <c r="P50" s="808"/>
      <c r="Q50" s="808"/>
      <c r="R50" s="808"/>
      <c r="S50" s="600"/>
      <c r="T50" s="620"/>
      <c r="U50" s="612" t="e">
        <f>IF(#REF!&gt;U$34,IF(#REF!&lt;=U$35,#REF!,NA()),NA())</f>
        <v>#REF!</v>
      </c>
      <c r="V50" s="612" t="e">
        <f>IF(#REF!&gt;V$34,IF(#REF!&lt;=V$35,#REF!,NA()),NA())</f>
        <v>#REF!</v>
      </c>
      <c r="W50" s="612" t="e">
        <f>IF(#REF!&gt;W$34,IF(#REF!&lt;=W$35,#REF!,NA()),NA())</f>
        <v>#REF!</v>
      </c>
      <c r="X50" s="612" t="e">
        <f>IF(#REF!&gt;X$34,IF(#REF!&lt;=X$35,#REF!,NA()),NA())</f>
        <v>#REF!</v>
      </c>
      <c r="Y50" s="612" t="e">
        <f>IF(#REF!&gt;Y$34,IF(#REF!&lt;=Y$35,1,NA()),NA())</f>
        <v>#REF!</v>
      </c>
      <c r="Z50" s="613"/>
      <c r="AA50" s="613"/>
      <c r="AB50" s="613"/>
      <c r="AC50" s="613"/>
      <c r="AD50" s="613"/>
      <c r="AE50" s="613"/>
      <c r="AF50" s="613"/>
      <c r="AG50" s="5"/>
      <c r="AH50" s="17"/>
      <c r="AI50" s="17"/>
      <c r="AJ50" s="17"/>
    </row>
    <row r="51" spans="1:36" ht="43.5" customHeight="1">
      <c r="A51" s="615">
        <v>17</v>
      </c>
      <c r="B51" s="308" t="str">
        <f>VLOOKUP(A51,Table1[],2,0)</f>
        <v>Indicator de proces</v>
      </c>
      <c r="C51" s="794" t="str">
        <f>VLOOKUP(A51,Table1[],4,0)</f>
        <v>MDR TB-8: Numărul cazurilor de XDR TB incluși în tratament în perioada raportată</v>
      </c>
      <c r="D51" s="794"/>
      <c r="E51" s="794"/>
      <c r="F51" s="265" t="str">
        <f t="shared" si="0"/>
        <v>n/a</v>
      </c>
      <c r="G51" s="265" t="str">
        <f t="shared" si="1"/>
        <v>n/a</v>
      </c>
      <c r="H51" s="795">
        <f t="shared" ref="H51:H58" si="6">+IF(ISERROR(G51/F51),0,F51/G51)</f>
        <v>0</v>
      </c>
      <c r="I51" s="796"/>
      <c r="J51" s="796"/>
      <c r="K51" s="796"/>
      <c r="L51" s="797"/>
      <c r="M51" s="798" t="s">
        <v>522</v>
      </c>
      <c r="N51" s="799"/>
      <c r="O51" s="799"/>
      <c r="P51" s="799"/>
      <c r="Q51" s="799"/>
      <c r="R51" s="800"/>
      <c r="S51" s="600"/>
      <c r="T51" s="620"/>
      <c r="U51" s="612" t="e">
        <f>IF(#REF!&gt;U$34,IF(#REF!&lt;=U$35,#REF!,NA()),NA())</f>
        <v>#REF!</v>
      </c>
      <c r="V51" s="612" t="e">
        <f>IF(#REF!&gt;V$34,IF(#REF!&lt;=V$35,#REF!,NA()),NA())</f>
        <v>#REF!</v>
      </c>
      <c r="W51" s="612" t="e">
        <f>IF(#REF!&gt;W$34,IF(#REF!&lt;=W$35,#REF!,NA()),NA())</f>
        <v>#REF!</v>
      </c>
      <c r="X51" s="612" t="e">
        <f>IF(#REF!&gt;X$34,IF(#REF!&lt;=X$35,#REF!,NA()),NA())</f>
        <v>#REF!</v>
      </c>
      <c r="Y51" s="612" t="e">
        <f>IF(#REF!&gt;Y$34,IF(#REF!&lt;=Y$35,1,NA()),NA())</f>
        <v>#REF!</v>
      </c>
      <c r="Z51" s="613"/>
      <c r="AA51" s="613"/>
      <c r="AB51" s="613"/>
      <c r="AC51" s="613"/>
      <c r="AD51" s="613"/>
      <c r="AE51" s="613"/>
      <c r="AF51" s="613"/>
      <c r="AG51" s="5"/>
      <c r="AH51" s="17"/>
      <c r="AI51" s="17"/>
      <c r="AJ51" s="17"/>
    </row>
    <row r="52" spans="1:36" ht="68.25" customHeight="1">
      <c r="A52" s="615">
        <v>18</v>
      </c>
      <c r="B52" s="308" t="str">
        <f>VLOOKUP(A52,Table1[],2,0)</f>
        <v>Indicator de proces</v>
      </c>
      <c r="C52" s="794" t="str">
        <f>VLOOKUP(A52,Table1[],4,0)</f>
        <v xml:space="preserve">KP-1d(M): Procentul consumatorilor de droguri injectabile acoperiți de programele de prevenire HIV - pachet definit de servicii </v>
      </c>
      <c r="D52" s="794"/>
      <c r="E52" s="794"/>
      <c r="F52" s="265" t="str">
        <f t="shared" si="0"/>
        <v>n/a</v>
      </c>
      <c r="G52" s="265" t="str">
        <f t="shared" si="1"/>
        <v>n/a</v>
      </c>
      <c r="H52" s="795">
        <f t="shared" si="6"/>
        <v>0</v>
      </c>
      <c r="I52" s="796"/>
      <c r="J52" s="796"/>
      <c r="K52" s="796"/>
      <c r="L52" s="797"/>
      <c r="M52" s="807" t="s">
        <v>533</v>
      </c>
      <c r="N52" s="808"/>
      <c r="O52" s="808"/>
      <c r="P52" s="808"/>
      <c r="Q52" s="808"/>
      <c r="R52" s="808"/>
      <c r="S52" s="600"/>
      <c r="T52" s="620"/>
      <c r="U52" s="612" t="e">
        <f t="shared" si="2"/>
        <v>#N/A</v>
      </c>
      <c r="V52" s="612" t="e">
        <f t="shared" si="2"/>
        <v>#N/A</v>
      </c>
      <c r="W52" s="612" t="e">
        <f t="shared" si="2"/>
        <v>#N/A</v>
      </c>
      <c r="X52" s="612" t="e">
        <f t="shared" si="2"/>
        <v>#N/A</v>
      </c>
      <c r="Y52" s="612" t="e">
        <f t="shared" ref="Y52:Y53" si="7">IF($L50&gt;Y$34,IF($L50&lt;=Y$35,1,NA()),NA())</f>
        <v>#N/A</v>
      </c>
      <c r="Z52" s="613"/>
      <c r="AA52" s="613"/>
      <c r="AB52" s="613"/>
      <c r="AC52" s="613"/>
      <c r="AD52" s="613"/>
      <c r="AE52" s="613"/>
      <c r="AF52" s="613"/>
      <c r="AG52" s="5"/>
      <c r="AH52" s="17"/>
      <c r="AI52" s="17"/>
      <c r="AJ52" s="17"/>
    </row>
    <row r="53" spans="1:36" ht="68.25" customHeight="1">
      <c r="A53" s="615">
        <v>19</v>
      </c>
      <c r="B53" s="308" t="str">
        <f>VLOOKUP(A53,Table1[],2,0)</f>
        <v>Indicator de proces</v>
      </c>
      <c r="C53" s="794" t="str">
        <f>VLOOKUP(A53,Table1[],4,0)</f>
        <v>KP-3d(M): Procentul consumatorilor de droguri injectabile care au fost testați pentru HIV în perioada de raportare și își cunosc rezultatele</v>
      </c>
      <c r="D53" s="794"/>
      <c r="E53" s="794"/>
      <c r="F53" s="265" t="str">
        <f t="shared" si="0"/>
        <v>n/a</v>
      </c>
      <c r="G53" s="265" t="str">
        <f t="shared" si="1"/>
        <v>n/a</v>
      </c>
      <c r="H53" s="795">
        <f t="shared" si="6"/>
        <v>0</v>
      </c>
      <c r="I53" s="796"/>
      <c r="J53" s="796"/>
      <c r="K53" s="796"/>
      <c r="L53" s="797"/>
      <c r="M53" s="807" t="s">
        <v>534</v>
      </c>
      <c r="N53" s="808"/>
      <c r="O53" s="808"/>
      <c r="P53" s="808"/>
      <c r="Q53" s="808"/>
      <c r="R53" s="808"/>
      <c r="S53" s="600"/>
      <c r="T53" s="620"/>
      <c r="U53" s="612" t="e">
        <f t="shared" si="2"/>
        <v>#N/A</v>
      </c>
      <c r="V53" s="612" t="e">
        <f t="shared" si="2"/>
        <v>#N/A</v>
      </c>
      <c r="W53" s="612" t="e">
        <f t="shared" si="2"/>
        <v>#N/A</v>
      </c>
      <c r="X53" s="612" t="e">
        <f t="shared" si="2"/>
        <v>#N/A</v>
      </c>
      <c r="Y53" s="612" t="e">
        <f t="shared" si="7"/>
        <v>#N/A</v>
      </c>
      <c r="Z53" s="613"/>
      <c r="AA53" s="613"/>
      <c r="AB53" s="613"/>
      <c r="AC53" s="613"/>
      <c r="AD53" s="613"/>
      <c r="AE53" s="613"/>
      <c r="AF53" s="613"/>
      <c r="AG53" s="5"/>
      <c r="AH53" s="17"/>
      <c r="AI53" s="17"/>
      <c r="AJ53" s="17"/>
    </row>
    <row r="54" spans="1:36" ht="68.25" customHeight="1">
      <c r="A54" s="615">
        <v>20</v>
      </c>
      <c r="B54" s="308" t="str">
        <f>VLOOKUP(A54,Table1[],2,0)</f>
        <v>Indicator de proces</v>
      </c>
      <c r="C54" s="794" t="str">
        <f>VLOOKUP(A54,Table1[],4,0)</f>
        <v xml:space="preserve">KP-1c(M): Procentul LSC acoperiți de programele de prevenire HIV - pachet definit de servicii </v>
      </c>
      <c r="D54" s="794"/>
      <c r="E54" s="794"/>
      <c r="F54" s="265" t="str">
        <f t="shared" si="0"/>
        <v>n/a</v>
      </c>
      <c r="G54" s="265" t="str">
        <f t="shared" si="1"/>
        <v>n/a</v>
      </c>
      <c r="H54" s="795">
        <f t="shared" si="6"/>
        <v>0</v>
      </c>
      <c r="I54" s="796"/>
      <c r="J54" s="796"/>
      <c r="K54" s="796"/>
      <c r="L54" s="797"/>
      <c r="M54" s="807" t="s">
        <v>517</v>
      </c>
      <c r="N54" s="808"/>
      <c r="O54" s="808"/>
      <c r="P54" s="808"/>
      <c r="Q54" s="808"/>
      <c r="R54" s="808"/>
      <c r="S54" s="600"/>
      <c r="T54" s="5"/>
      <c r="U54" s="613"/>
      <c r="V54" s="613"/>
      <c r="W54" s="613"/>
      <c r="X54" s="613"/>
      <c r="Y54" s="613"/>
      <c r="Z54" s="613"/>
      <c r="AA54" s="613"/>
      <c r="AB54" s="613"/>
      <c r="AC54" s="613"/>
      <c r="AD54" s="613"/>
      <c r="AE54" s="613"/>
      <c r="AF54" s="613"/>
      <c r="AG54" s="5"/>
      <c r="AH54" s="17"/>
      <c r="AI54" s="17"/>
      <c r="AJ54" s="17"/>
    </row>
    <row r="55" spans="1:36" ht="68.25" customHeight="1">
      <c r="A55" s="615">
        <v>21</v>
      </c>
      <c r="B55" s="308" t="str">
        <f>VLOOKUP(A55,Table1[],2,0)</f>
        <v>Indicator de proces</v>
      </c>
      <c r="C55" s="794" t="str">
        <f>VLOOKUP(A55,Table1[],4,0)</f>
        <v>KP-3c(M): Procentul LSC care au fost testați pentru HIV în perioada de raportare și își cunosc rezultatele</v>
      </c>
      <c r="D55" s="794"/>
      <c r="E55" s="794"/>
      <c r="F55" s="265" t="str">
        <f t="shared" si="0"/>
        <v>n/a</v>
      </c>
      <c r="G55" s="265" t="str">
        <f t="shared" si="1"/>
        <v>n/a</v>
      </c>
      <c r="H55" s="795">
        <f t="shared" si="6"/>
        <v>0</v>
      </c>
      <c r="I55" s="796"/>
      <c r="J55" s="796"/>
      <c r="K55" s="796"/>
      <c r="L55" s="797"/>
      <c r="M55" s="807" t="s">
        <v>535</v>
      </c>
      <c r="N55" s="808"/>
      <c r="O55" s="808"/>
      <c r="P55" s="808"/>
      <c r="Q55" s="808"/>
      <c r="R55" s="808"/>
      <c r="S55" s="600"/>
      <c r="T55" s="5"/>
      <c r="U55" s="613"/>
      <c r="V55" s="613"/>
      <c r="W55" s="613"/>
      <c r="X55" s="613"/>
      <c r="Y55" s="613"/>
      <c r="Z55" s="613"/>
      <c r="AA55" s="613"/>
      <c r="AB55" s="613"/>
      <c r="AC55" s="613"/>
      <c r="AD55" s="613"/>
      <c r="AE55" s="613"/>
      <c r="AF55" s="613"/>
      <c r="AG55" s="5"/>
      <c r="AH55" s="17"/>
      <c r="AI55" s="17"/>
      <c r="AJ55" s="17"/>
    </row>
    <row r="56" spans="1:36" ht="68.25" customHeight="1">
      <c r="A56" s="615">
        <v>22</v>
      </c>
      <c r="B56" s="308" t="str">
        <f>VLOOKUP(A56,Table1[],2,0)</f>
        <v>Indicator de proces</v>
      </c>
      <c r="C56" s="794" t="str">
        <f>VLOOKUP(A56,Table1[],4,0)</f>
        <v xml:space="preserve">KP-1a(M): Procentul BSB acoperiți de programele de prevenire HIV - pachet definit de servicii </v>
      </c>
      <c r="D56" s="794"/>
      <c r="E56" s="794"/>
      <c r="F56" s="265" t="str">
        <f t="shared" si="0"/>
        <v>n/a</v>
      </c>
      <c r="G56" s="265" t="str">
        <f t="shared" si="1"/>
        <v>n/a</v>
      </c>
      <c r="H56" s="795">
        <f t="shared" si="6"/>
        <v>0</v>
      </c>
      <c r="I56" s="796"/>
      <c r="J56" s="796"/>
      <c r="K56" s="796"/>
      <c r="L56" s="797"/>
      <c r="M56" s="807" t="s">
        <v>518</v>
      </c>
      <c r="N56" s="808"/>
      <c r="O56" s="808"/>
      <c r="P56" s="808"/>
      <c r="Q56" s="808"/>
      <c r="R56" s="808"/>
      <c r="S56" s="600"/>
      <c r="T56" s="5"/>
      <c r="U56" s="613"/>
      <c r="V56" s="613"/>
      <c r="W56" s="613"/>
      <c r="X56" s="613"/>
      <c r="Y56" s="613"/>
      <c r="Z56" s="613"/>
      <c r="AA56" s="613"/>
      <c r="AB56" s="613"/>
      <c r="AC56" s="613"/>
      <c r="AD56" s="613"/>
      <c r="AE56" s="613"/>
      <c r="AF56" s="613"/>
      <c r="AG56" s="5"/>
      <c r="AH56" s="17"/>
      <c r="AI56" s="17"/>
      <c r="AJ56" s="17"/>
    </row>
    <row r="57" spans="1:36" ht="68.25" customHeight="1">
      <c r="A57" s="615">
        <v>23</v>
      </c>
      <c r="B57" s="308" t="str">
        <f>VLOOKUP(A57,Table1[],2,0)</f>
        <v>Indicator de proces</v>
      </c>
      <c r="C57" s="794" t="str">
        <f>VLOOKUP(A57,Table1[],4,0)</f>
        <v>KP-3a(M): Procentul BSB care au fost testați pentru HIV în perioada de raportare și își cunosc rezultatele</v>
      </c>
      <c r="D57" s="794"/>
      <c r="E57" s="794"/>
      <c r="F57" s="265" t="str">
        <f t="shared" si="0"/>
        <v>n/a</v>
      </c>
      <c r="G57" s="265" t="str">
        <f t="shared" si="1"/>
        <v>n/a</v>
      </c>
      <c r="H57" s="795">
        <f t="shared" si="6"/>
        <v>0</v>
      </c>
      <c r="I57" s="796"/>
      <c r="J57" s="796"/>
      <c r="K57" s="796"/>
      <c r="L57" s="797"/>
      <c r="M57" s="807" t="s">
        <v>536</v>
      </c>
      <c r="N57" s="808"/>
      <c r="O57" s="808"/>
      <c r="P57" s="808"/>
      <c r="Q57" s="808"/>
      <c r="R57" s="808"/>
      <c r="S57" s="600"/>
      <c r="T57" s="5"/>
      <c r="U57" s="613"/>
      <c r="V57" s="613"/>
      <c r="W57" s="613"/>
      <c r="X57" s="613"/>
      <c r="Y57" s="613"/>
      <c r="Z57" s="613"/>
      <c r="AA57" s="613"/>
      <c r="AB57" s="613"/>
      <c r="AC57" s="613"/>
      <c r="AD57" s="613"/>
      <c r="AE57" s="613"/>
      <c r="AF57" s="613"/>
      <c r="AG57" s="5"/>
      <c r="AH57" s="17"/>
      <c r="AI57" s="17"/>
      <c r="AJ57" s="17"/>
    </row>
    <row r="58" spans="1:36" ht="145.5" customHeight="1">
      <c r="A58" s="615">
        <v>24</v>
      </c>
      <c r="B58" s="308" t="str">
        <f>VLOOKUP(A58,Table1[],2,0)</f>
        <v>Indicator de proces</v>
      </c>
      <c r="C58" s="794" t="str">
        <f>VLOOKUP(A58,Table1[],4,0)</f>
        <v xml:space="preserve">TCS-1 (M): Procentul adulţilor şi copiilor care trăiesc cu HIV și urmează tratament antiretroviral </v>
      </c>
      <c r="D58" s="794"/>
      <c r="E58" s="794"/>
      <c r="F58" s="265" t="str">
        <f t="shared" si="0"/>
        <v>n/a</v>
      </c>
      <c r="G58" s="265" t="str">
        <f t="shared" si="1"/>
        <v>n/a</v>
      </c>
      <c r="H58" s="795">
        <f t="shared" si="6"/>
        <v>0</v>
      </c>
      <c r="I58" s="796"/>
      <c r="J58" s="796"/>
      <c r="K58" s="796"/>
      <c r="L58" s="797"/>
      <c r="M58" s="807" t="s">
        <v>516</v>
      </c>
      <c r="N58" s="808"/>
      <c r="O58" s="808"/>
      <c r="P58" s="808"/>
      <c r="Q58" s="808"/>
      <c r="R58" s="808"/>
      <c r="S58" s="622"/>
      <c r="T58" s="5"/>
      <c r="U58" s="613"/>
      <c r="V58" s="613"/>
      <c r="W58" s="613"/>
      <c r="X58" s="613"/>
      <c r="Y58" s="613"/>
      <c r="Z58" s="613"/>
      <c r="AA58" s="613"/>
      <c r="AB58" s="613"/>
      <c r="AC58" s="613"/>
      <c r="AD58" s="613"/>
      <c r="AE58" s="613"/>
      <c r="AF58" s="613"/>
      <c r="AG58" s="5"/>
      <c r="AH58" s="17"/>
      <c r="AI58" s="17"/>
      <c r="AJ58" s="17"/>
    </row>
    <row r="59" spans="1:36">
      <c r="A59" s="615"/>
      <c r="T59" s="5"/>
      <c r="U59" s="613"/>
      <c r="V59" s="613"/>
      <c r="W59" s="613"/>
      <c r="X59" s="613"/>
      <c r="Y59" s="613"/>
      <c r="Z59" s="613"/>
      <c r="AA59" s="613"/>
      <c r="AB59" s="613"/>
      <c r="AC59" s="613"/>
      <c r="AD59" s="613"/>
      <c r="AE59" s="613"/>
      <c r="AF59" s="613"/>
      <c r="AG59" s="5"/>
      <c r="AH59" s="17"/>
      <c r="AI59" s="17"/>
      <c r="AJ59" s="17"/>
    </row>
    <row r="60" spans="1:36">
      <c r="T60" s="5"/>
      <c r="U60" s="613"/>
      <c r="V60" s="613"/>
      <c r="W60" s="613"/>
      <c r="X60" s="613"/>
      <c r="Y60" s="613"/>
      <c r="Z60" s="613"/>
      <c r="AA60" s="613"/>
      <c r="AB60" s="613"/>
      <c r="AC60" s="613"/>
      <c r="AD60" s="613"/>
      <c r="AE60" s="613"/>
      <c r="AF60" s="613"/>
      <c r="AG60" s="5"/>
      <c r="AH60" s="17"/>
      <c r="AI60" s="17"/>
      <c r="AJ60" s="17"/>
    </row>
    <row r="61" spans="1:36">
      <c r="T61" s="5"/>
      <c r="U61" s="613"/>
      <c r="V61" s="613"/>
      <c r="W61" s="613"/>
      <c r="X61" s="613"/>
      <c r="Y61" s="613"/>
      <c r="Z61" s="613"/>
      <c r="AA61" s="613"/>
      <c r="AB61" s="613"/>
      <c r="AC61" s="613"/>
      <c r="AD61" s="614"/>
      <c r="AE61" s="614"/>
      <c r="AF61" s="614"/>
    </row>
    <row r="62" spans="1:36">
      <c r="T62" s="5"/>
      <c r="U62" s="613"/>
      <c r="V62" s="613"/>
      <c r="W62" s="613"/>
      <c r="X62" s="613"/>
      <c r="Y62" s="613"/>
      <c r="Z62" s="613"/>
      <c r="AA62" s="613"/>
      <c r="AB62" s="613"/>
      <c r="AC62" s="613"/>
      <c r="AD62" s="614"/>
      <c r="AE62" s="614"/>
      <c r="AF62" s="614"/>
    </row>
    <row r="63" spans="1:36">
      <c r="T63" s="5"/>
      <c r="U63" s="613"/>
      <c r="V63" s="613"/>
      <c r="W63" s="613"/>
      <c r="X63" s="613"/>
      <c r="Y63" s="613"/>
      <c r="Z63" s="613"/>
      <c r="AA63" s="613"/>
      <c r="AB63" s="613"/>
      <c r="AC63" s="613"/>
      <c r="AD63" s="614"/>
      <c r="AE63" s="614"/>
      <c r="AF63" s="614"/>
    </row>
    <row r="64" spans="1:36">
      <c r="T64" s="5"/>
      <c r="U64" s="613"/>
      <c r="V64" s="613"/>
      <c r="W64" s="613"/>
      <c r="X64" s="613"/>
      <c r="Y64" s="613"/>
      <c r="Z64" s="613"/>
      <c r="AA64" s="613"/>
      <c r="AB64" s="613"/>
      <c r="AC64" s="613"/>
      <c r="AD64" s="614"/>
      <c r="AE64" s="614"/>
      <c r="AF64" s="614"/>
    </row>
    <row r="65" spans="20:32">
      <c r="T65" s="5"/>
      <c r="U65" s="613"/>
      <c r="V65" s="613"/>
      <c r="W65" s="613"/>
      <c r="X65" s="613"/>
      <c r="Y65" s="613"/>
      <c r="Z65" s="613"/>
      <c r="AA65" s="613"/>
      <c r="AB65" s="613"/>
      <c r="AC65" s="613"/>
      <c r="AD65" s="614"/>
      <c r="AE65" s="614"/>
      <c r="AF65" s="614"/>
    </row>
  </sheetData>
  <mergeCells count="97">
    <mergeCell ref="C58:E58"/>
    <mergeCell ref="H58:L58"/>
    <mergeCell ref="M58:R58"/>
    <mergeCell ref="C56:E56"/>
    <mergeCell ref="H56:L56"/>
    <mergeCell ref="M56:R56"/>
    <mergeCell ref="C57:E57"/>
    <mergeCell ref="H57:L57"/>
    <mergeCell ref="M57:R57"/>
    <mergeCell ref="C54:E54"/>
    <mergeCell ref="H54:L54"/>
    <mergeCell ref="M54:R54"/>
    <mergeCell ref="C55:E55"/>
    <mergeCell ref="H55:L55"/>
    <mergeCell ref="M55:R55"/>
    <mergeCell ref="C52:E52"/>
    <mergeCell ref="H52:L52"/>
    <mergeCell ref="M52:R52"/>
    <mergeCell ref="C53:E53"/>
    <mergeCell ref="H53:L53"/>
    <mergeCell ref="M53:R53"/>
    <mergeCell ref="H50:L50"/>
    <mergeCell ref="M50:R50"/>
    <mergeCell ref="C51:E51"/>
    <mergeCell ref="H51:L51"/>
    <mergeCell ref="M51:R51"/>
    <mergeCell ref="C50:E50"/>
    <mergeCell ref="M34:R34"/>
    <mergeCell ref="M49:R49"/>
    <mergeCell ref="H37:L37"/>
    <mergeCell ref="H34:I34"/>
    <mergeCell ref="J34:K34"/>
    <mergeCell ref="M48:R48"/>
    <mergeCell ref="M35:R35"/>
    <mergeCell ref="M36:R36"/>
    <mergeCell ref="M37:R37"/>
    <mergeCell ref="M46:R46"/>
    <mergeCell ref="M47:R47"/>
    <mergeCell ref="C46:E46"/>
    <mergeCell ref="C47:E47"/>
    <mergeCell ref="H46:L46"/>
    <mergeCell ref="H47:L47"/>
    <mergeCell ref="H49:L49"/>
    <mergeCell ref="H48:L48"/>
    <mergeCell ref="C48:E48"/>
    <mergeCell ref="C49:E4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38:E38"/>
    <mergeCell ref="H38:L38"/>
    <mergeCell ref="M38:R38"/>
    <mergeCell ref="C39:E39"/>
    <mergeCell ref="H39:L39"/>
    <mergeCell ref="M39:R39"/>
    <mergeCell ref="C40:E40"/>
    <mergeCell ref="H40:L40"/>
    <mergeCell ref="M40:R40"/>
    <mergeCell ref="C41:E41"/>
    <mergeCell ref="H41:L41"/>
    <mergeCell ref="M41:R41"/>
    <mergeCell ref="C42:E42"/>
    <mergeCell ref="H42:L42"/>
    <mergeCell ref="M42:R42"/>
    <mergeCell ref="C43:E43"/>
    <mergeCell ref="H43:L43"/>
    <mergeCell ref="M43:R43"/>
    <mergeCell ref="C44:E44"/>
    <mergeCell ref="H44:L44"/>
    <mergeCell ref="M44:R44"/>
    <mergeCell ref="C45:E45"/>
    <mergeCell ref="H45:L45"/>
    <mergeCell ref="M45:R45"/>
    <mergeCell ref="D19:F19"/>
    <mergeCell ref="H19:L19"/>
    <mergeCell ref="N19:R19"/>
    <mergeCell ref="N20:R20"/>
    <mergeCell ref="C2:AD2"/>
    <mergeCell ref="D20:F20"/>
    <mergeCell ref="H20:L20"/>
    <mergeCell ref="E5:O5"/>
    <mergeCell ref="G6:L6"/>
    <mergeCell ref="F3:L3"/>
    <mergeCell ref="D4:E4"/>
  </mergeCells>
  <phoneticPr fontId="23" type="noConversion"/>
  <conditionalFormatting sqref="D4:E4">
    <cfRule type="cellIs" dxfId="28" priority="68" stopIfTrue="1" operator="equal">
      <formula>"C"</formula>
    </cfRule>
    <cfRule type="cellIs" dxfId="27" priority="69" stopIfTrue="1" operator="equal">
      <formula>"B2"</formula>
    </cfRule>
    <cfRule type="cellIs" dxfId="26" priority="70" stopIfTrue="1" operator="equal">
      <formula>"B1"</formula>
    </cfRule>
  </conditionalFormatting>
  <conditionalFormatting sqref="H35:H36 H38:H41 H43:H58">
    <cfRule type="cellIs" dxfId="25" priority="74" stopIfTrue="1" operator="between">
      <formula>0.000001</formula>
      <formula>0.599</formula>
    </cfRule>
    <cfRule type="cellIs" dxfId="24" priority="75" stopIfTrue="1" operator="between">
      <formula>0.6</formula>
      <formula>0.899</formula>
    </cfRule>
    <cfRule type="cellIs" dxfId="23" priority="76" stopIfTrue="1" operator="greaterThanOrEqual">
      <formula>0.9</formula>
    </cfRule>
  </conditionalFormatting>
  <conditionalFormatting sqref="H42">
    <cfRule type="cellIs" dxfId="22" priority="4" stopIfTrue="1" operator="between">
      <formula>0.000001</formula>
      <formula>0.599</formula>
    </cfRule>
    <cfRule type="cellIs" dxfId="21" priority="5" stopIfTrue="1" operator="between">
      <formula>0.6</formula>
      <formula>0.899</formula>
    </cfRule>
    <cfRule type="cellIs" dxfId="20" priority="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topLeftCell="A44" zoomScale="75" zoomScaleNormal="90" zoomScaleSheetLayoutView="75" workbookViewId="0">
      <selection activeCell="S12" sqref="S12"/>
    </sheetView>
  </sheetViews>
  <sheetFormatPr defaultRowHeight="11.25"/>
  <cols>
    <col min="1" max="1" width="1.140625" style="24" customWidth="1"/>
    <col min="2" max="2" width="19.28515625" style="24" customWidth="1"/>
    <col min="3" max="3" width="1.140625" style="24" customWidth="1"/>
    <col min="4" max="4" width="17.140625" style="24" customWidth="1"/>
    <col min="5" max="5" width="17.5703125" style="24" customWidth="1"/>
    <col min="6" max="6" width="9.7109375" style="24" customWidth="1"/>
    <col min="7" max="7" width="38.140625" style="24" customWidth="1"/>
    <col min="8" max="8" width="4.28515625" style="24" customWidth="1"/>
    <col min="9" max="9" width="15.85546875" style="24" customWidth="1"/>
    <col min="10" max="10" width="3.5703125" style="24" customWidth="1"/>
    <col min="11" max="11" width="7.5703125" style="25" customWidth="1"/>
    <col min="12" max="12" width="14.28515625" style="24" customWidth="1"/>
    <col min="13" max="13" width="12" style="24" customWidth="1"/>
    <col min="14" max="14" width="5.42578125" style="24" customWidth="1"/>
    <col min="15" max="15" width="2.5703125" style="24" customWidth="1"/>
    <col min="16" max="16384" width="9.140625" style="24"/>
  </cols>
  <sheetData>
    <row r="1" spans="1:15" ht="38.25" customHeight="1">
      <c r="A1" s="106"/>
      <c r="B1" s="106"/>
      <c r="C1" s="106"/>
      <c r="D1" s="106"/>
      <c r="E1" s="106"/>
      <c r="F1" s="106"/>
      <c r="G1" s="106"/>
      <c r="H1" s="106"/>
      <c r="I1" s="106"/>
      <c r="J1" s="106"/>
      <c r="K1" s="107"/>
      <c r="L1" s="106"/>
      <c r="M1" s="106"/>
      <c r="N1" s="106"/>
    </row>
    <row r="2" spans="1:15" customFormat="1" ht="27.75" customHeight="1">
      <c r="A2" s="3"/>
      <c r="B2" s="756" t="str">
        <f>+"Tabel Programatic de evaluare:  "&amp;"  "&amp;IF(+'Introducerea datelor'!C4="Please Select","",'Introducerea datelor'!C4&amp;" - ")&amp;IF('Introducerea datelor'!G6="Please Select","",'Introducerea datelor'!G6)</f>
        <v>Tabel Programatic de evaluare:    Moldova - HIVAIDS / TB</v>
      </c>
      <c r="C2" s="756"/>
      <c r="D2" s="756"/>
      <c r="E2" s="756"/>
      <c r="F2" s="756"/>
      <c r="G2" s="756"/>
      <c r="H2" s="756"/>
      <c r="I2" s="756"/>
      <c r="J2" s="756"/>
      <c r="K2" s="756"/>
      <c r="L2" s="756"/>
      <c r="M2" s="756"/>
      <c r="N2" s="756"/>
      <c r="O2" s="47"/>
    </row>
    <row r="3" spans="1:15" customFormat="1" ht="18.75">
      <c r="A3" s="3"/>
      <c r="B3" s="96" t="str">
        <f>+IF('Introducerea datelor'!G8="Please Select","",'Introducerea datelor'!G8)</f>
        <v/>
      </c>
      <c r="C3" s="761" t="str">
        <f>+IF('Introducerea datelor'!I8="Please Select","",'Introducerea datelor'!I8)</f>
        <v>Period 1</v>
      </c>
      <c r="D3" s="761"/>
      <c r="E3" s="233"/>
      <c r="F3" s="233"/>
      <c r="G3" s="233"/>
      <c r="H3" s="233"/>
      <c r="I3" s="233"/>
      <c r="J3" s="233"/>
      <c r="K3" s="233"/>
      <c r="L3" s="96" t="str">
        <f>+'Introducerea datelor'!B16</f>
        <v>Perioada de Raportare:</v>
      </c>
      <c r="M3" s="121" t="str">
        <f>+'Introducerea datelor'!C16</f>
        <v>P1</v>
      </c>
      <c r="N3" s="121"/>
      <c r="O3" s="24"/>
    </row>
    <row r="4" spans="1:15" customFormat="1" ht="15">
      <c r="A4" s="3"/>
      <c r="B4" s="96" t="str">
        <f>+'Introducerea datelor'!B12</f>
        <v>Ultimul Rating:</v>
      </c>
      <c r="C4" s="793" t="str">
        <f>+IF('Introducerea datelor'!C12="Please Select","",'Introducerea datelor'!C12)</f>
        <v/>
      </c>
      <c r="D4" s="793"/>
      <c r="E4" s="759" t="str">
        <f>+'Introducerea datelor'!C8</f>
        <v>IP UCIMP DS</v>
      </c>
      <c r="F4" s="759"/>
      <c r="G4" s="759"/>
      <c r="H4" s="759"/>
      <c r="I4" s="759"/>
      <c r="J4" s="759"/>
      <c r="K4" s="759"/>
      <c r="L4" s="96" t="str">
        <f>+'Introducerea datelor'!D16</f>
        <v>De la:</v>
      </c>
      <c r="M4" s="122">
        <f>+IF(ISBLANK('Introducerea datelor'!E16),"",'Introducerea datelor'!E16)</f>
        <v>43101</v>
      </c>
      <c r="N4" s="122"/>
      <c r="O4" s="24"/>
    </row>
    <row r="5" spans="1:15" customFormat="1" ht="18.75" customHeight="1">
      <c r="A5" s="3"/>
      <c r="B5" s="96"/>
      <c r="C5" s="96"/>
      <c r="D5" s="97"/>
      <c r="E5" s="759" t="str">
        <f>+'Introducerea datelor'!G4</f>
        <v>Consolidarea controlului tuberculozei și reducerea SIDA și a mortalității aferente în Republica Moldova</v>
      </c>
      <c r="F5" s="759"/>
      <c r="G5" s="759"/>
      <c r="H5" s="759"/>
      <c r="I5" s="759"/>
      <c r="J5" s="759"/>
      <c r="K5" s="759"/>
      <c r="L5" s="96" t="str">
        <f>+'Introducerea datelor'!F16</f>
        <v>Pînă la:</v>
      </c>
      <c r="M5" s="122">
        <f>+IF(ISBLANK('Introducerea datelor'!G16),"",'Introducerea datelor'!G16)</f>
        <v>43281</v>
      </c>
      <c r="N5" s="122"/>
    </row>
    <row r="6" spans="1:15" customFormat="1" ht="22.5" customHeight="1">
      <c r="A6" s="3"/>
      <c r="B6" s="100"/>
      <c r="C6" s="101"/>
      <c r="D6" s="102"/>
      <c r="E6" s="852" t="s">
        <v>387</v>
      </c>
      <c r="F6" s="852"/>
      <c r="G6" s="852"/>
      <c r="H6" s="852"/>
      <c r="I6" s="852"/>
      <c r="J6" s="852"/>
      <c r="K6" s="852"/>
      <c r="L6" s="2"/>
      <c r="M6" s="2"/>
      <c r="N6" s="2"/>
    </row>
    <row r="7" spans="1:15" s="26" customFormat="1" ht="4.5" customHeight="1">
      <c r="A7" s="108"/>
      <c r="B7" s="109"/>
      <c r="C7" s="109"/>
      <c r="D7" s="109"/>
      <c r="E7" s="109"/>
      <c r="F7" s="109"/>
      <c r="G7" s="109"/>
      <c r="H7" s="109"/>
      <c r="I7" s="109"/>
      <c r="J7" s="109"/>
      <c r="K7" s="109"/>
      <c r="L7" s="110"/>
      <c r="M7" s="110"/>
      <c r="N7" s="111"/>
    </row>
    <row r="8" spans="1:15" s="26" customFormat="1" ht="21" customHeight="1" thickBot="1">
      <c r="A8" s="108"/>
      <c r="B8" s="851" t="s">
        <v>393</v>
      </c>
      <c r="C8" s="851"/>
      <c r="D8" s="851"/>
      <c r="E8" s="851"/>
      <c r="F8" s="851"/>
      <c r="G8" s="851"/>
      <c r="H8" s="851"/>
      <c r="I8" s="851"/>
      <c r="J8" s="851"/>
      <c r="K8" s="851"/>
      <c r="L8" s="851"/>
      <c r="M8" s="851"/>
      <c r="N8" s="851"/>
    </row>
    <row r="9" spans="1:15" s="26" customFormat="1" ht="3.75" customHeight="1" thickBot="1">
      <c r="A9" s="108"/>
      <c r="B9" s="109"/>
      <c r="C9" s="109"/>
      <c r="D9" s="109"/>
      <c r="E9" s="109"/>
      <c r="F9" s="109"/>
      <c r="G9" s="109"/>
      <c r="H9" s="109"/>
      <c r="I9" s="109"/>
      <c r="J9" s="109"/>
      <c r="K9" s="109"/>
      <c r="L9" s="110"/>
      <c r="M9" s="110"/>
      <c r="N9" s="111"/>
    </row>
    <row r="10" spans="1:15" s="27" customFormat="1" ht="25.5" customHeight="1" thickBot="1">
      <c r="A10" s="112"/>
      <c r="B10" s="860" t="s">
        <v>388</v>
      </c>
      <c r="C10" s="861"/>
      <c r="D10" s="856" t="s">
        <v>389</v>
      </c>
      <c r="E10" s="857"/>
      <c r="F10" s="857"/>
      <c r="G10" s="858"/>
      <c r="H10" s="113"/>
      <c r="I10" s="856" t="s">
        <v>387</v>
      </c>
      <c r="J10" s="857"/>
      <c r="K10" s="857"/>
      <c r="L10" s="857"/>
      <c r="M10" s="857"/>
      <c r="N10" s="858"/>
    </row>
    <row r="11" spans="1:15" s="27" customFormat="1" ht="37.5" customHeight="1">
      <c r="A11" s="112"/>
      <c r="B11" s="245" t="s">
        <v>56</v>
      </c>
      <c r="C11" s="246"/>
      <c r="D11" s="869" t="str">
        <f>IF(ISBLANK(Financiar!C9),"",(Financiar!C9))</f>
        <v/>
      </c>
      <c r="E11" s="869"/>
      <c r="F11" s="869"/>
      <c r="G11" s="870"/>
      <c r="H11" s="281"/>
      <c r="I11" s="862"/>
      <c r="J11" s="863"/>
      <c r="K11" s="863"/>
      <c r="L11" s="863"/>
      <c r="M11" s="863"/>
      <c r="N11" s="864"/>
    </row>
    <row r="12" spans="1:15" s="27" customFormat="1" ht="252.75" customHeight="1">
      <c r="A12" s="112"/>
      <c r="B12" s="249" t="s">
        <v>57</v>
      </c>
      <c r="C12" s="250"/>
      <c r="D12" s="831" t="str">
        <f>IF(ISBLANK(Financiar!C23),"",(Financiar!C23))</f>
        <v xml:space="preserve">Obiectivul 1 „Asigurarea accesului universal la diagnosticul la timp şi de calitate al tuturor formelor de tuberculoză, inclusiv celor cu TB-M/EDR” - procentul mic al variației se datorează, în mare parte, economiilor acumulate în rezultatul procurării unor cantități mai mici de medii nutritive, conform solicitării Beneficiarului, precum și transferării unor activități pentru sem II 2018, la solicitarea beneficiarului.
Obiectivul 2„Asigurarea accesului universal la tratamentul calitativ pentru toate formele de TB, inclusiv cu TB-M/EDR” - procentul mic al variației se datorează faptului că o parte din procurările de medicamente antituberculoase de linia II au fost transferate pentru perioada semestrului II.2018
</v>
      </c>
      <c r="E12" s="831"/>
      <c r="F12" s="831"/>
      <c r="G12" s="865"/>
      <c r="H12" s="281"/>
      <c r="I12" s="862"/>
      <c r="J12" s="863"/>
      <c r="K12" s="863"/>
      <c r="L12" s="863"/>
      <c r="M12" s="863"/>
      <c r="N12" s="864"/>
    </row>
    <row r="13" spans="1:15" s="27" customFormat="1" ht="271.5" customHeight="1">
      <c r="A13" s="112"/>
      <c r="B13" s="249" t="s">
        <v>58</v>
      </c>
      <c r="C13" s="250"/>
      <c r="D13" s="831" t="str">
        <f>IF(ISBLANK(Financiar!I9),"",(Financiar!I9))</f>
        <v/>
      </c>
      <c r="E13" s="831"/>
      <c r="F13" s="831"/>
      <c r="G13" s="865"/>
      <c r="H13" s="281"/>
      <c r="I13" s="862"/>
      <c r="J13" s="863"/>
      <c r="K13" s="863"/>
      <c r="L13" s="863"/>
      <c r="M13" s="863"/>
      <c r="N13" s="864"/>
    </row>
    <row r="14" spans="1:15" s="27" customFormat="1" ht="52.5" customHeight="1" thickBot="1">
      <c r="A14" s="112"/>
      <c r="B14" s="247" t="s">
        <v>59</v>
      </c>
      <c r="C14" s="248"/>
      <c r="D14" s="871" t="str">
        <f>IF(ISBLANK(Financiar!I23),"",(Financiar!I23))</f>
        <v/>
      </c>
      <c r="E14" s="871"/>
      <c r="F14" s="871"/>
      <c r="G14" s="872"/>
      <c r="H14" s="281"/>
      <c r="I14" s="853"/>
      <c r="J14" s="854"/>
      <c r="K14" s="854"/>
      <c r="L14" s="854"/>
      <c r="M14" s="854"/>
      <c r="N14" s="855"/>
    </row>
    <row r="15" spans="1:15" s="27" customFormat="1" ht="4.5" customHeight="1">
      <c r="A15" s="112"/>
      <c r="B15" s="117"/>
      <c r="C15" s="118"/>
      <c r="D15" s="282"/>
      <c r="E15" s="282"/>
      <c r="F15" s="282"/>
      <c r="G15" s="282"/>
      <c r="H15" s="281"/>
      <c r="I15" s="283"/>
      <c r="J15" s="283"/>
      <c r="K15" s="283"/>
      <c r="L15" s="283"/>
      <c r="M15" s="283"/>
      <c r="N15" s="283"/>
      <c r="O15" s="49"/>
    </row>
    <row r="16" spans="1:15" s="26" customFormat="1" ht="21" customHeight="1" thickBot="1">
      <c r="A16" s="108"/>
      <c r="B16" s="851" t="s">
        <v>392</v>
      </c>
      <c r="C16" s="851"/>
      <c r="D16" s="851"/>
      <c r="E16" s="851"/>
      <c r="F16" s="851"/>
      <c r="G16" s="851"/>
      <c r="H16" s="851"/>
      <c r="I16" s="851"/>
      <c r="J16" s="851"/>
      <c r="K16" s="851"/>
      <c r="L16" s="851"/>
      <c r="M16" s="851"/>
      <c r="N16" s="851"/>
    </row>
    <row r="17" spans="1:20" s="27" customFormat="1" ht="3.75" customHeight="1" thickBot="1">
      <c r="A17" s="112"/>
      <c r="B17" s="284"/>
      <c r="C17" s="115"/>
      <c r="D17" s="285"/>
      <c r="E17" s="286"/>
      <c r="F17" s="287"/>
      <c r="G17" s="287"/>
      <c r="H17" s="288"/>
      <c r="I17" s="116"/>
      <c r="J17" s="289"/>
      <c r="K17" s="290"/>
      <c r="L17" s="291"/>
      <c r="M17" s="114"/>
      <c r="N17" s="292"/>
    </row>
    <row r="18" spans="1:20" s="27" customFormat="1" ht="22.5" customHeight="1" thickBot="1">
      <c r="A18" s="112"/>
      <c r="B18" s="859" t="s">
        <v>55</v>
      </c>
      <c r="C18" s="848"/>
      <c r="D18" s="873" t="s">
        <v>389</v>
      </c>
      <c r="E18" s="874"/>
      <c r="F18" s="874"/>
      <c r="G18" s="875"/>
      <c r="H18" s="293"/>
      <c r="I18" s="866" t="s">
        <v>387</v>
      </c>
      <c r="J18" s="867"/>
      <c r="K18" s="867"/>
      <c r="L18" s="867"/>
      <c r="M18" s="868"/>
      <c r="N18" s="868"/>
    </row>
    <row r="19" spans="1:20" s="27" customFormat="1" ht="37.5" customHeight="1">
      <c r="A19" s="112"/>
      <c r="B19" s="251" t="s">
        <v>64</v>
      </c>
      <c r="C19" s="252"/>
      <c r="D19" s="833" t="str">
        <f>IF(ISBLANK(Management!C8),"",(Management!C8))</f>
        <v>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(informație disponibilă anual, se va raporta în următoarea perioadă)
-Asigurarea cooperării cu Comitetul de Lumină Verde(GLC), inclusiv prin bugetarea și autorizarea transferului cotizațiilor anuale de maximum 50.000 USD. (se va raporta în următoarea perioadă)</v>
      </c>
      <c r="E19" s="833"/>
      <c r="F19" s="833"/>
      <c r="G19" s="834"/>
      <c r="H19" s="294"/>
      <c r="I19" s="838"/>
      <c r="J19" s="839"/>
      <c r="K19" s="839"/>
      <c r="L19" s="839"/>
      <c r="M19" s="839"/>
      <c r="N19" s="840"/>
    </row>
    <row r="20" spans="1:20" ht="47.25" customHeight="1">
      <c r="A20" s="106"/>
      <c r="B20" s="255" t="s">
        <v>65</v>
      </c>
      <c r="C20" s="256"/>
      <c r="D20" s="831" t="str">
        <f>IF(ISBLANK(Management!I8),"",(Management!I8))</f>
        <v>Toate posturile în cadrul echipei ce gestionează Grantul curent sunt ocupate.</v>
      </c>
      <c r="E20" s="831" t="e">
        <f>+'Introducerea datelor'!D75/'Introducerea datelor'!G75</f>
        <v>#DIV/0!</v>
      </c>
      <c r="F20" s="831" t="e">
        <f>+('Introducerea datelor'!E75+'Introducerea datelor'!F75)/'Introducerea datelor'!G75</f>
        <v>#DIV/0!</v>
      </c>
      <c r="G20" s="832"/>
      <c r="H20" s="294"/>
      <c r="I20" s="844"/>
      <c r="J20" s="845"/>
      <c r="K20" s="845"/>
      <c r="L20" s="845"/>
      <c r="M20" s="845"/>
      <c r="N20" s="846"/>
      <c r="O20" s="28"/>
    </row>
    <row r="21" spans="1:20" ht="90.75" customHeight="1">
      <c r="A21" s="106"/>
      <c r="B21" s="257" t="s">
        <v>66</v>
      </c>
      <c r="C21" s="256"/>
      <c r="D21" s="831" t="str">
        <f>IF(ISBLANK(Management!C16),"",(Management!C16))</f>
        <v>Contractul de Sub-recipient cu IMSP IFP ”Chiril Draganiuc” a fost semnat la 09 februarie 2018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31"/>
      <c r="F21" s="831"/>
      <c r="G21" s="832"/>
      <c r="H21" s="294"/>
      <c r="I21" s="844"/>
      <c r="J21" s="845"/>
      <c r="K21" s="845"/>
      <c r="L21" s="845"/>
      <c r="M21" s="845"/>
      <c r="N21" s="846"/>
      <c r="O21" s="28"/>
    </row>
    <row r="22" spans="1:20" ht="46.5" customHeight="1">
      <c r="A22" s="106"/>
      <c r="B22" s="257" t="s">
        <v>67</v>
      </c>
      <c r="C22" s="256"/>
      <c r="D22" s="831" t="str">
        <f>IF(ISBLANK(Management!I16),"",(Management!I16))</f>
        <v>În perioada raportată Sub-Recipientii au prezentat cite două rapoarte trimestriale, in conformitate cu acordurile semnate.</v>
      </c>
      <c r="E22" s="831"/>
      <c r="F22" s="831"/>
      <c r="G22" s="832"/>
      <c r="H22" s="294"/>
      <c r="I22" s="844"/>
      <c r="J22" s="845"/>
      <c r="K22" s="845"/>
      <c r="L22" s="845"/>
      <c r="M22" s="845"/>
      <c r="N22" s="846"/>
      <c r="O22" s="28"/>
    </row>
    <row r="23" spans="1:20" ht="43.5" customHeight="1">
      <c r="A23" s="106"/>
      <c r="B23" s="257" t="s">
        <v>68</v>
      </c>
      <c r="C23" s="256"/>
      <c r="D23" s="831" t="str">
        <f>IF(ISBLANK(Management!C27),"",(Management!C27))</f>
        <v>Variația dintre bugetul aprobat și cheltuieli cumulative, se datorează in mare parte faptului, că o parte din procurările de medicamente antituberculoase de linia II au fost transferate pentru perioada semestrului II.2018</v>
      </c>
      <c r="E23" s="831"/>
      <c r="F23" s="831"/>
      <c r="G23" s="832"/>
      <c r="H23" s="294"/>
      <c r="I23" s="844"/>
      <c r="J23" s="845"/>
      <c r="K23" s="845"/>
      <c r="L23" s="845"/>
      <c r="M23" s="845"/>
      <c r="N23" s="846"/>
      <c r="O23" s="28"/>
    </row>
    <row r="24" spans="1:20" ht="60" customHeight="1" thickBot="1">
      <c r="A24" s="106"/>
      <c r="B24" s="253" t="s">
        <v>69</v>
      </c>
      <c r="C24" s="254"/>
      <c r="D24" s="849" t="str">
        <f>IF(ISBLANK(Management!I27),"",(Management!I27))</f>
        <v>Analiza stocului (la finele sem I 2018) medicamentelor antituberculoase de linia a II și a III, a numărului de pacienți în tratament la aceeași dată, arata prezența unui stock  între 4 și 6 luni, pentru preparatele de baza, urmatoarea livrare fiind asteptata in lunile septembrie-octombrie.</v>
      </c>
      <c r="E24" s="849"/>
      <c r="F24" s="849"/>
      <c r="G24" s="850"/>
      <c r="H24" s="294"/>
      <c r="I24" s="841"/>
      <c r="J24" s="842"/>
      <c r="K24" s="842"/>
      <c r="L24" s="842"/>
      <c r="M24" s="842"/>
      <c r="N24" s="843"/>
      <c r="O24" s="28"/>
      <c r="T24" s="271"/>
    </row>
    <row r="25" spans="1:20" ht="4.5" customHeight="1">
      <c r="A25" s="108"/>
      <c r="B25" s="295"/>
      <c r="C25" s="296"/>
      <c r="D25" s="297"/>
      <c r="E25" s="298"/>
      <c r="F25" s="299"/>
      <c r="G25" s="299"/>
      <c r="H25" s="293"/>
      <c r="I25" s="298"/>
      <c r="J25" s="300"/>
      <c r="K25" s="290"/>
      <c r="L25" s="291"/>
      <c r="M25" s="114"/>
      <c r="N25" s="292"/>
      <c r="O25" s="28"/>
    </row>
    <row r="26" spans="1:20" s="26" customFormat="1" ht="21" customHeight="1" thickBot="1">
      <c r="A26" s="108"/>
      <c r="B26" s="851" t="s">
        <v>391</v>
      </c>
      <c r="C26" s="851"/>
      <c r="D26" s="851"/>
      <c r="E26" s="851"/>
      <c r="F26" s="851"/>
      <c r="G26" s="851"/>
      <c r="H26" s="851"/>
      <c r="I26" s="851"/>
      <c r="J26" s="851"/>
      <c r="K26" s="851"/>
      <c r="L26" s="851"/>
      <c r="M26" s="851"/>
      <c r="N26" s="851"/>
      <c r="R26" s="272"/>
    </row>
    <row r="27" spans="1:20" ht="3.75" customHeight="1" thickBot="1">
      <c r="A27" s="108"/>
      <c r="B27" s="295"/>
      <c r="C27" s="296"/>
      <c r="D27" s="297"/>
      <c r="E27" s="298"/>
      <c r="F27" s="299"/>
      <c r="G27" s="299"/>
      <c r="H27" s="293"/>
      <c r="I27" s="298"/>
      <c r="J27" s="300"/>
      <c r="K27" s="290"/>
      <c r="L27" s="291"/>
      <c r="M27" s="114"/>
      <c r="N27" s="292"/>
      <c r="O27" s="28"/>
    </row>
    <row r="28" spans="1:20" ht="21.75" customHeight="1" thickBot="1">
      <c r="A28" s="106"/>
      <c r="B28" s="847" t="s">
        <v>390</v>
      </c>
      <c r="C28" s="848"/>
      <c r="D28" s="835" t="s">
        <v>389</v>
      </c>
      <c r="E28" s="836"/>
      <c r="F28" s="836"/>
      <c r="G28" s="837"/>
      <c r="H28" s="293"/>
      <c r="I28" s="835" t="s">
        <v>387</v>
      </c>
      <c r="J28" s="836"/>
      <c r="K28" s="836"/>
      <c r="L28" s="836"/>
      <c r="M28" s="836"/>
      <c r="N28" s="837"/>
      <c r="O28" s="28"/>
    </row>
    <row r="29" spans="1:20" ht="86.25" hidden="1" customHeight="1">
      <c r="A29" s="106"/>
      <c r="B29" s="301" t="s">
        <v>242</v>
      </c>
      <c r="C29" s="302"/>
      <c r="D29" s="827" t="str">
        <f>IF(ISBLANK(Programatic!D9),"",(Programatic!D9))</f>
        <v xml:space="preserve">Date finale pentru anul 2017. 320 persoane au decedat de tuberculoză în anul 2017 (7,94 decese la 100 000 persoane). 
Notă - Ținta a fost atinsă. Se constată o micșorare cu 14% a ratei de mortalitate față de datele anului 2016 (372 cazuri de deces cauzate de tuberculoză), cu 21,6% a ratei de mortalitate față de datele anului 2015 (408 cazuri de deces cauzate de tuberculoză), cu 37% a ratei de mortalitate față de datele anului 2014 (508 cazuri de deces cauzate de tuberculoză) și cu 29,8% față de datele anului 2013 (456 cazuri de deces cauzate de tuberculoză). </v>
      </c>
      <c r="E29" s="828"/>
      <c r="F29" s="828"/>
      <c r="G29" s="829"/>
      <c r="H29" s="294"/>
      <c r="I29" s="821"/>
      <c r="J29" s="822"/>
      <c r="K29" s="822"/>
      <c r="L29" s="822"/>
      <c r="M29" s="822"/>
      <c r="N29" s="823"/>
      <c r="O29" s="28"/>
    </row>
    <row r="30" spans="1:20" ht="87" hidden="1" customHeight="1">
      <c r="A30" s="106"/>
      <c r="B30" s="303" t="s">
        <v>243</v>
      </c>
      <c r="C30" s="304"/>
      <c r="D30" s="830" t="str">
        <f>IF(ISBLANK(Programatic!H9),"",(Programatic!H9))</f>
        <v xml:space="preserve">Date finale pentru anul 2017. 308 cazuri noi de tuberculoză cu cultura pozitivă, testate la sensibilitate pentru preparatele de linia I, din 1 159 investigate în 2017, au fost diagnosticate cu MDR.
Notă - Se constată menținerea unei rate înalte a TB MDR printre cazurile noi, situație caracteristică ultimilor ani. </v>
      </c>
      <c r="E30" s="819"/>
      <c r="F30" s="819"/>
      <c r="G30" s="820"/>
      <c r="H30" s="294"/>
      <c r="I30" s="824"/>
      <c r="J30" s="825"/>
      <c r="K30" s="825"/>
      <c r="L30" s="825"/>
      <c r="M30" s="825"/>
      <c r="N30" s="826"/>
      <c r="O30" s="28"/>
    </row>
    <row r="31" spans="1:20" ht="75" hidden="1" customHeight="1">
      <c r="A31" s="106"/>
      <c r="B31" s="303" t="s">
        <v>244</v>
      </c>
      <c r="C31" s="304"/>
      <c r="D31" s="830" t="str">
        <f>IF(ISBLANK(Programatic!N9),"",(Programatic!N9))</f>
        <v>Date finale pentru anul 2017. 144 persoane au decedat de SIDA în anul 2017 (populația RM - 4.035.277).
Datele pentru acest indicator sunt pentru a. 2017, pentru ambele maluri, raportabile către 15 august 2018.</v>
      </c>
      <c r="E31" s="819"/>
      <c r="F31" s="819"/>
      <c r="G31" s="820"/>
      <c r="H31" s="294"/>
      <c r="I31" s="824"/>
      <c r="J31" s="825"/>
      <c r="K31" s="825"/>
      <c r="L31" s="825"/>
      <c r="M31" s="825"/>
      <c r="N31" s="826"/>
      <c r="O31" s="28"/>
    </row>
    <row r="32" spans="1:20" ht="94.5" customHeight="1">
      <c r="A32" s="106"/>
      <c r="B32" s="305" t="s">
        <v>60</v>
      </c>
      <c r="C32" s="304"/>
      <c r="D32" s="818" t="str">
        <f>IF(ISBLANK(Programatic!M35),"",(Programatic!M35))</f>
        <v xml:space="preserve">Date finale pentru anul 2017. 320 persoane au decedat de tuberculoză în anul 2017 (7,94 decese la 100 000 persoane). 
Notă - Ținta a fost atinsă. Se constată o micșorare cu 14% a ratei de mortalitate față de datele anului 2016 (372 cazuri de deces cauzate de tuberculoză), cu 21,6% a ratei de mortalitate față de datele anului 2015 (408 cazuri de deces cauzate de tuberculoză), cu 37% a ratei de mortalitate față de datele anului 2014 (508 cazuri de deces cauzate de tuberculoză) și cu 29,8% față de datele anului 2013 (456 cazuri de deces cauzate de tuberculoză). </v>
      </c>
      <c r="E32" s="819"/>
      <c r="F32" s="819"/>
      <c r="G32" s="820"/>
      <c r="H32" s="294"/>
      <c r="I32" s="824"/>
      <c r="J32" s="825"/>
      <c r="K32" s="825"/>
      <c r="L32" s="825"/>
      <c r="M32" s="825"/>
      <c r="N32" s="826"/>
      <c r="O32" s="28"/>
    </row>
    <row r="33" spans="1:15" ht="87" customHeight="1">
      <c r="A33" s="106"/>
      <c r="B33" s="305" t="s">
        <v>61</v>
      </c>
      <c r="C33" s="304"/>
      <c r="D33" s="818" t="str">
        <f>IF(ISBLANK(Programatic!M36),"",(Programatic!M36))</f>
        <v xml:space="preserve">Date finale pentru anul 2017. 308 cazuri noi de tuberculoză cu cultura pozitivă, testate la sensibilitate pentru preparatele de linia I, din 1 159 investigate în 2017, au fost diagnosticate cu MDR.
Notă - Se constată menținerea unei rate înalte a TB MDR printre cazurile noi, situație caracteristică ultimilor ani. </v>
      </c>
      <c r="E33" s="819"/>
      <c r="F33" s="819"/>
      <c r="G33" s="820"/>
      <c r="H33" s="294"/>
      <c r="I33" s="824"/>
      <c r="J33" s="825"/>
      <c r="K33" s="825"/>
      <c r="L33" s="825"/>
      <c r="M33" s="825"/>
      <c r="N33" s="826"/>
      <c r="O33" s="28"/>
    </row>
    <row r="34" spans="1:15" ht="199.5" customHeight="1">
      <c r="A34" s="106"/>
      <c r="B34" s="305" t="s">
        <v>62</v>
      </c>
      <c r="C34" s="304"/>
      <c r="D34" s="818" t="str">
        <f>IF(ISBLANK(Programatic!M37),"",(Programatic!M37))</f>
        <v xml:space="preserve">Date finale pentru anul 2017. 144 persoane au decedat de SIDA în anul 2017 (populația RM - 4.035.277).
Datele pentru acest indicator sunt pentru a. 2017, pentru ambele maluri, raportabile către 15 august 2018.
</v>
      </c>
      <c r="E34" s="819"/>
      <c r="F34" s="819"/>
      <c r="G34" s="820"/>
      <c r="H34" s="294"/>
      <c r="I34" s="824"/>
      <c r="J34" s="825"/>
      <c r="K34" s="825"/>
      <c r="L34" s="825"/>
      <c r="M34" s="825"/>
      <c r="N34" s="826"/>
      <c r="O34" s="28"/>
    </row>
    <row r="35" spans="1:15" ht="107.25" customHeight="1">
      <c r="A35" s="106"/>
      <c r="B35" s="305" t="s">
        <v>63</v>
      </c>
      <c r="C35" s="306"/>
      <c r="D35" s="818" t="str">
        <f>IF(ISBLANK(Programatic!M46),"",(Programatic!M46))</f>
        <v>Data de raportare - 31 August 2020. Datele sunt colectate și validate în conformitate cu rezultatele Studiului Bio-Comportamental (BSS).</v>
      </c>
      <c r="E35" s="819"/>
      <c r="F35" s="819"/>
      <c r="G35" s="820"/>
      <c r="H35" s="294"/>
      <c r="I35" s="824"/>
      <c r="J35" s="825"/>
      <c r="K35" s="825"/>
      <c r="L35" s="825"/>
      <c r="M35" s="825"/>
      <c r="N35" s="826"/>
      <c r="O35" s="28"/>
    </row>
    <row r="36" spans="1:15" ht="82.5" customHeight="1">
      <c r="A36" s="106"/>
      <c r="B36" s="305" t="s">
        <v>70</v>
      </c>
      <c r="C36" s="306"/>
      <c r="D36" s="818" t="str">
        <f>IF(ISBLANK(Programatic!M47),"",(Programatic!M47))</f>
        <v>Data de raportare - 31 August 2020. Datele sunt colectate și validate în conformitate cu rezultatele Studiului Bio-Comportamental (BSS).</v>
      </c>
      <c r="E36" s="819"/>
      <c r="F36" s="819"/>
      <c r="G36" s="820"/>
      <c r="H36" s="294"/>
      <c r="I36" s="824"/>
      <c r="J36" s="825"/>
      <c r="K36" s="825"/>
      <c r="L36" s="825"/>
      <c r="M36" s="825"/>
      <c r="N36" s="826"/>
      <c r="O36" s="28"/>
    </row>
    <row r="37" spans="1:15" ht="102" customHeight="1">
      <c r="A37" s="106"/>
      <c r="B37" s="305" t="s">
        <v>71</v>
      </c>
      <c r="C37" s="306"/>
      <c r="D37" s="818" t="str">
        <f>IF(ISBLANK(Programatic!M48),"",(Programatic!M48))</f>
        <v xml:space="preserve">Date preliminare pentru semestrul I.2018. 376 cazuri cu tuberculoză drog-rezistentă (RR-TB și/sau MDR-TB), confirmate bacteriologic, au fost notificate, față de 535 cazuri estimate pentru perioada raportată.                                                    
Notă - Reducerea numărului de pacienți MDR TB notificați este în directă corespundere cu scăderea incidenței TB.                  </v>
      </c>
      <c r="E37" s="819"/>
      <c r="F37" s="819"/>
      <c r="G37" s="820"/>
      <c r="H37" s="294"/>
      <c r="I37" s="824"/>
      <c r="J37" s="825"/>
      <c r="K37" s="825"/>
      <c r="L37" s="825"/>
      <c r="M37" s="825"/>
      <c r="N37" s="826"/>
      <c r="O37" s="28"/>
    </row>
    <row r="38" spans="1:15" ht="162.75" customHeight="1">
      <c r="A38" s="106"/>
      <c r="B38" s="305" t="s">
        <v>72</v>
      </c>
      <c r="C38" s="306"/>
      <c r="D38" s="818" t="str">
        <f>IF(ISBLANK(Programatic!M49),"",(Programatic!M49))</f>
        <v xml:space="preserve">Date preliminare pentru semestrul I.2018. 485 cazuri cu tuberculoză drog-rezistentă (RR-TB și/sau MDR-TB), confirmate bacteriologic, au demarat tratamentul DOTS-Plus în sem.I.2018, față de 531 pacienți preconizați pentru perioada raportată.                                                                                                            </v>
      </c>
      <c r="E38" s="819"/>
      <c r="F38" s="819"/>
      <c r="G38" s="820"/>
      <c r="H38" s="294"/>
      <c r="I38" s="824"/>
      <c r="J38" s="825"/>
      <c r="K38" s="825"/>
      <c r="L38" s="825"/>
      <c r="M38" s="825"/>
      <c r="N38" s="826"/>
      <c r="O38" s="28"/>
    </row>
    <row r="39" spans="1:15" ht="178.5" customHeight="1"/>
  </sheetData>
  <mergeCells count="58">
    <mergeCell ref="B18:C18"/>
    <mergeCell ref="B10:C10"/>
    <mergeCell ref="D10:G10"/>
    <mergeCell ref="I12:N12"/>
    <mergeCell ref="D12:G12"/>
    <mergeCell ref="I11:N11"/>
    <mergeCell ref="I18:N18"/>
    <mergeCell ref="D11:G11"/>
    <mergeCell ref="D13:G13"/>
    <mergeCell ref="I13:N13"/>
    <mergeCell ref="D14:G14"/>
    <mergeCell ref="D18:G1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19:G19"/>
    <mergeCell ref="D21:G21"/>
    <mergeCell ref="D22:G22"/>
    <mergeCell ref="I28:N28"/>
    <mergeCell ref="I19:N19"/>
    <mergeCell ref="I24:N24"/>
    <mergeCell ref="I20:N20"/>
    <mergeCell ref="D23:G23"/>
    <mergeCell ref="D28:G28"/>
    <mergeCell ref="D32:G32"/>
    <mergeCell ref="D30:G30"/>
    <mergeCell ref="D31:G31"/>
    <mergeCell ref="D33:G33"/>
    <mergeCell ref="D20:G20"/>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O25" sqref="O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94" t="str">
        <f>+"Tabel Programatic de Evaluare:  "&amp;"  "&amp;IF(+'Introducerea datelor'!C4="Please Select","",'Introducerea datelor'!C4&amp;" - ")&amp;IF('Introducerea datelor'!G6="Please Select","",'Introducerea datelor'!G6)</f>
        <v>Tabel Programatic de Evaluare:    Moldova - HIVAIDS / TB</v>
      </c>
      <c r="C2" s="894"/>
      <c r="D2" s="894"/>
      <c r="E2" s="894"/>
      <c r="F2" s="894"/>
      <c r="G2" s="894"/>
      <c r="H2" s="894"/>
      <c r="I2" s="894"/>
      <c r="J2" s="894"/>
      <c r="K2" s="894"/>
      <c r="L2" s="894"/>
    </row>
    <row r="3" spans="1:13">
      <c r="B3" s="21" t="str">
        <f>+IF('Introducerea datelor'!G8="Please Select","",'Introducerea datelor'!G8)</f>
        <v/>
      </c>
      <c r="C3" s="903" t="str">
        <f>+IF('Introducerea datelor'!I8="Please Select","",'Introducerea datelor'!I8)</f>
        <v>Period 1</v>
      </c>
      <c r="D3" s="903"/>
      <c r="E3" s="899"/>
      <c r="F3" s="899"/>
      <c r="G3" s="899"/>
      <c r="H3" s="899"/>
      <c r="I3" s="899"/>
      <c r="J3" s="900" t="str">
        <f>+'Introducerea datelor'!B16</f>
        <v>Perioada de Raportare:</v>
      </c>
      <c r="K3" s="900"/>
      <c r="L3" s="121" t="str">
        <f>+'Introducerea datelor'!C16</f>
        <v>P1</v>
      </c>
      <c r="M3" s="54"/>
    </row>
    <row r="4" spans="1:13">
      <c r="B4" s="21" t="str">
        <f>+'Introducerea datelor'!B12</f>
        <v>Ultimul Rating:</v>
      </c>
      <c r="C4" s="895" t="str">
        <f>+IF('Introducerea datelor'!C12="Please Select","",'Introducerea datelor'!C12)</f>
        <v/>
      </c>
      <c r="D4" s="895"/>
      <c r="E4" s="899" t="str">
        <f>+'Introducerea datelor'!C8</f>
        <v>IP UCIMP DS</v>
      </c>
      <c r="F4" s="899"/>
      <c r="G4" s="899"/>
      <c r="H4" s="899"/>
      <c r="I4" s="899"/>
      <c r="J4" s="900" t="str">
        <f>+'Introducerea datelor'!D16</f>
        <v>De la:</v>
      </c>
      <c r="K4" s="901"/>
      <c r="L4" s="122">
        <f>+IF(ISBLANK('Introducerea datelor'!E16),"",'Introducerea datelor'!E16)</f>
        <v>43101</v>
      </c>
    </row>
    <row r="5" spans="1:13" ht="18.75" customHeight="1">
      <c r="B5" s="21"/>
      <c r="C5" s="21"/>
      <c r="D5" s="899" t="str">
        <f>+'Introducerea datelor'!G4</f>
        <v>Consolidarea controlului tuberculozei și reducerea SIDA și a mortalității aferente în Republica Moldova</v>
      </c>
      <c r="E5" s="899"/>
      <c r="F5" s="899"/>
      <c r="G5" s="899"/>
      <c r="H5" s="899"/>
      <c r="I5" s="899"/>
      <c r="J5" s="899"/>
      <c r="K5" s="21" t="str">
        <f>+'Introducerea datelor'!F16</f>
        <v>Pînă la:</v>
      </c>
      <c r="L5" s="122">
        <f>+IF(ISBLANK('Introducerea datelor'!G16),"",'Introducerea datelor'!G16)</f>
        <v>43281</v>
      </c>
    </row>
    <row r="6" spans="1:13" ht="18.75">
      <c r="B6" s="20"/>
      <c r="C6" s="21"/>
      <c r="D6" s="22"/>
      <c r="E6" s="902" t="s">
        <v>394</v>
      </c>
      <c r="F6" s="902"/>
      <c r="G6" s="902"/>
      <c r="H6" s="902"/>
      <c r="I6" s="902"/>
    </row>
    <row r="7" spans="1:13" ht="18.75">
      <c r="E7" s="46"/>
      <c r="F7" s="46"/>
      <c r="G7" s="46"/>
      <c r="H7" s="46"/>
      <c r="I7" s="46"/>
    </row>
    <row r="8" spans="1:13" s="26" customFormat="1" ht="21" customHeight="1" thickBot="1">
      <c r="B8" s="50" t="s">
        <v>395</v>
      </c>
      <c r="C8" s="50"/>
      <c r="D8" s="50"/>
      <c r="E8" s="50"/>
      <c r="F8" s="50"/>
      <c r="G8" s="50"/>
      <c r="H8" s="50"/>
      <c r="I8" s="50"/>
      <c r="J8" s="50"/>
      <c r="K8" s="50"/>
      <c r="L8" s="50"/>
    </row>
    <row r="9" spans="1:13" ht="6" customHeight="1">
      <c r="B9" s="48"/>
    </row>
    <row r="10" spans="1:13" ht="18" customHeight="1">
      <c r="B10" s="876"/>
      <c r="C10" s="877"/>
      <c r="D10" s="877"/>
      <c r="E10" s="877"/>
      <c r="F10" s="877"/>
      <c r="G10" s="877"/>
      <c r="H10" s="877"/>
      <c r="I10" s="877"/>
      <c r="J10" s="877"/>
      <c r="K10" s="877"/>
      <c r="L10" s="878"/>
    </row>
    <row r="11" spans="1:13" ht="18" customHeight="1">
      <c r="B11" s="879"/>
      <c r="C11" s="880"/>
      <c r="D11" s="880"/>
      <c r="E11" s="880"/>
      <c r="F11" s="880"/>
      <c r="G11" s="880"/>
      <c r="H11" s="880"/>
      <c r="I11" s="880"/>
      <c r="J11" s="880"/>
      <c r="K11" s="880"/>
      <c r="L11" s="881"/>
    </row>
    <row r="12" spans="1:13" ht="15.75" thickBot="1"/>
    <row r="13" spans="1:13" ht="26.25" customHeight="1" thickBot="1">
      <c r="B13" s="890" t="s">
        <v>417</v>
      </c>
      <c r="C13" s="891"/>
      <c r="D13" s="891"/>
      <c r="E13" s="892"/>
      <c r="F13" s="51"/>
      <c r="G13" s="884" t="s">
        <v>396</v>
      </c>
      <c r="H13" s="882"/>
      <c r="I13" s="882"/>
      <c r="J13" s="52" t="s">
        <v>397</v>
      </c>
      <c r="K13" s="882" t="s">
        <v>398</v>
      </c>
      <c r="L13" s="883"/>
    </row>
    <row r="14" spans="1:13" ht="18.75" customHeight="1">
      <c r="A14" s="907" t="s">
        <v>399</v>
      </c>
      <c r="B14" s="921"/>
      <c r="C14" s="922"/>
      <c r="D14" s="922"/>
      <c r="E14" s="923"/>
      <c r="F14" s="31"/>
      <c r="G14" s="920"/>
      <c r="H14" s="896"/>
      <c r="I14" s="896"/>
      <c r="J14" s="896"/>
      <c r="K14" s="896"/>
      <c r="L14" s="897"/>
    </row>
    <row r="15" spans="1:13" ht="18.75" customHeight="1">
      <c r="A15" s="908"/>
      <c r="B15" s="913"/>
      <c r="C15" s="914"/>
      <c r="D15" s="914"/>
      <c r="E15" s="915"/>
      <c r="F15" s="31"/>
      <c r="G15" s="885"/>
      <c r="H15" s="886"/>
      <c r="I15" s="886"/>
      <c r="J15" s="886"/>
      <c r="K15" s="886"/>
      <c r="L15" s="898"/>
    </row>
    <row r="16" spans="1:13" ht="18.75" customHeight="1">
      <c r="A16" s="908"/>
      <c r="B16" s="910"/>
      <c r="C16" s="911"/>
      <c r="D16" s="911"/>
      <c r="E16" s="912"/>
      <c r="F16" s="31"/>
      <c r="G16" s="885"/>
      <c r="H16" s="886"/>
      <c r="I16" s="886"/>
      <c r="J16" s="886"/>
      <c r="K16" s="886"/>
      <c r="L16" s="898"/>
    </row>
    <row r="17" spans="1:12" ht="18.75" customHeight="1">
      <c r="A17" s="908"/>
      <c r="B17" s="913"/>
      <c r="C17" s="914"/>
      <c r="D17" s="914"/>
      <c r="E17" s="915"/>
      <c r="F17" s="31"/>
      <c r="G17" s="885"/>
      <c r="H17" s="886"/>
      <c r="I17" s="886"/>
      <c r="J17" s="886"/>
      <c r="K17" s="886"/>
      <c r="L17" s="898"/>
    </row>
    <row r="18" spans="1:12" ht="18.75" customHeight="1">
      <c r="A18" s="908"/>
      <c r="B18" s="910"/>
      <c r="C18" s="911"/>
      <c r="D18" s="911"/>
      <c r="E18" s="912"/>
      <c r="F18" s="31"/>
      <c r="G18" s="925"/>
      <c r="H18" s="926"/>
      <c r="I18" s="927"/>
      <c r="J18" s="886"/>
      <c r="K18" s="886"/>
      <c r="L18" s="898"/>
    </row>
    <row r="19" spans="1:12" ht="18.75" customHeight="1">
      <c r="A19" s="908"/>
      <c r="B19" s="913"/>
      <c r="C19" s="914"/>
      <c r="D19" s="914"/>
      <c r="E19" s="915"/>
      <c r="F19" s="31"/>
      <c r="G19" s="928"/>
      <c r="H19" s="929"/>
      <c r="I19" s="930"/>
      <c r="J19" s="886"/>
      <c r="K19" s="886"/>
      <c r="L19" s="898"/>
    </row>
    <row r="20" spans="1:12" ht="18.75" customHeight="1">
      <c r="A20" s="908"/>
      <c r="B20" s="916"/>
      <c r="C20" s="916"/>
      <c r="D20" s="916"/>
      <c r="E20" s="917"/>
      <c r="F20" s="31"/>
      <c r="G20" s="885"/>
      <c r="H20" s="886"/>
      <c r="I20" s="886"/>
      <c r="J20" s="886"/>
      <c r="K20" s="886"/>
      <c r="L20" s="898"/>
    </row>
    <row r="21" spans="1:12" ht="18.75" customHeight="1">
      <c r="A21" s="908"/>
      <c r="B21" s="916"/>
      <c r="C21" s="916"/>
      <c r="D21" s="916"/>
      <c r="E21" s="917"/>
      <c r="F21" s="31"/>
      <c r="G21" s="885"/>
      <c r="H21" s="886"/>
      <c r="I21" s="886"/>
      <c r="J21" s="886"/>
      <c r="K21" s="886"/>
      <c r="L21" s="898"/>
    </row>
    <row r="22" spans="1:12" ht="18.75" customHeight="1">
      <c r="A22" s="908"/>
      <c r="B22" s="916"/>
      <c r="C22" s="916"/>
      <c r="D22" s="916"/>
      <c r="E22" s="917"/>
      <c r="F22" s="31"/>
      <c r="G22" s="885"/>
      <c r="H22" s="886"/>
      <c r="I22" s="886"/>
      <c r="J22" s="886"/>
      <c r="K22" s="886"/>
      <c r="L22" s="898"/>
    </row>
    <row r="23" spans="1:12" ht="18.75" customHeight="1">
      <c r="A23" s="908"/>
      <c r="B23" s="916"/>
      <c r="C23" s="916"/>
      <c r="D23" s="916"/>
      <c r="E23" s="917"/>
      <c r="F23" s="31"/>
      <c r="G23" s="885"/>
      <c r="H23" s="886"/>
      <c r="I23" s="886"/>
      <c r="J23" s="886"/>
      <c r="K23" s="886"/>
      <c r="L23" s="898"/>
    </row>
    <row r="24" spans="1:12" ht="18.75" customHeight="1">
      <c r="A24" s="908"/>
      <c r="B24" s="916"/>
      <c r="C24" s="916"/>
      <c r="D24" s="916"/>
      <c r="E24" s="917"/>
      <c r="F24" s="31"/>
      <c r="G24" s="885"/>
      <c r="H24" s="886"/>
      <c r="I24" s="886"/>
      <c r="J24" s="886"/>
      <c r="K24" s="886"/>
      <c r="L24" s="898"/>
    </row>
    <row r="25" spans="1:12" ht="18.75" customHeight="1" thickBot="1">
      <c r="A25" s="909"/>
      <c r="B25" s="918"/>
      <c r="C25" s="918"/>
      <c r="D25" s="918"/>
      <c r="E25" s="919"/>
      <c r="F25" s="31"/>
      <c r="G25" s="887"/>
      <c r="H25" s="888"/>
      <c r="I25" s="888"/>
      <c r="J25" s="888"/>
      <c r="K25" s="888"/>
      <c r="L25" s="931"/>
    </row>
    <row r="27" spans="1:12" ht="18.75">
      <c r="E27" s="889" t="s">
        <v>400</v>
      </c>
      <c r="F27" s="889"/>
      <c r="G27" s="889"/>
      <c r="H27" s="889"/>
      <c r="I27" s="889"/>
    </row>
    <row r="28" spans="1:12" ht="6" customHeight="1">
      <c r="E28" s="46"/>
      <c r="F28" s="46"/>
      <c r="G28" s="46"/>
      <c r="H28" s="46"/>
      <c r="I28" s="46"/>
    </row>
    <row r="29" spans="1:12" s="26" customFormat="1" ht="21" customHeight="1" thickBot="1">
      <c r="B29" s="50" t="s">
        <v>401</v>
      </c>
      <c r="C29" s="50"/>
      <c r="D29" s="50"/>
      <c r="E29" s="50"/>
      <c r="F29" s="50"/>
      <c r="G29" s="50"/>
      <c r="H29" s="50"/>
      <c r="I29" s="50"/>
      <c r="J29" s="50"/>
      <c r="K29" s="50"/>
      <c r="L29" s="50"/>
    </row>
    <row r="30" spans="1:12" ht="6" customHeight="1" thickBot="1">
      <c r="B30" s="48"/>
    </row>
    <row r="31" spans="1:12" ht="38.25" customHeight="1" thickBot="1">
      <c r="B31" s="890" t="s">
        <v>396</v>
      </c>
      <c r="C31" s="891"/>
      <c r="D31" s="891"/>
      <c r="E31" s="892"/>
      <c r="F31" s="51"/>
      <c r="G31" s="884" t="s">
        <v>402</v>
      </c>
      <c r="H31" s="882"/>
      <c r="I31" s="882"/>
      <c r="J31" s="52" t="s">
        <v>403</v>
      </c>
      <c r="K31" s="882" t="s">
        <v>398</v>
      </c>
      <c r="L31" s="883"/>
    </row>
    <row r="32" spans="1:12" ht="16.5" customHeight="1">
      <c r="A32" s="907" t="s">
        <v>404</v>
      </c>
      <c r="B32" s="942"/>
      <c r="C32" s="943"/>
      <c r="D32" s="943"/>
      <c r="E32" s="944"/>
      <c r="F32" s="31"/>
      <c r="G32" s="904"/>
      <c r="H32" s="905"/>
      <c r="I32" s="905"/>
      <c r="J32" s="905"/>
      <c r="K32" s="905"/>
      <c r="L32" s="934"/>
    </row>
    <row r="33" spans="1:12" ht="16.5" customHeight="1">
      <c r="A33" s="908"/>
      <c r="B33" s="928"/>
      <c r="C33" s="929"/>
      <c r="D33" s="929"/>
      <c r="E33" s="945"/>
      <c r="F33" s="31"/>
      <c r="G33" s="906"/>
      <c r="H33" s="893"/>
      <c r="I33" s="893"/>
      <c r="J33" s="893"/>
      <c r="K33" s="893"/>
      <c r="L33" s="932"/>
    </row>
    <row r="34" spans="1:12" ht="16.5" customHeight="1">
      <c r="A34" s="908"/>
      <c r="B34" s="935" t="str">
        <f>IF(Recomandari!I39="","",Recomandari!I39)</f>
        <v/>
      </c>
      <c r="C34" s="936"/>
      <c r="D34" s="936"/>
      <c r="E34" s="937"/>
      <c r="F34" s="31"/>
      <c r="G34" s="906"/>
      <c r="H34" s="893"/>
      <c r="I34" s="893"/>
      <c r="J34" s="893"/>
      <c r="K34" s="893"/>
      <c r="L34" s="932"/>
    </row>
    <row r="35" spans="1:12" ht="16.5" customHeight="1">
      <c r="A35" s="908"/>
      <c r="B35" s="935"/>
      <c r="C35" s="936"/>
      <c r="D35" s="936"/>
      <c r="E35" s="937"/>
      <c r="F35" s="31"/>
      <c r="G35" s="906"/>
      <c r="H35" s="893"/>
      <c r="I35" s="893"/>
      <c r="J35" s="893"/>
      <c r="K35" s="893"/>
      <c r="L35" s="932"/>
    </row>
    <row r="36" spans="1:12" ht="16.5" customHeight="1">
      <c r="A36" s="908"/>
      <c r="B36" s="935" t="str">
        <f>+IF(Recomandari!I49="","",Recomandari!I49)</f>
        <v/>
      </c>
      <c r="C36" s="936"/>
      <c r="D36" s="936"/>
      <c r="E36" s="937"/>
      <c r="F36" s="31"/>
      <c r="G36" s="906"/>
      <c r="H36" s="893"/>
      <c r="I36" s="893"/>
      <c r="J36" s="893"/>
      <c r="K36" s="893"/>
      <c r="L36" s="932"/>
    </row>
    <row r="37" spans="1:12" ht="16.5" customHeight="1">
      <c r="A37" s="908"/>
      <c r="B37" s="935"/>
      <c r="C37" s="936"/>
      <c r="D37" s="936"/>
      <c r="E37" s="937"/>
      <c r="F37" s="31"/>
      <c r="G37" s="906"/>
      <c r="H37" s="893"/>
      <c r="I37" s="893"/>
      <c r="J37" s="893"/>
      <c r="K37" s="893"/>
      <c r="L37" s="932"/>
    </row>
    <row r="38" spans="1:12" ht="16.5" customHeight="1">
      <c r="A38" s="908"/>
      <c r="B38" s="935"/>
      <c r="C38" s="936"/>
      <c r="D38" s="936"/>
      <c r="E38" s="937"/>
      <c r="F38" s="31"/>
      <c r="G38" s="906"/>
      <c r="H38" s="893"/>
      <c r="I38" s="893"/>
      <c r="J38" s="893"/>
      <c r="K38" s="893"/>
      <c r="L38" s="932"/>
    </row>
    <row r="39" spans="1:12" ht="16.5" customHeight="1">
      <c r="A39" s="908"/>
      <c r="B39" s="935"/>
      <c r="C39" s="936"/>
      <c r="D39" s="936"/>
      <c r="E39" s="937"/>
      <c r="F39" s="31"/>
      <c r="G39" s="906"/>
      <c r="H39" s="893"/>
      <c r="I39" s="893"/>
      <c r="J39" s="893"/>
      <c r="K39" s="893"/>
      <c r="L39" s="932"/>
    </row>
    <row r="40" spans="1:12" ht="16.5" customHeight="1">
      <c r="A40" s="908"/>
      <c r="B40" s="935"/>
      <c r="C40" s="936"/>
      <c r="D40" s="936"/>
      <c r="E40" s="937"/>
      <c r="F40" s="31"/>
      <c r="G40" s="906"/>
      <c r="H40" s="893"/>
      <c r="I40" s="893"/>
      <c r="J40" s="893"/>
      <c r="K40" s="893"/>
      <c r="L40" s="932"/>
    </row>
    <row r="41" spans="1:12" ht="16.5" customHeight="1">
      <c r="A41" s="908"/>
      <c r="B41" s="935"/>
      <c r="C41" s="936"/>
      <c r="D41" s="936"/>
      <c r="E41" s="937"/>
      <c r="F41" s="31"/>
      <c r="G41" s="906"/>
      <c r="H41" s="893"/>
      <c r="I41" s="893"/>
      <c r="J41" s="893"/>
      <c r="K41" s="893"/>
      <c r="L41" s="932"/>
    </row>
    <row r="42" spans="1:12" ht="16.5" customHeight="1">
      <c r="A42" s="908"/>
      <c r="B42" s="935"/>
      <c r="C42" s="936"/>
      <c r="D42" s="936"/>
      <c r="E42" s="937"/>
      <c r="F42" s="31"/>
      <c r="G42" s="906"/>
      <c r="H42" s="893"/>
      <c r="I42" s="893"/>
      <c r="J42" s="893"/>
      <c r="K42" s="893"/>
      <c r="L42" s="932"/>
    </row>
    <row r="43" spans="1:12" ht="16.5" customHeight="1" thickBot="1">
      <c r="A43" s="909"/>
      <c r="B43" s="938"/>
      <c r="C43" s="939"/>
      <c r="D43" s="939"/>
      <c r="E43" s="940"/>
      <c r="F43" s="31"/>
      <c r="G43" s="941"/>
      <c r="H43" s="924"/>
      <c r="I43" s="924"/>
      <c r="J43" s="924"/>
      <c r="K43" s="924"/>
      <c r="L43" s="933"/>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Q144"/>
  <sheetViews>
    <sheetView showGridLines="0" zoomScale="80" zoomScaleNormal="80" workbookViewId="0">
      <selection activeCell="B3" sqref="B3:J3"/>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7" ht="25.5" customHeight="1"/>
    <row r="3" spans="2:17" ht="36">
      <c r="B3" s="946" t="str">
        <f>'Detail despre Grant'!B3:J3</f>
        <v>Tabel Programatic de Evaluare:  Moldova - HIVAIDS / TB</v>
      </c>
      <c r="C3" s="946"/>
      <c r="D3" s="946"/>
      <c r="E3" s="946"/>
      <c r="F3" s="946"/>
      <c r="G3" s="946"/>
      <c r="H3" s="946"/>
      <c r="I3" s="946"/>
      <c r="J3" s="946"/>
      <c r="K3" s="1"/>
    </row>
    <row r="6" spans="2:17" ht="18.75">
      <c r="B6" s="889" t="s">
        <v>245</v>
      </c>
      <c r="C6" s="889"/>
      <c r="D6" s="889"/>
      <c r="E6" s="889"/>
      <c r="F6" s="889"/>
      <c r="G6" s="889"/>
      <c r="H6" s="889"/>
      <c r="I6" s="889"/>
      <c r="J6" s="889"/>
    </row>
    <row r="8" spans="2:17" ht="18.75">
      <c r="B8" s="44" t="s">
        <v>13</v>
      </c>
      <c r="C8" s="44" t="s">
        <v>16</v>
      </c>
      <c r="D8" s="44" t="s">
        <v>17</v>
      </c>
      <c r="E8" s="44" t="s">
        <v>22</v>
      </c>
      <c r="F8" s="44" t="s">
        <v>229</v>
      </c>
      <c r="G8" s="44" t="s">
        <v>433</v>
      </c>
      <c r="H8" s="44" t="s">
        <v>434</v>
      </c>
      <c r="I8" s="44" t="s">
        <v>213</v>
      </c>
      <c r="J8" s="44" t="s">
        <v>232</v>
      </c>
      <c r="K8" s="45" t="s">
        <v>52</v>
      </c>
      <c r="L8" s="45" t="s">
        <v>78</v>
      </c>
      <c r="O8" s="19"/>
      <c r="P8" s="19"/>
      <c r="Q8" s="19"/>
    </row>
    <row r="9" spans="2:17">
      <c r="B9" s="55" t="s">
        <v>268</v>
      </c>
      <c r="C9" s="55" t="s">
        <v>268</v>
      </c>
      <c r="D9" s="55" t="s">
        <v>268</v>
      </c>
      <c r="E9" s="55" t="s">
        <v>268</v>
      </c>
      <c r="F9" s="55" t="s">
        <v>268</v>
      </c>
      <c r="G9" s="55"/>
      <c r="H9" s="55"/>
      <c r="I9" s="55" t="s">
        <v>268</v>
      </c>
      <c r="J9" s="55" t="s">
        <v>268</v>
      </c>
      <c r="K9" s="218" t="s">
        <v>268</v>
      </c>
      <c r="L9" s="55" t="s">
        <v>268</v>
      </c>
      <c r="O9" s="19"/>
      <c r="P9" s="19"/>
      <c r="Q9" s="19"/>
    </row>
    <row r="10" spans="2:17">
      <c r="B10" s="39" t="s">
        <v>12</v>
      </c>
      <c r="C10" s="39" t="s">
        <v>7</v>
      </c>
      <c r="D10" s="39" t="s">
        <v>5</v>
      </c>
      <c r="E10" s="39" t="s">
        <v>6</v>
      </c>
      <c r="F10" s="39" t="s">
        <v>60</v>
      </c>
      <c r="G10" s="328">
        <v>43101</v>
      </c>
      <c r="H10" s="328">
        <v>43281</v>
      </c>
      <c r="I10" s="221" t="s">
        <v>24</v>
      </c>
      <c r="J10" s="42" t="s">
        <v>29</v>
      </c>
      <c r="K10" s="23" t="s">
        <v>235</v>
      </c>
      <c r="L10" s="55" t="s">
        <v>79</v>
      </c>
      <c r="O10" s="19"/>
      <c r="P10" s="19"/>
      <c r="Q10" s="19"/>
    </row>
    <row r="11" spans="2:17">
      <c r="B11" s="39" t="s">
        <v>14</v>
      </c>
      <c r="C11" s="39" t="s">
        <v>2</v>
      </c>
      <c r="D11" s="39" t="s">
        <v>8</v>
      </c>
      <c r="E11" s="39" t="s">
        <v>4</v>
      </c>
      <c r="F11" s="39" t="s">
        <v>61</v>
      </c>
      <c r="G11" s="328">
        <v>43282</v>
      </c>
      <c r="H11" s="328">
        <v>43465</v>
      </c>
      <c r="I11" s="221" t="s">
        <v>25</v>
      </c>
      <c r="J11" s="42" t="s">
        <v>30</v>
      </c>
      <c r="K11" s="23" t="s">
        <v>236</v>
      </c>
      <c r="L11" s="55" t="s">
        <v>80</v>
      </c>
      <c r="O11" s="19"/>
      <c r="P11" s="19"/>
      <c r="Q11" s="19"/>
    </row>
    <row r="12" spans="2:17">
      <c r="B12" s="39" t="s">
        <v>15</v>
      </c>
      <c r="D12" s="39" t="s">
        <v>9</v>
      </c>
      <c r="E12" s="39" t="s">
        <v>10</v>
      </c>
      <c r="F12" s="39" t="s">
        <v>62</v>
      </c>
      <c r="G12" s="328">
        <v>43466</v>
      </c>
      <c r="H12" s="328">
        <v>43646</v>
      </c>
      <c r="I12" s="221" t="s">
        <v>26</v>
      </c>
      <c r="J12" s="42" t="s">
        <v>31</v>
      </c>
      <c r="K12" s="23" t="s">
        <v>237</v>
      </c>
      <c r="L12" s="55" t="s">
        <v>81</v>
      </c>
      <c r="O12" s="119"/>
      <c r="P12" s="19"/>
      <c r="Q12" s="19"/>
    </row>
    <row r="13" spans="2:17">
      <c r="B13" s="39" t="s">
        <v>50</v>
      </c>
      <c r="D13" s="39" t="s">
        <v>11</v>
      </c>
      <c r="E13" s="40"/>
      <c r="F13" s="39" t="s">
        <v>63</v>
      </c>
      <c r="G13" s="328">
        <v>43647</v>
      </c>
      <c r="H13" s="328">
        <v>43830</v>
      </c>
      <c r="I13" s="221" t="s">
        <v>27</v>
      </c>
      <c r="J13" s="42" t="s">
        <v>32</v>
      </c>
      <c r="K13" s="23" t="s">
        <v>238</v>
      </c>
      <c r="L13" s="55" t="s">
        <v>82</v>
      </c>
      <c r="O13" s="119"/>
      <c r="P13" s="19"/>
      <c r="Q13" s="19"/>
    </row>
    <row r="14" spans="2:17">
      <c r="B14" s="39" t="s">
        <v>51</v>
      </c>
      <c r="D14" s="39" t="s">
        <v>18</v>
      </c>
      <c r="F14" s="39" t="s">
        <v>70</v>
      </c>
      <c r="G14" s="328">
        <v>43831</v>
      </c>
      <c r="H14" s="328">
        <v>44012</v>
      </c>
      <c r="I14" s="221" t="s">
        <v>28</v>
      </c>
      <c r="J14" s="42" t="s">
        <v>33</v>
      </c>
      <c r="K14" s="23" t="s">
        <v>214</v>
      </c>
      <c r="L14" s="55" t="s">
        <v>83</v>
      </c>
      <c r="O14" s="119"/>
      <c r="P14" s="19"/>
      <c r="Q14" s="19"/>
    </row>
    <row r="15" spans="2:17">
      <c r="D15" s="39" t="s">
        <v>19</v>
      </c>
      <c r="F15" s="39" t="s">
        <v>71</v>
      </c>
      <c r="G15" s="328">
        <v>44013</v>
      </c>
      <c r="H15" s="328">
        <v>44196</v>
      </c>
      <c r="J15" s="42" t="s">
        <v>34</v>
      </c>
      <c r="K15" s="23" t="s">
        <v>40</v>
      </c>
      <c r="L15" s="55" t="s">
        <v>84</v>
      </c>
      <c r="O15" s="119"/>
      <c r="P15" s="19"/>
      <c r="Q15" s="19"/>
    </row>
    <row r="16" spans="2:17">
      <c r="D16" s="39" t="s">
        <v>20</v>
      </c>
      <c r="F16" s="39" t="s">
        <v>72</v>
      </c>
      <c r="G16" s="328" t="s">
        <v>435</v>
      </c>
      <c r="H16" s="328" t="s">
        <v>435</v>
      </c>
      <c r="J16" s="42" t="s">
        <v>35</v>
      </c>
      <c r="K16" s="23" t="s">
        <v>41</v>
      </c>
      <c r="L16" s="55" t="s">
        <v>85</v>
      </c>
      <c r="O16" s="119"/>
      <c r="P16" s="19"/>
      <c r="Q16" s="19"/>
    </row>
    <row r="17" spans="4:17">
      <c r="D17" s="39" t="s">
        <v>21</v>
      </c>
      <c r="F17" s="39" t="s">
        <v>73</v>
      </c>
      <c r="G17" s="328" t="s">
        <v>435</v>
      </c>
      <c r="H17" s="328" t="s">
        <v>435</v>
      </c>
      <c r="J17" s="42" t="s">
        <v>36</v>
      </c>
      <c r="K17" s="23" t="s">
        <v>42</v>
      </c>
      <c r="L17" s="55" t="s">
        <v>86</v>
      </c>
      <c r="O17" s="119"/>
      <c r="P17" s="19"/>
      <c r="Q17" s="19"/>
    </row>
    <row r="18" spans="4:17">
      <c r="D18" s="39" t="s">
        <v>3</v>
      </c>
      <c r="F18" s="39" t="s">
        <v>74</v>
      </c>
      <c r="G18" s="328" t="s">
        <v>435</v>
      </c>
      <c r="H18" s="328" t="s">
        <v>435</v>
      </c>
      <c r="J18" s="42" t="s">
        <v>37</v>
      </c>
      <c r="K18" s="23" t="s">
        <v>43</v>
      </c>
      <c r="L18" s="55" t="s">
        <v>87</v>
      </c>
      <c r="O18" s="119"/>
      <c r="P18" s="19"/>
      <c r="Q18" s="19"/>
    </row>
    <row r="19" spans="4:17">
      <c r="D19" s="220" t="s">
        <v>267</v>
      </c>
      <c r="F19" s="39" t="s">
        <v>75</v>
      </c>
      <c r="G19" s="328" t="s">
        <v>435</v>
      </c>
      <c r="H19" s="328" t="s">
        <v>435</v>
      </c>
      <c r="J19" s="42" t="s">
        <v>38</v>
      </c>
      <c r="K19" s="23" t="s">
        <v>44</v>
      </c>
      <c r="L19" s="55" t="s">
        <v>88</v>
      </c>
      <c r="O19" s="119"/>
      <c r="P19" s="19"/>
      <c r="Q19" s="19"/>
    </row>
    <row r="20" spans="4:17">
      <c r="D20" s="41"/>
      <c r="F20" s="39" t="s">
        <v>76</v>
      </c>
      <c r="G20" s="328" t="s">
        <v>435</v>
      </c>
      <c r="H20" s="328" t="s">
        <v>435</v>
      </c>
      <c r="J20" s="42" t="s">
        <v>211</v>
      </c>
      <c r="K20" s="23" t="s">
        <v>45</v>
      </c>
      <c r="L20" s="55" t="s">
        <v>89</v>
      </c>
      <c r="O20" s="19"/>
      <c r="P20" s="19"/>
      <c r="Q20" s="19"/>
    </row>
    <row r="21" spans="4:17">
      <c r="D21" s="43"/>
      <c r="F21" s="39" t="s">
        <v>230</v>
      </c>
      <c r="G21" s="328" t="s">
        <v>435</v>
      </c>
      <c r="H21" s="328" t="s">
        <v>435</v>
      </c>
      <c r="J21" s="43"/>
      <c r="K21" s="23" t="s">
        <v>47</v>
      </c>
      <c r="L21" s="55" t="s">
        <v>90</v>
      </c>
      <c r="O21" s="19"/>
      <c r="P21" s="19"/>
      <c r="Q21" s="19"/>
    </row>
    <row r="22" spans="4:17">
      <c r="J22" s="43"/>
      <c r="K22" s="23" t="s">
        <v>48</v>
      </c>
      <c r="L22" s="55" t="s">
        <v>91</v>
      </c>
      <c r="O22" s="19"/>
      <c r="P22" s="19"/>
      <c r="Q22" s="19"/>
    </row>
    <row r="23" spans="4:17">
      <c r="K23" s="23" t="s">
        <v>46</v>
      </c>
      <c r="L23" s="55" t="s">
        <v>92</v>
      </c>
      <c r="O23" s="19"/>
      <c r="P23" s="19"/>
      <c r="Q23" s="19"/>
    </row>
    <row r="24" spans="4:17">
      <c r="K24" s="23" t="s">
        <v>240</v>
      </c>
      <c r="L24" s="55" t="s">
        <v>93</v>
      </c>
      <c r="O24" s="19"/>
      <c r="P24" s="19"/>
      <c r="Q24" s="19"/>
    </row>
    <row r="25" spans="4:17">
      <c r="K25" s="30"/>
      <c r="L25" s="55" t="s">
        <v>94</v>
      </c>
    </row>
    <row r="26" spans="4:17">
      <c r="K26" s="23" t="s">
        <v>241</v>
      </c>
      <c r="L26" s="55" t="s">
        <v>95</v>
      </c>
    </row>
    <row r="27" spans="4:17">
      <c r="K27" s="23" t="s">
        <v>239</v>
      </c>
      <c r="L27" s="55" t="s">
        <v>96</v>
      </c>
    </row>
    <row r="28" spans="4:17">
      <c r="K28" s="30"/>
      <c r="L28" s="55" t="s">
        <v>97</v>
      </c>
    </row>
    <row r="29" spans="4:17">
      <c r="K29" s="30"/>
      <c r="L29" s="55" t="s">
        <v>98</v>
      </c>
    </row>
    <row r="30" spans="4:17">
      <c r="K30" s="30"/>
      <c r="L30" s="55" t="s">
        <v>99</v>
      </c>
    </row>
    <row r="31" spans="4:17">
      <c r="L31" s="55" t="s">
        <v>100</v>
      </c>
    </row>
    <row r="32" spans="4:17">
      <c r="L32" s="55" t="s">
        <v>101</v>
      </c>
    </row>
    <row r="33" spans="12:12">
      <c r="L33" s="55" t="s">
        <v>102</v>
      </c>
    </row>
    <row r="34" spans="12:12">
      <c r="L34" s="55" t="s">
        <v>103</v>
      </c>
    </row>
    <row r="35" spans="12:12">
      <c r="L35" s="55" t="s">
        <v>104</v>
      </c>
    </row>
    <row r="36" spans="12:12">
      <c r="L36" s="55" t="s">
        <v>104</v>
      </c>
    </row>
    <row r="37" spans="12:12">
      <c r="L37" s="55" t="s">
        <v>105</v>
      </c>
    </row>
    <row r="38" spans="12:12">
      <c r="L38" s="55" t="s">
        <v>106</v>
      </c>
    </row>
    <row r="39" spans="12:12">
      <c r="L39" s="55" t="s">
        <v>107</v>
      </c>
    </row>
    <row r="40" spans="12:12">
      <c r="L40" s="55" t="s">
        <v>108</v>
      </c>
    </row>
    <row r="41" spans="12:12">
      <c r="L41" s="55" t="s">
        <v>109</v>
      </c>
    </row>
    <row r="42" spans="12:12">
      <c r="L42" s="55" t="s">
        <v>110</v>
      </c>
    </row>
    <row r="43" spans="12:12">
      <c r="L43" s="55" t="s">
        <v>111</v>
      </c>
    </row>
    <row r="44" spans="12:12">
      <c r="L44" s="55" t="s">
        <v>112</v>
      </c>
    </row>
    <row r="45" spans="12:12">
      <c r="L45" s="55" t="s">
        <v>113</v>
      </c>
    </row>
    <row r="46" spans="12:12">
      <c r="L46" s="55" t="s">
        <v>114</v>
      </c>
    </row>
    <row r="47" spans="12:12">
      <c r="L47" s="55" t="s">
        <v>115</v>
      </c>
    </row>
    <row r="48" spans="12:12">
      <c r="L48" s="55" t="s">
        <v>116</v>
      </c>
    </row>
    <row r="49" spans="12:12">
      <c r="L49" s="55" t="s">
        <v>117</v>
      </c>
    </row>
    <row r="50" spans="12:12">
      <c r="L50" s="55" t="s">
        <v>118</v>
      </c>
    </row>
    <row r="51" spans="12:12">
      <c r="L51" s="55" t="s">
        <v>119</v>
      </c>
    </row>
    <row r="52" spans="12:12">
      <c r="L52" s="55" t="s">
        <v>120</v>
      </c>
    </row>
    <row r="53" spans="12:12">
      <c r="L53" s="55" t="s">
        <v>121</v>
      </c>
    </row>
    <row r="54" spans="12:12">
      <c r="L54" s="55" t="s">
        <v>122</v>
      </c>
    </row>
    <row r="55" spans="12:12">
      <c r="L55" s="55" t="s">
        <v>123</v>
      </c>
    </row>
    <row r="56" spans="12:12">
      <c r="L56" s="55" t="s">
        <v>124</v>
      </c>
    </row>
    <row r="57" spans="12:12">
      <c r="L57" s="55" t="s">
        <v>125</v>
      </c>
    </row>
    <row r="58" spans="12:12">
      <c r="L58" s="55" t="s">
        <v>126</v>
      </c>
    </row>
    <row r="59" spans="12:12">
      <c r="L59" s="55" t="s">
        <v>127</v>
      </c>
    </row>
    <row r="60" spans="12:12">
      <c r="L60" s="55" t="s">
        <v>128</v>
      </c>
    </row>
    <row r="61" spans="12:12">
      <c r="L61" s="55" t="s">
        <v>129</v>
      </c>
    </row>
    <row r="62" spans="12:12">
      <c r="L62" s="55" t="s">
        <v>130</v>
      </c>
    </row>
    <row r="63" spans="12:12">
      <c r="L63" s="55" t="s">
        <v>131</v>
      </c>
    </row>
    <row r="64" spans="12:12">
      <c r="L64" s="55" t="s">
        <v>132</v>
      </c>
    </row>
    <row r="65" spans="12:12">
      <c r="L65" s="55" t="s">
        <v>133</v>
      </c>
    </row>
    <row r="66" spans="12:12">
      <c r="L66" s="55" t="s">
        <v>134</v>
      </c>
    </row>
    <row r="67" spans="12:12">
      <c r="L67" s="55" t="s">
        <v>135</v>
      </c>
    </row>
    <row r="68" spans="12:12">
      <c r="L68" s="55" t="s">
        <v>136</v>
      </c>
    </row>
    <row r="69" spans="12:12">
      <c r="L69" s="55" t="s">
        <v>137</v>
      </c>
    </row>
    <row r="70" spans="12:12">
      <c r="L70" s="55" t="s">
        <v>138</v>
      </c>
    </row>
    <row r="71" spans="12:12">
      <c r="L71" s="55" t="s">
        <v>139</v>
      </c>
    </row>
    <row r="72" spans="12:12">
      <c r="L72" s="55" t="s">
        <v>140</v>
      </c>
    </row>
    <row r="73" spans="12:12">
      <c r="L73" s="55" t="s">
        <v>141</v>
      </c>
    </row>
    <row r="74" spans="12:12">
      <c r="L74" s="55" t="s">
        <v>142</v>
      </c>
    </row>
    <row r="75" spans="12:12">
      <c r="L75" s="55" t="s">
        <v>143</v>
      </c>
    </row>
    <row r="76" spans="12:12">
      <c r="L76" s="55" t="s">
        <v>144</v>
      </c>
    </row>
    <row r="77" spans="12:12">
      <c r="L77" s="55" t="s">
        <v>145</v>
      </c>
    </row>
    <row r="78" spans="12:12">
      <c r="L78" s="55" t="s">
        <v>146</v>
      </c>
    </row>
    <row r="79" spans="12:12">
      <c r="L79" s="55" t="s">
        <v>147</v>
      </c>
    </row>
    <row r="80" spans="12:12">
      <c r="L80" s="55" t="s">
        <v>148</v>
      </c>
    </row>
    <row r="81" spans="12:12">
      <c r="L81" s="55" t="s">
        <v>149</v>
      </c>
    </row>
    <row r="82" spans="12:12">
      <c r="L82" s="55" t="s">
        <v>150</v>
      </c>
    </row>
    <row r="83" spans="12:12">
      <c r="L83" s="55" t="s">
        <v>151</v>
      </c>
    </row>
    <row r="84" spans="12:12">
      <c r="L84" s="55" t="s">
        <v>152</v>
      </c>
    </row>
    <row r="85" spans="12:12">
      <c r="L85" s="55" t="s">
        <v>153</v>
      </c>
    </row>
    <row r="86" spans="12:12">
      <c r="L86" s="55" t="s">
        <v>154</v>
      </c>
    </row>
    <row r="87" spans="12:12">
      <c r="L87" s="55" t="s">
        <v>155</v>
      </c>
    </row>
    <row r="88" spans="12:12">
      <c r="L88" s="55" t="s">
        <v>156</v>
      </c>
    </row>
    <row r="89" spans="12:12">
      <c r="L89" s="55" t="s">
        <v>157</v>
      </c>
    </row>
    <row r="90" spans="12:12">
      <c r="L90" s="55" t="s">
        <v>158</v>
      </c>
    </row>
    <row r="91" spans="12:12">
      <c r="L91" s="55" t="s">
        <v>159</v>
      </c>
    </row>
    <row r="92" spans="12:12">
      <c r="L92" s="55" t="s">
        <v>160</v>
      </c>
    </row>
    <row r="93" spans="12:12">
      <c r="L93" s="55" t="s">
        <v>161</v>
      </c>
    </row>
    <row r="94" spans="12:12">
      <c r="L94" s="55" t="s">
        <v>162</v>
      </c>
    </row>
    <row r="95" spans="12:12">
      <c r="L95" s="55" t="s">
        <v>163</v>
      </c>
    </row>
    <row r="96" spans="12:12">
      <c r="L96" s="55" t="s">
        <v>164</v>
      </c>
    </row>
    <row r="97" spans="12:12">
      <c r="L97" s="55" t="s">
        <v>165</v>
      </c>
    </row>
    <row r="98" spans="12:12">
      <c r="L98" s="55" t="s">
        <v>166</v>
      </c>
    </row>
    <row r="99" spans="12:12">
      <c r="L99" s="55" t="s">
        <v>167</v>
      </c>
    </row>
    <row r="100" spans="12:12">
      <c r="L100" s="55" t="s">
        <v>168</v>
      </c>
    </row>
    <row r="101" spans="12:12">
      <c r="L101" s="55" t="s">
        <v>169</v>
      </c>
    </row>
    <row r="102" spans="12:12">
      <c r="L102" s="55" t="s">
        <v>170</v>
      </c>
    </row>
    <row r="103" spans="12:12">
      <c r="L103" s="55" t="s">
        <v>171</v>
      </c>
    </row>
    <row r="104" spans="12:12">
      <c r="L104" s="55" t="s">
        <v>172</v>
      </c>
    </row>
    <row r="105" spans="12:12">
      <c r="L105" s="55" t="s">
        <v>173</v>
      </c>
    </row>
    <row r="106" spans="12:12">
      <c r="L106" s="55" t="s">
        <v>174</v>
      </c>
    </row>
    <row r="107" spans="12:12">
      <c r="L107" s="55" t="s">
        <v>175</v>
      </c>
    </row>
    <row r="108" spans="12:12">
      <c r="L108" s="55" t="s">
        <v>176</v>
      </c>
    </row>
    <row r="109" spans="12:12">
      <c r="L109" s="55" t="s">
        <v>177</v>
      </c>
    </row>
    <row r="110" spans="12:12">
      <c r="L110" s="55" t="s">
        <v>178</v>
      </c>
    </row>
    <row r="111" spans="12:12">
      <c r="L111" s="55" t="s">
        <v>49</v>
      </c>
    </row>
    <row r="112" spans="12:12">
      <c r="L112" s="55" t="s">
        <v>179</v>
      </c>
    </row>
    <row r="113" spans="12:12">
      <c r="L113" s="55" t="s">
        <v>180</v>
      </c>
    </row>
    <row r="114" spans="12:12">
      <c r="L114" s="55" t="s">
        <v>181</v>
      </c>
    </row>
    <row r="115" spans="12:12">
      <c r="L115" s="55" t="s">
        <v>182</v>
      </c>
    </row>
    <row r="116" spans="12:12">
      <c r="L116" s="55" t="s">
        <v>183</v>
      </c>
    </row>
    <row r="117" spans="12:12">
      <c r="L117" s="55" t="s">
        <v>184</v>
      </c>
    </row>
    <row r="118" spans="12:12">
      <c r="L118" s="55" t="s">
        <v>185</v>
      </c>
    </row>
    <row r="119" spans="12:12">
      <c r="L119" s="55" t="s">
        <v>186</v>
      </c>
    </row>
    <row r="120" spans="12:12">
      <c r="L120" s="55" t="s">
        <v>187</v>
      </c>
    </row>
    <row r="121" spans="12:12">
      <c r="L121" s="55" t="s">
        <v>188</v>
      </c>
    </row>
    <row r="122" spans="12:12">
      <c r="L122" s="55" t="s">
        <v>189</v>
      </c>
    </row>
    <row r="123" spans="12:12">
      <c r="L123" s="55" t="s">
        <v>190</v>
      </c>
    </row>
    <row r="124" spans="12:12">
      <c r="L124" s="55" t="s">
        <v>191</v>
      </c>
    </row>
    <row r="125" spans="12:12">
      <c r="L125" s="55" t="s">
        <v>192</v>
      </c>
    </row>
    <row r="126" spans="12:12">
      <c r="L126" s="55" t="s">
        <v>193</v>
      </c>
    </row>
    <row r="127" spans="12:12">
      <c r="L127" s="55" t="s">
        <v>194</v>
      </c>
    </row>
    <row r="128" spans="12:12">
      <c r="L128" s="55" t="s">
        <v>195</v>
      </c>
    </row>
    <row r="129" spans="12:12">
      <c r="L129" s="55" t="s">
        <v>196</v>
      </c>
    </row>
    <row r="130" spans="12:12">
      <c r="L130" s="55" t="s">
        <v>197</v>
      </c>
    </row>
    <row r="131" spans="12:12">
      <c r="L131" s="55" t="s">
        <v>198</v>
      </c>
    </row>
    <row r="132" spans="12:12">
      <c r="L132" s="55" t="s">
        <v>199</v>
      </c>
    </row>
    <row r="133" spans="12:12">
      <c r="L133" s="55" t="s">
        <v>200</v>
      </c>
    </row>
    <row r="134" spans="12:12">
      <c r="L134" s="55" t="s">
        <v>201</v>
      </c>
    </row>
    <row r="135" spans="12:12">
      <c r="L135" s="55" t="s">
        <v>202</v>
      </c>
    </row>
    <row r="136" spans="12:12">
      <c r="L136" s="55" t="s">
        <v>203</v>
      </c>
    </row>
    <row r="137" spans="12:12">
      <c r="L137" s="55" t="s">
        <v>204</v>
      </c>
    </row>
    <row r="138" spans="12:12">
      <c r="L138" s="55" t="s">
        <v>205</v>
      </c>
    </row>
    <row r="139" spans="12:12">
      <c r="L139" s="55" t="s">
        <v>206</v>
      </c>
    </row>
    <row r="140" spans="12:12">
      <c r="L140" s="55" t="s">
        <v>207</v>
      </c>
    </row>
    <row r="141" spans="12:12">
      <c r="L141" s="55" t="s">
        <v>208</v>
      </c>
    </row>
    <row r="142" spans="12:12">
      <c r="L142" s="55" t="s">
        <v>209</v>
      </c>
    </row>
    <row r="143" spans="12:12">
      <c r="L143" s="55" t="s">
        <v>210</v>
      </c>
    </row>
    <row r="144" spans="12:12">
      <c r="L144" s="21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zoomScale="85" zoomScaleNormal="85" workbookViewId="0">
      <pane xSplit="1" ySplit="1" topLeftCell="B58" activePane="bottomRight" state="frozen"/>
      <selection pane="topRight" activeCell="B1" sqref="B1"/>
      <selection pane="bottomLeft" activeCell="A2" sqref="A2"/>
      <selection pane="bottomRight" activeCell="D58" sqref="D58:F110"/>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334" t="s">
        <v>464</v>
      </c>
      <c r="B1" s="352" t="s">
        <v>462</v>
      </c>
      <c r="C1" s="334" t="s">
        <v>463</v>
      </c>
      <c r="D1" s="334" t="s">
        <v>250</v>
      </c>
      <c r="E1" s="334" t="s">
        <v>461</v>
      </c>
      <c r="F1" s="334" t="s">
        <v>405</v>
      </c>
      <c r="G1" s="353" t="s">
        <v>406</v>
      </c>
    </row>
    <row r="2" spans="1:7" ht="45">
      <c r="A2" s="327">
        <v>1</v>
      </c>
      <c r="B2" s="351" t="s">
        <v>445</v>
      </c>
      <c r="C2" s="30" t="s">
        <v>15</v>
      </c>
      <c r="D2" s="408" t="s">
        <v>469</v>
      </c>
      <c r="E2" s="409" t="s">
        <v>482</v>
      </c>
      <c r="F2" s="410" t="s">
        <v>407</v>
      </c>
      <c r="G2" s="411" t="s">
        <v>467</v>
      </c>
    </row>
    <row r="3" spans="1:7" ht="62.25" customHeight="1">
      <c r="A3" s="327">
        <v>2</v>
      </c>
      <c r="B3" s="351" t="s">
        <v>445</v>
      </c>
      <c r="C3" s="30" t="s">
        <v>15</v>
      </c>
      <c r="D3" s="408" t="s">
        <v>470</v>
      </c>
      <c r="E3" s="409" t="s">
        <v>474</v>
      </c>
      <c r="F3" s="410" t="s">
        <v>407</v>
      </c>
      <c r="G3" s="411" t="s">
        <v>467</v>
      </c>
    </row>
    <row r="4" spans="1:7" ht="57">
      <c r="A4" s="327">
        <v>3</v>
      </c>
      <c r="B4" s="351" t="s">
        <v>445</v>
      </c>
      <c r="C4" s="30" t="s">
        <v>460</v>
      </c>
      <c r="D4" s="346" t="s">
        <v>441</v>
      </c>
      <c r="E4" s="347" t="s">
        <v>473</v>
      </c>
      <c r="F4" s="348" t="s">
        <v>407</v>
      </c>
      <c r="G4" s="336" t="s">
        <v>472</v>
      </c>
    </row>
    <row r="5" spans="1:7" ht="42.75">
      <c r="A5" s="327">
        <v>4</v>
      </c>
      <c r="B5" s="351" t="s">
        <v>445</v>
      </c>
      <c r="C5" s="30" t="s">
        <v>460</v>
      </c>
      <c r="D5" s="346" t="s">
        <v>475</v>
      </c>
      <c r="E5" s="347" t="s">
        <v>471</v>
      </c>
      <c r="F5" s="348" t="s">
        <v>442</v>
      </c>
      <c r="G5" s="414" t="s">
        <v>506</v>
      </c>
    </row>
    <row r="6" spans="1:7" ht="30">
      <c r="A6" s="327">
        <v>5</v>
      </c>
      <c r="B6" s="351" t="s">
        <v>445</v>
      </c>
      <c r="C6" s="30" t="s">
        <v>460</v>
      </c>
      <c r="D6" s="346" t="s">
        <v>476</v>
      </c>
      <c r="E6" s="347" t="s">
        <v>443</v>
      </c>
      <c r="F6" s="348" t="s">
        <v>442</v>
      </c>
      <c r="G6" s="414" t="s">
        <v>507</v>
      </c>
    </row>
    <row r="7" spans="1:7" ht="30">
      <c r="A7" s="327">
        <v>6</v>
      </c>
      <c r="B7" s="351" t="s">
        <v>445</v>
      </c>
      <c r="C7" s="30" t="s">
        <v>460</v>
      </c>
      <c r="D7" s="346" t="s">
        <v>477</v>
      </c>
      <c r="E7" s="349" t="s">
        <v>444</v>
      </c>
      <c r="F7" s="350" t="s">
        <v>442</v>
      </c>
      <c r="G7" s="414" t="s">
        <v>507</v>
      </c>
    </row>
    <row r="8" spans="1:7" ht="57">
      <c r="A8" s="327">
        <v>7</v>
      </c>
      <c r="B8" s="351" t="s">
        <v>451</v>
      </c>
      <c r="C8" s="30" t="s">
        <v>15</v>
      </c>
      <c r="D8" s="408" t="s">
        <v>478</v>
      </c>
      <c r="E8" s="410" t="s">
        <v>480</v>
      </c>
      <c r="F8" s="410" t="s">
        <v>416</v>
      </c>
      <c r="G8" s="411" t="s">
        <v>467</v>
      </c>
    </row>
    <row r="9" spans="1:7" ht="57">
      <c r="A9" s="327">
        <v>8</v>
      </c>
      <c r="B9" s="351" t="s">
        <v>451</v>
      </c>
      <c r="C9" s="30" t="s">
        <v>15</v>
      </c>
      <c r="D9" s="408" t="s">
        <v>479</v>
      </c>
      <c r="E9" s="410" t="s">
        <v>481</v>
      </c>
      <c r="F9" s="410" t="s">
        <v>416</v>
      </c>
      <c r="G9" s="411" t="s">
        <v>467</v>
      </c>
    </row>
    <row r="10" spans="1:7" ht="57">
      <c r="A10" s="327">
        <v>9</v>
      </c>
      <c r="B10" s="351" t="s">
        <v>451</v>
      </c>
      <c r="C10" s="30" t="s">
        <v>15</v>
      </c>
      <c r="D10" s="408" t="s">
        <v>483</v>
      </c>
      <c r="E10" s="410" t="s">
        <v>484</v>
      </c>
      <c r="F10" s="410" t="s">
        <v>407</v>
      </c>
      <c r="G10" s="411" t="s">
        <v>485</v>
      </c>
    </row>
    <row r="11" spans="1:7" ht="85.5">
      <c r="A11" s="327">
        <v>10</v>
      </c>
      <c r="B11" s="351" t="s">
        <v>451</v>
      </c>
      <c r="C11" s="30" t="s">
        <v>460</v>
      </c>
      <c r="D11" s="346" t="s">
        <v>486</v>
      </c>
      <c r="E11" s="348" t="s">
        <v>487</v>
      </c>
      <c r="F11" s="348" t="s">
        <v>407</v>
      </c>
      <c r="G11" s="336" t="s">
        <v>505</v>
      </c>
    </row>
    <row r="12" spans="1:7" ht="60">
      <c r="A12" s="327">
        <v>11</v>
      </c>
      <c r="B12" s="351" t="s">
        <v>451</v>
      </c>
      <c r="C12" s="30" t="s">
        <v>460</v>
      </c>
      <c r="D12" s="346" t="s">
        <v>446</v>
      </c>
      <c r="E12" s="348" t="s">
        <v>466</v>
      </c>
      <c r="F12" s="348" t="s">
        <v>442</v>
      </c>
      <c r="G12" s="414" t="s">
        <v>507</v>
      </c>
    </row>
    <row r="13" spans="1:7" ht="45">
      <c r="A13" s="327">
        <v>12</v>
      </c>
      <c r="B13" s="351" t="s">
        <v>451</v>
      </c>
      <c r="C13" s="30" t="s">
        <v>460</v>
      </c>
      <c r="D13" s="346" t="s">
        <v>447</v>
      </c>
      <c r="E13" s="348" t="s">
        <v>449</v>
      </c>
      <c r="F13" s="348" t="s">
        <v>442</v>
      </c>
      <c r="G13" s="414" t="s">
        <v>507</v>
      </c>
    </row>
    <row r="14" spans="1:7" ht="60">
      <c r="A14" s="327">
        <v>13</v>
      </c>
      <c r="B14" s="351" t="s">
        <v>451</v>
      </c>
      <c r="C14" s="30" t="s">
        <v>460</v>
      </c>
      <c r="D14" s="346" t="s">
        <v>448</v>
      </c>
      <c r="E14" s="350" t="s">
        <v>450</v>
      </c>
      <c r="F14" s="350" t="s">
        <v>442</v>
      </c>
      <c r="G14" s="414" t="s">
        <v>507</v>
      </c>
    </row>
    <row r="15" spans="1:7" ht="45">
      <c r="A15" s="327">
        <v>14</v>
      </c>
      <c r="B15" s="351" t="s">
        <v>459</v>
      </c>
      <c r="C15" s="30" t="s">
        <v>15</v>
      </c>
      <c r="D15" s="408" t="s">
        <v>488</v>
      </c>
      <c r="E15" s="410" t="s">
        <v>491</v>
      </c>
      <c r="F15" s="348" t="s">
        <v>407</v>
      </c>
      <c r="G15" s="411" t="s">
        <v>425</v>
      </c>
    </row>
    <row r="16" spans="1:7" ht="75">
      <c r="A16" s="327">
        <v>15</v>
      </c>
      <c r="B16" s="351" t="s">
        <v>459</v>
      </c>
      <c r="C16" s="30" t="s">
        <v>15</v>
      </c>
      <c r="D16" s="408" t="s">
        <v>489</v>
      </c>
      <c r="E16" s="410" t="s">
        <v>490</v>
      </c>
      <c r="F16" s="348" t="s">
        <v>407</v>
      </c>
      <c r="G16" s="411" t="s">
        <v>423</v>
      </c>
    </row>
    <row r="17" spans="1:7" ht="57">
      <c r="A17" s="327">
        <v>16</v>
      </c>
      <c r="B17" s="351" t="s">
        <v>459</v>
      </c>
      <c r="C17" s="30" t="s">
        <v>15</v>
      </c>
      <c r="D17" s="408" t="s">
        <v>492</v>
      </c>
      <c r="E17" s="410" t="s">
        <v>493</v>
      </c>
      <c r="F17" s="348" t="s">
        <v>407</v>
      </c>
      <c r="G17" s="411" t="s">
        <v>424</v>
      </c>
    </row>
    <row r="18" spans="1:7" ht="49.5" customHeight="1">
      <c r="A18" s="327">
        <v>17</v>
      </c>
      <c r="B18" s="351" t="s">
        <v>459</v>
      </c>
      <c r="C18" s="30" t="s">
        <v>15</v>
      </c>
      <c r="D18" s="408" t="s">
        <v>494</v>
      </c>
      <c r="E18" s="410" t="s">
        <v>495</v>
      </c>
      <c r="F18" s="348" t="s">
        <v>407</v>
      </c>
      <c r="G18" s="411" t="s">
        <v>424</v>
      </c>
    </row>
    <row r="19" spans="1:7" ht="99.75">
      <c r="A19" s="327">
        <v>18</v>
      </c>
      <c r="B19" s="351" t="s">
        <v>459</v>
      </c>
      <c r="C19" s="30" t="s">
        <v>460</v>
      </c>
      <c r="D19" s="346" t="s">
        <v>452</v>
      </c>
      <c r="E19" s="348" t="s">
        <v>501</v>
      </c>
      <c r="F19" s="348" t="s">
        <v>407</v>
      </c>
      <c r="G19" s="336" t="s">
        <v>496</v>
      </c>
    </row>
    <row r="20" spans="1:7" ht="60">
      <c r="A20" s="327">
        <v>19</v>
      </c>
      <c r="B20" s="351" t="s">
        <v>459</v>
      </c>
      <c r="C20" s="30" t="s">
        <v>460</v>
      </c>
      <c r="D20" s="346" t="s">
        <v>453</v>
      </c>
      <c r="E20" s="348" t="s">
        <v>499</v>
      </c>
      <c r="F20" s="348" t="s">
        <v>407</v>
      </c>
      <c r="G20" s="336" t="s">
        <v>496</v>
      </c>
    </row>
    <row r="21" spans="1:7" ht="99.75">
      <c r="A21" s="327">
        <v>20</v>
      </c>
      <c r="B21" s="351" t="s">
        <v>459</v>
      </c>
      <c r="C21" s="30" t="s">
        <v>460</v>
      </c>
      <c r="D21" s="346" t="s">
        <v>454</v>
      </c>
      <c r="E21" s="348" t="s">
        <v>502</v>
      </c>
      <c r="F21" s="348" t="s">
        <v>407</v>
      </c>
      <c r="G21" s="336" t="s">
        <v>496</v>
      </c>
    </row>
    <row r="22" spans="1:7" ht="45">
      <c r="A22" s="327">
        <v>21</v>
      </c>
      <c r="B22" s="351" t="s">
        <v>459</v>
      </c>
      <c r="C22" s="30" t="s">
        <v>460</v>
      </c>
      <c r="D22" s="346" t="s">
        <v>455</v>
      </c>
      <c r="E22" s="348" t="s">
        <v>504</v>
      </c>
      <c r="F22" s="348" t="s">
        <v>407</v>
      </c>
      <c r="G22" s="336" t="s">
        <v>496</v>
      </c>
    </row>
    <row r="23" spans="1:7" ht="99.75">
      <c r="A23" s="327">
        <v>22</v>
      </c>
      <c r="B23" s="351" t="s">
        <v>459</v>
      </c>
      <c r="C23" s="30" t="s">
        <v>460</v>
      </c>
      <c r="D23" s="346" t="s">
        <v>456</v>
      </c>
      <c r="E23" s="348" t="s">
        <v>503</v>
      </c>
      <c r="F23" s="348" t="s">
        <v>407</v>
      </c>
      <c r="G23" s="336" t="s">
        <v>497</v>
      </c>
    </row>
    <row r="24" spans="1:7" ht="57">
      <c r="A24" s="327">
        <v>23</v>
      </c>
      <c r="B24" s="351" t="s">
        <v>459</v>
      </c>
      <c r="C24" s="30" t="s">
        <v>460</v>
      </c>
      <c r="D24" s="346" t="s">
        <v>457</v>
      </c>
      <c r="E24" s="348" t="s">
        <v>500</v>
      </c>
      <c r="F24" s="348" t="s">
        <v>407</v>
      </c>
      <c r="G24" s="336" t="s">
        <v>496</v>
      </c>
    </row>
    <row r="25" spans="1:7" ht="71.25">
      <c r="A25" s="327">
        <v>24</v>
      </c>
      <c r="B25" s="354" t="s">
        <v>459</v>
      </c>
      <c r="C25" s="355" t="s">
        <v>460</v>
      </c>
      <c r="D25" s="356" t="s">
        <v>458</v>
      </c>
      <c r="E25" s="357" t="s">
        <v>498</v>
      </c>
      <c r="F25" s="357" t="s">
        <v>407</v>
      </c>
      <c r="G25" s="358" t="s">
        <v>505</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2018-09-27T14:36:51Z</dcterms:modified>
</cp:coreProperties>
</file>